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DEMMA\Técnicos\Micheli\2026\Coleta de Resíduos\Licitação\"/>
    </mc:Choice>
  </mc:AlternateContent>
  <bookViews>
    <workbookView xWindow="-120" yWindow="-120" windowWidth="16350" windowHeight="11160" firstSheet="2" activeTab="4"/>
  </bookViews>
  <sheets>
    <sheet name="Mão de Obra" sheetId="2" r:id="rId1"/>
    <sheet name="EPI" sheetId="3" r:id="rId2"/>
    <sheet name="Veículos" sheetId="5" r:id="rId3"/>
    <sheet name="Sistema de Monitoramento" sheetId="13" r:id="rId4"/>
    <sheet name="Administração Local" sheetId="14" r:id="rId5"/>
    <sheet name="Ferramentas e Mat de Consumo" sheetId="6" r:id="rId6"/>
    <sheet name="Remuneração de Capital" sheetId="9" r:id="rId7"/>
    <sheet name="BDI" sheetId="12" r:id="rId8"/>
    <sheet name="COLETA REGULAR" sheetId="7" r:id="rId9"/>
    <sheet name="COLETA SELETIVA" sheetId="8" r:id="rId10"/>
    <sheet name="TOTAL" sheetId="15" r:id="rId11"/>
    <sheet name="Encargos Sociais" sheetId="11" r:id="rId12"/>
  </sheets>
  <calcPr calcId="162913"/>
</workbook>
</file>

<file path=xl/calcChain.xml><?xml version="1.0" encoding="utf-8"?>
<calcChain xmlns="http://schemas.openxmlformats.org/spreadsheetml/2006/main">
  <c r="B8" i="8" l="1"/>
  <c r="B7" i="8"/>
  <c r="B5" i="8"/>
  <c r="B4" i="8"/>
  <c r="B9" i="7"/>
  <c r="B8" i="7"/>
  <c r="B7" i="7"/>
  <c r="B5" i="7"/>
  <c r="B4" i="7"/>
  <c r="F14" i="14"/>
  <c r="F12" i="14"/>
  <c r="F16" i="13"/>
  <c r="E8" i="13"/>
  <c r="E6" i="13"/>
  <c r="F35" i="3"/>
  <c r="F42" i="2"/>
  <c r="F40" i="2"/>
  <c r="D12" i="9" l="1"/>
  <c r="E76" i="5"/>
  <c r="E75" i="5"/>
  <c r="E77" i="5" s="1"/>
  <c r="D78" i="5" s="1"/>
  <c r="E52" i="5"/>
  <c r="D53" i="5" s="1"/>
  <c r="E53" i="5" s="1"/>
  <c r="E50" i="5"/>
  <c r="D51" i="5" s="1"/>
  <c r="E51" i="5" s="1"/>
  <c r="E48" i="5"/>
  <c r="D49" i="5" s="1"/>
  <c r="E49" i="5" s="1"/>
  <c r="E46" i="5"/>
  <c r="D47" i="5" s="1"/>
  <c r="E47" i="5" s="1"/>
  <c r="E44" i="5"/>
  <c r="D45" i="5" s="1"/>
  <c r="E45" i="5" s="1"/>
  <c r="E42" i="5"/>
  <c r="D43" i="5" s="1"/>
  <c r="E43" i="5" s="1"/>
  <c r="E78" i="5" l="1"/>
  <c r="D79" i="5" s="1"/>
  <c r="E79" i="5" s="1"/>
  <c r="F79" i="5" s="1"/>
  <c r="E54" i="5"/>
  <c r="D55" i="5" s="1"/>
  <c r="E55" i="5" s="1"/>
  <c r="F55" i="5" s="1"/>
  <c r="E25" i="5" l="1"/>
  <c r="E25" i="2" l="1"/>
  <c r="E35" i="5" l="1"/>
  <c r="D36" i="5" s="1"/>
  <c r="E36" i="5" s="1"/>
  <c r="E10" i="6" l="1"/>
  <c r="E8" i="14"/>
  <c r="E7" i="14" l="1"/>
  <c r="D9" i="14" s="1"/>
  <c r="D9" i="13"/>
  <c r="E9" i="13" s="1"/>
  <c r="D7" i="13"/>
  <c r="E7" i="13" s="1"/>
  <c r="E9" i="14" l="1"/>
  <c r="F9" i="14" s="1"/>
  <c r="D10" i="13"/>
  <c r="E10" i="13" s="1"/>
  <c r="D11" i="13" s="1"/>
  <c r="E11" i="13" s="1"/>
  <c r="D12" i="13" s="1"/>
  <c r="E12" i="13" s="1"/>
  <c r="F12" i="13" s="1"/>
  <c r="F14" i="13" l="1"/>
  <c r="B29" i="11"/>
  <c r="C10" i="12"/>
  <c r="C15" i="12" s="1"/>
  <c r="F8" i="12"/>
  <c r="E8" i="12"/>
  <c r="D8" i="12"/>
  <c r="B34" i="11"/>
  <c r="B21" i="11"/>
  <c r="B12" i="11"/>
  <c r="D15" i="9"/>
  <c r="E15" i="9" s="1"/>
  <c r="D16" i="9" s="1"/>
  <c r="E16" i="9" s="1"/>
  <c r="D17" i="9" s="1"/>
  <c r="E17" i="9" s="1"/>
  <c r="F17" i="9" s="1"/>
  <c r="E12" i="9"/>
  <c r="D13" i="9" s="1"/>
  <c r="E13" i="9" s="1"/>
  <c r="D14" i="9" s="1"/>
  <c r="E14" i="9" s="1"/>
  <c r="F14" i="9" s="1"/>
  <c r="E13" i="2"/>
  <c r="E9" i="6"/>
  <c r="E8" i="6"/>
  <c r="E7" i="6"/>
  <c r="E68" i="5"/>
  <c r="E67" i="5"/>
  <c r="E60" i="5"/>
  <c r="E59" i="5"/>
  <c r="E33" i="5"/>
  <c r="D34" i="5" s="1"/>
  <c r="E31" i="5"/>
  <c r="D32" i="5" s="1"/>
  <c r="E29" i="5"/>
  <c r="D30" i="5" s="1"/>
  <c r="E30" i="5" s="1"/>
  <c r="E27" i="5"/>
  <c r="D28" i="5" s="1"/>
  <c r="E28" i="5" s="1"/>
  <c r="D26" i="5"/>
  <c r="E26" i="5" s="1"/>
  <c r="E19" i="5"/>
  <c r="E18" i="5"/>
  <c r="E10" i="5"/>
  <c r="D12" i="5" s="1"/>
  <c r="E12" i="5" s="1"/>
  <c r="E9" i="5"/>
  <c r="D11" i="5" s="1"/>
  <c r="E11" i="5" s="1"/>
  <c r="E36" i="2"/>
  <c r="E23" i="2"/>
  <c r="D24" i="2" s="1"/>
  <c r="E24" i="2" s="1"/>
  <c r="E11" i="2"/>
  <c r="D12" i="2" s="1"/>
  <c r="E12" i="2" s="1"/>
  <c r="E28" i="3"/>
  <c r="E27" i="3"/>
  <c r="E26" i="3"/>
  <c r="E25" i="3"/>
  <c r="E24" i="3"/>
  <c r="E23" i="3"/>
  <c r="E22" i="3"/>
  <c r="E8" i="3"/>
  <c r="E9" i="3"/>
  <c r="E10" i="3"/>
  <c r="E11" i="3"/>
  <c r="E12" i="3"/>
  <c r="E13" i="3"/>
  <c r="E14" i="3"/>
  <c r="E15" i="3"/>
  <c r="E16" i="3"/>
  <c r="E7" i="3"/>
  <c r="E32" i="2"/>
  <c r="E31" i="2"/>
  <c r="E19" i="2"/>
  <c r="E7" i="2"/>
  <c r="D8" i="2" s="1"/>
  <c r="E34" i="5" l="1"/>
  <c r="E32" i="5"/>
  <c r="E20" i="5"/>
  <c r="D21" i="5" s="1"/>
  <c r="E21" i="5" s="1"/>
  <c r="F21" i="5" s="1"/>
  <c r="E61" i="5"/>
  <c r="D62" i="5" s="1"/>
  <c r="E11" i="6"/>
  <c r="D12" i="6" s="1"/>
  <c r="E12" i="6" s="1"/>
  <c r="F12" i="6" s="1"/>
  <c r="E69" i="5"/>
  <c r="B36" i="11"/>
  <c r="E13" i="5"/>
  <c r="D14" i="5" s="1"/>
  <c r="E14" i="5" s="1"/>
  <c r="F14" i="5" s="1"/>
  <c r="F18" i="9"/>
  <c r="E8" i="2"/>
  <c r="E9" i="2" s="1"/>
  <c r="D18" i="3"/>
  <c r="E18" i="3" s="1"/>
  <c r="F18" i="3" s="1"/>
  <c r="E29" i="3"/>
  <c r="D30" i="3" s="1"/>
  <c r="E30" i="3" s="1"/>
  <c r="F30" i="3" s="1"/>
  <c r="E33" i="2"/>
  <c r="E34" i="2" s="1"/>
  <c r="E20" i="2"/>
  <c r="E21" i="2" s="1"/>
  <c r="F20" i="9" l="1"/>
  <c r="D83" i="5"/>
  <c r="E83" i="5" s="1"/>
  <c r="D84" i="5" s="1"/>
  <c r="E84" i="5" s="1"/>
  <c r="F84" i="5" s="1"/>
  <c r="F33" i="3"/>
  <c r="E70" i="5"/>
  <c r="D71" i="5" s="1"/>
  <c r="E71" i="5" s="1"/>
  <c r="F71" i="5" s="1"/>
  <c r="E62" i="5"/>
  <c r="D63" i="5" s="1"/>
  <c r="E63" i="5" s="1"/>
  <c r="F63" i="5" s="1"/>
  <c r="F15" i="6"/>
  <c r="F14" i="6"/>
  <c r="E37" i="5"/>
  <c r="D38" i="5" s="1"/>
  <c r="E38" i="5" s="1"/>
  <c r="F38" i="5" s="1"/>
  <c r="B9" i="8"/>
  <c r="D70" i="5"/>
  <c r="D35" i="2"/>
  <c r="E35" i="2" s="1"/>
  <c r="E37" i="2" s="1"/>
  <c r="D10" i="2"/>
  <c r="E10" i="2" s="1"/>
  <c r="E14" i="2" s="1"/>
  <c r="D22" i="2"/>
  <c r="E22" i="2" s="1"/>
  <c r="E26" i="2" s="1"/>
  <c r="B10" i="7" l="1"/>
  <c r="F22" i="9"/>
  <c r="B10" i="8" s="1"/>
  <c r="F86" i="5"/>
  <c r="B6" i="7" s="1"/>
  <c r="F88" i="5"/>
  <c r="B6" i="8" s="1"/>
  <c r="D38" i="2"/>
  <c r="E38" i="2" s="1"/>
  <c r="F38" i="2" s="1"/>
  <c r="D15" i="2"/>
  <c r="E15" i="2" s="1"/>
  <c r="F15" i="2" s="1"/>
  <c r="D27" i="2"/>
  <c r="B11" i="7" l="1"/>
  <c r="B12" i="7" s="1"/>
  <c r="E27" i="2"/>
  <c r="F27" i="2" s="1"/>
  <c r="B11" i="8"/>
  <c r="B12" i="8" s="1"/>
  <c r="B4" i="15" s="1"/>
  <c r="C11" i="8" l="1"/>
  <c r="C5" i="8" l="1"/>
  <c r="C9" i="8"/>
  <c r="C8" i="8"/>
  <c r="C4" i="8"/>
  <c r="C6" i="8"/>
  <c r="C10" i="8"/>
  <c r="C7" i="8"/>
  <c r="B3" i="15"/>
  <c r="B5" i="15" s="1"/>
  <c r="C5" i="7" l="1"/>
  <c r="C9" i="7"/>
  <c r="C7" i="7"/>
  <c r="C10" i="7"/>
  <c r="C8" i="7"/>
  <c r="C11" i="7"/>
  <c r="C12" i="8"/>
  <c r="C4" i="7"/>
  <c r="C6" i="7" l="1"/>
  <c r="C12" i="7" s="1"/>
</calcChain>
</file>

<file path=xl/comments1.xml><?xml version="1.0" encoding="utf-8"?>
<comments xmlns="http://schemas.openxmlformats.org/spreadsheetml/2006/main">
  <authors>
    <author>Clauber Bridi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<sst xmlns="http://schemas.openxmlformats.org/spreadsheetml/2006/main" count="457" uniqueCount="213">
  <si>
    <t>COLETA REGULAR</t>
  </si>
  <si>
    <t>COLETOR</t>
  </si>
  <si>
    <t>Salário Normal</t>
  </si>
  <si>
    <t>Adicional de Insalubridade</t>
  </si>
  <si>
    <t>Hora Extra 100%</t>
  </si>
  <si>
    <t>Soma</t>
  </si>
  <si>
    <t>Unidade</t>
  </si>
  <si>
    <t>Quantidade</t>
  </si>
  <si>
    <t>Preço Unitário</t>
  </si>
  <si>
    <t>Subtotal</t>
  </si>
  <si>
    <t>Total (R$)</t>
  </si>
  <si>
    <t>mês</t>
  </si>
  <si>
    <t>h</t>
  </si>
  <si>
    <t>%</t>
  </si>
  <si>
    <t>Total por coletor</t>
  </si>
  <si>
    <t>Encargos Sociais</t>
  </si>
  <si>
    <t>Total do efetivo</t>
  </si>
  <si>
    <t>homem</t>
  </si>
  <si>
    <t>MOTORISTA</t>
  </si>
  <si>
    <t>SUPERVISOR</t>
  </si>
  <si>
    <t>Total por supervisor</t>
  </si>
  <si>
    <t>COLETA SELETIVA</t>
  </si>
  <si>
    <t>UNIFORMES E EPI'S PARA COLETORES</t>
  </si>
  <si>
    <t>Jaqueta com Reflexivo (NBR 15.292)</t>
  </si>
  <si>
    <t>Calça</t>
  </si>
  <si>
    <t>Camiseta Algodão</t>
  </si>
  <si>
    <t>Boné</t>
  </si>
  <si>
    <t>Meia de algodão com cano alto</t>
  </si>
  <si>
    <t>Capa de chuva amarela com reflexivo</t>
  </si>
  <si>
    <t>Luva de proteção</t>
  </si>
  <si>
    <t>Protetor solar FPS 30</t>
  </si>
  <si>
    <t>Higienização de uniformes e EPI’s</t>
  </si>
  <si>
    <t>unidade</t>
  </si>
  <si>
    <t>par</t>
  </si>
  <si>
    <t>Total efetivo</t>
  </si>
  <si>
    <t>Total EPI</t>
  </si>
  <si>
    <t xml:space="preserve"> </t>
  </si>
  <si>
    <t>UNIFORMES E EPI'S PARA MOTORISTAS E SUPERVISOR</t>
  </si>
  <si>
    <t>Auxílio Alimentação</t>
  </si>
  <si>
    <t>dia</t>
  </si>
  <si>
    <t>Auxílio Refeição</t>
  </si>
  <si>
    <t>VEÍCULO COLETOR COMPACTADOR</t>
  </si>
  <si>
    <t>DEPRECIAÇÃO</t>
  </si>
  <si>
    <t>Custo de aquisição dos compactadores</t>
  </si>
  <si>
    <t>Custo de aquisição dos chassis</t>
  </si>
  <si>
    <t>Depreciação mensal dos veículos coletores</t>
  </si>
  <si>
    <t>Total por motorista</t>
  </si>
  <si>
    <t>Total depreciação</t>
  </si>
  <si>
    <t>IMPOSTOS E SEGUROS</t>
  </si>
  <si>
    <t>IPVA</t>
  </si>
  <si>
    <t>Seguro contra terceiros</t>
  </si>
  <si>
    <t>Total impostos e seguros</t>
  </si>
  <si>
    <t>Custo óleo diesel/Km rodado</t>
  </si>
  <si>
    <t>Km/L</t>
  </si>
  <si>
    <t>Custo mensal com óleo diesel</t>
  </si>
  <si>
    <t>Custo mensal com óleo do motor</t>
  </si>
  <si>
    <t>C. de óleo da transmissão/1.000 km</t>
  </si>
  <si>
    <t>C. mensal c/ óleo da transmissão</t>
  </si>
  <si>
    <t>Custo mensal com óleo hidráulico</t>
  </si>
  <si>
    <t>Custo mensal com graxa</t>
  </si>
  <si>
    <t>Km</t>
  </si>
  <si>
    <t>L/1000Km</t>
  </si>
  <si>
    <t>L</t>
  </si>
  <si>
    <t>C. de óleo do motor</t>
  </si>
  <si>
    <t>Kg</t>
  </si>
  <si>
    <t>Consumo mensal</t>
  </si>
  <si>
    <t>Total consumo mensal</t>
  </si>
  <si>
    <t>Impostos e seguros mensal</t>
  </si>
  <si>
    <t>MANUTENÇÃO</t>
  </si>
  <si>
    <t>Custo estim. c/manutenção (60 mês.)</t>
  </si>
  <si>
    <t>Total Manutenção</t>
  </si>
  <si>
    <t>Custo mensal manutenção dos veículos</t>
  </si>
  <si>
    <t>Custo do jogo de pneus 275/80 R22,5</t>
  </si>
  <si>
    <t>Custo jg. Compl.+recap. /km rodado</t>
  </si>
  <si>
    <t>Total Custo jg. Compl.+recap</t>
  </si>
  <si>
    <t>Custo mensal com pneus</t>
  </si>
  <si>
    <t>Km/jogo</t>
  </si>
  <si>
    <t>COLETA REGULAR E SELETIVA</t>
  </si>
  <si>
    <t>Recipiente térmico para água 5L</t>
  </si>
  <si>
    <t>Pá de Concha</t>
  </si>
  <si>
    <t>Vassoura</t>
  </si>
  <si>
    <t>FERRAMENTAS E MATERIAL DE CONSUMO</t>
  </si>
  <si>
    <t>Total Ferramentas e Mat. Consumo</t>
  </si>
  <si>
    <t>CUSTO TOTAL FERRAMENTAS E MAT. COLETA REGULAR</t>
  </si>
  <si>
    <t>CUSTO TOTAL MENSAL FERRAMENTAS E MAT. COLETA COLETA SELETIVA</t>
  </si>
  <si>
    <t>Contribuição Plano de Benefício Social Familiar</t>
  </si>
  <si>
    <t>REMUNERAÇÃO DE CAPITAL</t>
  </si>
  <si>
    <t>V0 – Valor inicial do bem</t>
  </si>
  <si>
    <t>Vr – Valor residual do bem</t>
  </si>
  <si>
    <t>n – Vida útil do bem em anos</t>
  </si>
  <si>
    <t xml:space="preserve"> i – Taxa de juros do mercado </t>
  </si>
  <si>
    <t>Chassi</t>
  </si>
  <si>
    <t>Compactador</t>
  </si>
  <si>
    <t>Investimento Médio por Chassi (Im)</t>
  </si>
  <si>
    <t>ano</t>
  </si>
  <si>
    <t>Investimento Médio por compactador</t>
  </si>
  <si>
    <t>Remuneração de Capital Chassi (Jm)</t>
  </si>
  <si>
    <t>Remuneração de Capital  Chassi (Jm) mensal</t>
  </si>
  <si>
    <t>Remuneração de Capital Compactador(Jm)</t>
  </si>
  <si>
    <t>Remuneração de Capital Compactador (Jm) mensal</t>
  </si>
  <si>
    <t>Total Remuneração de Capital</t>
  </si>
  <si>
    <t>Custo de Depreciação+ Remuneração de Capital mensal</t>
  </si>
  <si>
    <t>TOTAL REMUNERAÇÃO DE CAPITAL COLETA REGULAR</t>
  </si>
  <si>
    <t>TOTAL REMUNERAÇÃO DE CAPITAL COLETA SELETIVA</t>
  </si>
  <si>
    <t>GRUPO A</t>
  </si>
  <si>
    <t>INSS</t>
  </si>
  <si>
    <t>FGTS</t>
  </si>
  <si>
    <t>Seg. Acid. De Trabalho</t>
  </si>
  <si>
    <t>Salário Educação</t>
  </si>
  <si>
    <t>SUBTOTAL</t>
  </si>
  <si>
    <t>GRUPO B</t>
  </si>
  <si>
    <t>Férias</t>
  </si>
  <si>
    <t>GRUPO C</t>
  </si>
  <si>
    <t>13° Salário</t>
  </si>
  <si>
    <t>(%)</t>
  </si>
  <si>
    <t>SOMA ENCARGOS</t>
  </si>
  <si>
    <t>Grupo A sobre Grupo B</t>
  </si>
  <si>
    <t>INCIDÊNICA CUMULATIVA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</si>
  <si>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</si>
  <si>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</si>
  <si>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</si>
  <si>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</si>
  <si>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</si>
  <si>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</si>
  <si>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</si>
  <si>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</si>
  <si>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</si>
  <si>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</si>
  <si>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</si>
  <si>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</si>
  <si>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</si>
  <si>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</si>
  <si>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</si>
  <si>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</si>
  <si>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</si>
  <si>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</si>
  <si>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</si>
  <si>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Sesi</t>
  </si>
  <si>
    <t>Senai</t>
  </si>
  <si>
    <t>Incra</t>
  </si>
  <si>
    <t>Sebrae</t>
  </si>
  <si>
    <t>Licença Paternidade</t>
  </si>
  <si>
    <t>Faltas justificadas</t>
  </si>
  <si>
    <t>Auxílio Doença</t>
  </si>
  <si>
    <t>Auxílio acidente de trabalho</t>
  </si>
  <si>
    <t>Aviso prévio indenizado</t>
  </si>
  <si>
    <t>Férias indenizada</t>
  </si>
  <si>
    <t>Férias indenizada s/ aviso prévio indenizado</t>
  </si>
  <si>
    <t>Depósito rescisão sem justa causa</t>
  </si>
  <si>
    <t>Indenização adicional</t>
  </si>
  <si>
    <t>Custo mensal</t>
  </si>
  <si>
    <t>SUBSTITUIÇÃO DE FROTA</t>
  </si>
  <si>
    <t>cj</t>
  </si>
  <si>
    <t>Custo mensal com Implantação</t>
  </si>
  <si>
    <t>Implantação dos equipamentos de monitoramento</t>
  </si>
  <si>
    <t>Fator de utilização</t>
  </si>
  <si>
    <t>Custo manutenção</t>
  </si>
  <si>
    <t>Custo mensal manutenção</t>
  </si>
  <si>
    <t>un.</t>
  </si>
  <si>
    <t>Custo mensal monitoramento</t>
  </si>
  <si>
    <t>CUSTO MENSAL COLETA REGULAR R$</t>
  </si>
  <si>
    <t>CUSTO MENSAL COLETA SELETIVA R$</t>
  </si>
  <si>
    <t>Custo (R$)</t>
  </si>
  <si>
    <t>1. Mão de Obra</t>
  </si>
  <si>
    <t>2. EPI</t>
  </si>
  <si>
    <t>3. Veículos</t>
  </si>
  <si>
    <t>4. Sistema de Monitoramento</t>
  </si>
  <si>
    <t>5. Administração Central</t>
  </si>
  <si>
    <t>6. Ferramentas e Mat. Consumo</t>
  </si>
  <si>
    <t>7. Remuneração de Capital</t>
  </si>
  <si>
    <t>8. BDI</t>
  </si>
  <si>
    <t>Kit de primeiros socorros</t>
  </si>
  <si>
    <t>C. do Arla 32</t>
  </si>
  <si>
    <t>Custo mensal de Arla 32</t>
  </si>
  <si>
    <t>Custo de recapagens num jogo de pneus</t>
  </si>
  <si>
    <t>Depesas administrativas mês</t>
  </si>
  <si>
    <t>Depreciação dos chassis (120 mês)</t>
  </si>
  <si>
    <t>Depreciação dos compactadores (120 mês)</t>
  </si>
  <si>
    <t>Grupo A sobre aviso prévio</t>
  </si>
  <si>
    <t>R$</t>
  </si>
  <si>
    <t>TOTAL (R$)</t>
  </si>
  <si>
    <t>Desconto Contribuição empregado auxílio alimentação</t>
  </si>
  <si>
    <t>CUSTO MENSAL</t>
  </si>
  <si>
    <t>C. de óleo hidráulico</t>
  </si>
  <si>
    <t>C. de graxa /1000Km</t>
  </si>
  <si>
    <t>1. MÃO DE OBRA</t>
  </si>
  <si>
    <t>2. EPIS</t>
  </si>
  <si>
    <t>3. VEÍCULOS</t>
  </si>
  <si>
    <t>4. SISTEMA DE MONITORAMENTO</t>
  </si>
  <si>
    <t>5. ADMINISTRAÇÃO LOCAL</t>
  </si>
  <si>
    <t>6. FERRAMENTAS E MATERIAL DE CONSUMO</t>
  </si>
  <si>
    <t>7. REMUNERAÇÃO DE CAPITAL</t>
  </si>
  <si>
    <t>COMPOSIÇÃO DO BDI - BENEFÍCIOS E DESPESAS INDIRETAS</t>
  </si>
  <si>
    <t>9. ENCARGOS SOCIAIS</t>
  </si>
  <si>
    <t>COLETA REGULAR/SELETIVA</t>
  </si>
  <si>
    <t>Calçado de Segurança com solado antiderrapante, solado bidensidade com palmilha de aço</t>
  </si>
  <si>
    <t>CONSUMO COLETA REGULAR</t>
  </si>
  <si>
    <t>CONSUMO COLETA SELETIVA</t>
  </si>
  <si>
    <t>PNEUS COLETA REGULAR</t>
  </si>
  <si>
    <t>MONITORAMENTO DA FROTA COLETA REGULAR/COLETA SELETIVA</t>
  </si>
  <si>
    <t>ADMINISTRAÇÃO LOCAL COLETA REGULAR/SELETIVA</t>
  </si>
  <si>
    <t>TOTAL MÃO DE OBRA COLETA REGULAR R$</t>
  </si>
  <si>
    <t>TOTAL MÃO DE OBRA COLETA SELETIVA R$</t>
  </si>
  <si>
    <t>TOTAL EPI's COLETA REGULAR R$</t>
  </si>
  <si>
    <t>TOTAL VEÍCULOS COLETA REGULAR</t>
  </si>
  <si>
    <t>PNEUS COLETA SELETIVA</t>
  </si>
  <si>
    <t>TOTAL VEÍCULOS COLETA SELETIVA</t>
  </si>
  <si>
    <t>TOTAL ADMINISTRAÇÃO COLETA REGULAR</t>
  </si>
  <si>
    <t>TOTAL ADMINISTRAÇÃO COLETA SELETIVA</t>
  </si>
  <si>
    <t>Energia e água</t>
  </si>
  <si>
    <t>9. TOTAL COLETA REGULAR</t>
  </si>
  <si>
    <t>10. TOTAL COLETA SELETIVA</t>
  </si>
  <si>
    <t>CUSTOS RESUMIDOS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</si>
</sst>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1" xfId="0" applyFont="1" applyBorder="1" applyAlignment="1">
      <alignment vertical="top" wrapText="1"/>
    </xf>
    <xf numFmtId="13" fontId="0" fillId="0" borderId="1" xfId="0" applyNumberFormat="1" applyBorder="1" applyAlignment="1">
      <alignment horizontal="center" vertic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Border="1"/>
    <xf numFmtId="0" fontId="0" fillId="0" borderId="1" xfId="0" applyFont="1" applyFill="1" applyBorder="1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ont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2" fontId="1" fillId="0" borderId="0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2" fontId="1" fillId="0" borderId="0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/>
    <xf numFmtId="0" fontId="0" fillId="0" borderId="0" xfId="0" applyFill="1" applyBorder="1"/>
    <xf numFmtId="10" fontId="0" fillId="0" borderId="0" xfId="0" applyNumberFormat="1" applyAlignment="1">
      <alignment horizontal="center"/>
    </xf>
    <xf numFmtId="0" fontId="0" fillId="0" borderId="1" xfId="0" applyFill="1" applyBorder="1"/>
    <xf numFmtId="0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ont="1" applyFill="1" applyBorder="1" applyAlignment="1"/>
    <xf numFmtId="0" fontId="0" fillId="0" borderId="1" xfId="0" applyFill="1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Font="1"/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7" fillId="0" borderId="11" xfId="0" applyFont="1" applyBorder="1"/>
    <xf numFmtId="0" fontId="7" fillId="0" borderId="0" xfId="0" applyFont="1" applyBorder="1"/>
    <xf numFmtId="9" fontId="7" fillId="0" borderId="16" xfId="1" applyFont="1" applyBorder="1"/>
    <xf numFmtId="9" fontId="7" fillId="0" borderId="1" xfId="1" applyFont="1" applyBorder="1" applyAlignment="1">
      <alignment horizontal="center"/>
    </xf>
    <xf numFmtId="9" fontId="7" fillId="0" borderId="17" xfId="1" applyFont="1" applyBorder="1"/>
    <xf numFmtId="0" fontId="7" fillId="0" borderId="13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/>
    </xf>
    <xf numFmtId="10" fontId="7" fillId="3" borderId="15" xfId="0" applyNumberFormat="1" applyFont="1" applyFill="1" applyBorder="1" applyAlignment="1">
      <alignment horizontal="center" vertical="center"/>
    </xf>
    <xf numFmtId="10" fontId="7" fillId="0" borderId="16" xfId="1" applyNumberFormat="1" applyFont="1" applyBorder="1" applyAlignment="1">
      <alignment horizontal="right"/>
    </xf>
    <xf numFmtId="10" fontId="7" fillId="0" borderId="1" xfId="1" applyNumberFormat="1" applyFont="1" applyBorder="1" applyAlignment="1">
      <alignment horizontal="right"/>
    </xf>
    <xf numFmtId="10" fontId="7" fillId="0" borderId="17" xfId="1" applyNumberFormat="1" applyFont="1" applyBorder="1" applyAlignment="1">
      <alignment horizontal="right"/>
    </xf>
    <xf numFmtId="0" fontId="7" fillId="0" borderId="1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10" fontId="7" fillId="3" borderId="17" xfId="0" applyNumberFormat="1" applyFont="1" applyFill="1" applyBorder="1" applyAlignment="1">
      <alignment horizontal="center" vertical="center"/>
    </xf>
    <xf numFmtId="10" fontId="7" fillId="0" borderId="17" xfId="0" applyNumberFormat="1" applyFont="1" applyFill="1" applyBorder="1" applyAlignment="1">
      <alignment horizontal="center" vertical="center"/>
    </xf>
    <xf numFmtId="10" fontId="7" fillId="3" borderId="1" xfId="1" applyNumberFormat="1" applyFont="1" applyFill="1" applyBorder="1" applyAlignment="1">
      <alignment horizontal="center"/>
    </xf>
    <xf numFmtId="10" fontId="7" fillId="0" borderId="17" xfId="1" applyNumberFormat="1" applyFont="1" applyBorder="1"/>
    <xf numFmtId="0" fontId="7" fillId="0" borderId="16" xfId="0" applyFont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7" fillId="0" borderId="17" xfId="0" applyFont="1" applyBorder="1"/>
    <xf numFmtId="0" fontId="7" fillId="0" borderId="18" xfId="0" applyFont="1" applyFill="1" applyBorder="1" applyAlignment="1">
      <alignment horizontal="left" vertical="center"/>
    </xf>
    <xf numFmtId="10" fontId="7" fillId="3" borderId="20" xfId="0" applyNumberFormat="1" applyFont="1" applyFill="1" applyBorder="1" applyAlignment="1">
      <alignment horizontal="center" vertical="center"/>
    </xf>
    <xf numFmtId="0" fontId="7" fillId="0" borderId="16" xfId="0" applyFont="1" applyBorder="1"/>
    <xf numFmtId="0" fontId="7" fillId="0" borderId="1" xfId="0" applyFont="1" applyBorder="1" applyAlignment="1">
      <alignment horizont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10" fontId="7" fillId="0" borderId="10" xfId="0" applyNumberFormat="1" applyFont="1" applyFill="1" applyBorder="1" applyAlignment="1">
      <alignment vertical="center"/>
    </xf>
    <xf numFmtId="0" fontId="7" fillId="0" borderId="21" xfId="0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left" vertical="center"/>
    </xf>
    <xf numFmtId="0" fontId="7" fillId="0" borderId="23" xfId="0" applyFont="1" applyFill="1" applyBorder="1" applyAlignment="1">
      <alignment vertical="center"/>
    </xf>
    <xf numFmtId="0" fontId="6" fillId="4" borderId="24" xfId="0" applyFont="1" applyFill="1" applyBorder="1" applyAlignment="1">
      <alignment vertical="center" wrapText="1"/>
    </xf>
    <xf numFmtId="0" fontId="7" fillId="4" borderId="25" xfId="0" applyFont="1" applyFill="1" applyBorder="1" applyAlignment="1">
      <alignment vertical="center"/>
    </xf>
    <xf numFmtId="10" fontId="6" fillId="4" borderId="26" xfId="0" applyNumberFormat="1" applyFont="1" applyFill="1" applyBorder="1" applyAlignment="1">
      <alignment horizontal="center" vertical="center" wrapText="1"/>
    </xf>
    <xf numFmtId="10" fontId="7" fillId="0" borderId="18" xfId="1" applyNumberFormat="1" applyFont="1" applyBorder="1" applyAlignment="1">
      <alignment horizontal="right"/>
    </xf>
    <xf numFmtId="10" fontId="7" fillId="0" borderId="19" xfId="1" applyNumberFormat="1" applyFont="1" applyBorder="1" applyAlignment="1">
      <alignment horizontal="right"/>
    </xf>
    <xf numFmtId="10" fontId="7" fillId="0" borderId="20" xfId="1" applyNumberFormat="1" applyFont="1" applyBorder="1" applyAlignment="1">
      <alignment horizontal="right"/>
    </xf>
    <xf numFmtId="0" fontId="0" fillId="0" borderId="1" xfId="0" applyBorder="1" applyAlignment="1"/>
    <xf numFmtId="0" fontId="1" fillId="0" borderId="0" xfId="0" applyFont="1" applyBorder="1"/>
    <xf numFmtId="0" fontId="0" fillId="0" borderId="0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2" fontId="1" fillId="0" borderId="0" xfId="0" applyNumberFormat="1" applyFont="1" applyBorder="1" applyAlignment="1"/>
    <xf numFmtId="164" fontId="0" fillId="0" borderId="0" xfId="0" applyNumberFormat="1"/>
    <xf numFmtId="0" fontId="0" fillId="4" borderId="16" xfId="0" applyFill="1" applyBorder="1"/>
    <xf numFmtId="0" fontId="1" fillId="4" borderId="17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2" fontId="1" fillId="0" borderId="20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0" fillId="0" borderId="1" xfId="0" applyBorder="1" applyAlignment="1"/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5" xfId="0" applyBorder="1" applyAlignment="1">
      <alignment vertical="top" wrapText="1"/>
    </xf>
    <xf numFmtId="0" fontId="0" fillId="0" borderId="6" xfId="0" applyBorder="1" applyAlignment="1"/>
    <xf numFmtId="0" fontId="0" fillId="0" borderId="7" xfId="0" applyBorder="1" applyAlignment="1"/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1" fillId="4" borderId="1" xfId="0" applyFont="1" applyFill="1" applyBorder="1" applyAlignment="1"/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/>
    <xf numFmtId="0" fontId="0" fillId="0" borderId="2" xfId="0" applyFont="1" applyBorder="1" applyAlignment="1">
      <alignment horizontal="center"/>
    </xf>
    <xf numFmtId="0" fontId="0" fillId="0" borderId="5" xfId="0" applyFont="1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9" fontId="6" fillId="0" borderId="13" xfId="1" applyFont="1" applyBorder="1" applyAlignment="1">
      <alignment horizontal="center"/>
    </xf>
    <xf numFmtId="9" fontId="6" fillId="0" borderId="14" xfId="1" applyFont="1" applyBorder="1" applyAlignment="1">
      <alignment horizontal="center"/>
    </xf>
    <xf numFmtId="9" fontId="6" fillId="0" borderId="15" xfId="1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13" zoomScaleNormal="100" workbookViewId="0">
      <selection activeCell="A40" sqref="A40:E40"/>
    </sheetView>
  </sheetViews>
  <sheetFormatPr defaultRowHeight="15" x14ac:dyDescent="0.25"/>
  <cols>
    <col min="1" max="1" width="45.7109375" customWidth="1"/>
    <col min="2" max="2" width="8.85546875" customWidth="1"/>
    <col min="3" max="3" width="11" customWidth="1"/>
    <col min="4" max="4" width="13.28515625" customWidth="1"/>
    <col min="5" max="5" width="9.42578125" style="3" customWidth="1"/>
    <col min="6" max="6" width="12.140625" style="3" customWidth="1"/>
    <col min="7" max="7" width="9.5703125" bestFit="1" customWidth="1"/>
  </cols>
  <sheetData>
    <row r="1" spans="1:6" x14ac:dyDescent="0.25">
      <c r="A1" s="4" t="s">
        <v>185</v>
      </c>
    </row>
    <row r="3" spans="1:6" x14ac:dyDescent="0.25">
      <c r="A3" s="4" t="s">
        <v>194</v>
      </c>
      <c r="C3" s="1"/>
    </row>
    <row r="5" spans="1:6" x14ac:dyDescent="0.25">
      <c r="A5" s="4" t="s">
        <v>1</v>
      </c>
    </row>
    <row r="6" spans="1:6" x14ac:dyDescent="0.25">
      <c r="A6" s="55"/>
      <c r="B6" s="56" t="s">
        <v>6</v>
      </c>
      <c r="C6" s="56" t="s">
        <v>7</v>
      </c>
      <c r="D6" s="56" t="s">
        <v>8</v>
      </c>
      <c r="E6" s="57" t="s">
        <v>9</v>
      </c>
      <c r="F6" s="57" t="s">
        <v>10</v>
      </c>
    </row>
    <row r="7" spans="1:6" x14ac:dyDescent="0.25">
      <c r="A7" s="5" t="s">
        <v>2</v>
      </c>
      <c r="B7" s="8" t="s">
        <v>11</v>
      </c>
      <c r="C7" s="9">
        <v>1</v>
      </c>
      <c r="D7" s="9">
        <v>2082.31</v>
      </c>
      <c r="E7" s="9">
        <f>C7*D7</f>
        <v>2082.31</v>
      </c>
      <c r="F7" s="124"/>
    </row>
    <row r="8" spans="1:6" x14ac:dyDescent="0.25">
      <c r="A8" s="5" t="s">
        <v>3</v>
      </c>
      <c r="B8" s="8" t="s">
        <v>13</v>
      </c>
      <c r="C8" s="9">
        <v>40</v>
      </c>
      <c r="D8" s="9">
        <f>E7</f>
        <v>2082.31</v>
      </c>
      <c r="E8" s="9">
        <f>D8*C8%</f>
        <v>832.92399999999998</v>
      </c>
      <c r="F8" s="125"/>
    </row>
    <row r="9" spans="1:6" x14ac:dyDescent="0.25">
      <c r="A9" s="123" t="s">
        <v>5</v>
      </c>
      <c r="B9" s="123"/>
      <c r="C9" s="123"/>
      <c r="D9" s="123"/>
      <c r="E9" s="9">
        <f>SUM(E7:E8)</f>
        <v>2915.2339999999999</v>
      </c>
      <c r="F9" s="125"/>
    </row>
    <row r="10" spans="1:6" x14ac:dyDescent="0.25">
      <c r="A10" s="5" t="s">
        <v>15</v>
      </c>
      <c r="B10" s="8" t="s">
        <v>13</v>
      </c>
      <c r="C10" s="9">
        <v>74.95</v>
      </c>
      <c r="D10" s="9">
        <f>E9</f>
        <v>2915.2339999999999</v>
      </c>
      <c r="E10" s="9">
        <f>D10*C10%</f>
        <v>2184.9678830000003</v>
      </c>
      <c r="F10" s="125"/>
    </row>
    <row r="11" spans="1:6" x14ac:dyDescent="0.25">
      <c r="A11" s="5" t="s">
        <v>38</v>
      </c>
      <c r="B11" s="8" t="s">
        <v>39</v>
      </c>
      <c r="C11" s="9">
        <v>26</v>
      </c>
      <c r="D11" s="9">
        <v>27.15</v>
      </c>
      <c r="E11" s="9">
        <f>C11*D11</f>
        <v>705.9</v>
      </c>
      <c r="F11" s="125"/>
    </row>
    <row r="12" spans="1:6" x14ac:dyDescent="0.25">
      <c r="A12" s="5" t="s">
        <v>181</v>
      </c>
      <c r="B12" s="8" t="s">
        <v>13</v>
      </c>
      <c r="C12" s="9">
        <v>19</v>
      </c>
      <c r="D12" s="9">
        <f>E11</f>
        <v>705.9</v>
      </c>
      <c r="E12" s="9">
        <f>-D12*C12%</f>
        <v>-134.12100000000001</v>
      </c>
      <c r="F12" s="125"/>
    </row>
    <row r="13" spans="1:6" x14ac:dyDescent="0.25">
      <c r="A13" s="5" t="s">
        <v>85</v>
      </c>
      <c r="B13" s="8" t="s">
        <v>32</v>
      </c>
      <c r="C13" s="9">
        <v>1</v>
      </c>
      <c r="D13" s="9">
        <v>25.52</v>
      </c>
      <c r="E13" s="9">
        <f>D13*C13</f>
        <v>25.52</v>
      </c>
      <c r="F13" s="125"/>
    </row>
    <row r="14" spans="1:6" x14ac:dyDescent="0.25">
      <c r="A14" s="123" t="s">
        <v>14</v>
      </c>
      <c r="B14" s="123"/>
      <c r="C14" s="123"/>
      <c r="D14" s="123"/>
      <c r="E14" s="9">
        <f>SUM(E9:E13)</f>
        <v>5697.5008829999997</v>
      </c>
      <c r="F14" s="126"/>
    </row>
    <row r="15" spans="1:6" x14ac:dyDescent="0.25">
      <c r="A15" s="21" t="s">
        <v>16</v>
      </c>
      <c r="B15" s="8" t="s">
        <v>17</v>
      </c>
      <c r="C15" s="9">
        <v>15</v>
      </c>
      <c r="D15" s="7">
        <f>E14</f>
        <v>5697.5008829999997</v>
      </c>
      <c r="E15" s="7">
        <f>D15*C15</f>
        <v>85462.513244999995</v>
      </c>
      <c r="F15" s="16">
        <f>E15</f>
        <v>85462.513244999995</v>
      </c>
    </row>
    <row r="17" spans="1:6" x14ac:dyDescent="0.25">
      <c r="A17" s="4" t="s">
        <v>18</v>
      </c>
    </row>
    <row r="18" spans="1:6" x14ac:dyDescent="0.25">
      <c r="A18" s="55"/>
      <c r="B18" s="56" t="s">
        <v>6</v>
      </c>
      <c r="C18" s="56" t="s">
        <v>7</v>
      </c>
      <c r="D18" s="56" t="s">
        <v>8</v>
      </c>
      <c r="E18" s="57" t="s">
        <v>9</v>
      </c>
      <c r="F18" s="57" t="s">
        <v>10</v>
      </c>
    </row>
    <row r="19" spans="1:6" x14ac:dyDescent="0.25">
      <c r="A19" s="5" t="s">
        <v>2</v>
      </c>
      <c r="B19" s="8" t="s">
        <v>11</v>
      </c>
      <c r="C19" s="9">
        <v>1</v>
      </c>
      <c r="D19" s="9">
        <v>2331.4</v>
      </c>
      <c r="E19" s="9">
        <f>C19*D19</f>
        <v>2331.4</v>
      </c>
      <c r="F19" s="124"/>
    </row>
    <row r="20" spans="1:6" x14ac:dyDescent="0.25">
      <c r="A20" s="5" t="s">
        <v>3</v>
      </c>
      <c r="B20" s="8" t="s">
        <v>13</v>
      </c>
      <c r="C20" s="9">
        <v>20</v>
      </c>
      <c r="D20" s="9">
        <v>1212</v>
      </c>
      <c r="E20" s="9">
        <f>D20*C20%</f>
        <v>242.4</v>
      </c>
      <c r="F20" s="125"/>
    </row>
    <row r="21" spans="1:6" x14ac:dyDescent="0.25">
      <c r="A21" s="123" t="s">
        <v>5</v>
      </c>
      <c r="B21" s="123"/>
      <c r="C21" s="123"/>
      <c r="D21" s="123"/>
      <c r="E21" s="9">
        <f>SUM(E19:E20)</f>
        <v>2573.8000000000002</v>
      </c>
      <c r="F21" s="125"/>
    </row>
    <row r="22" spans="1:6" x14ac:dyDescent="0.25">
      <c r="A22" s="5" t="s">
        <v>15</v>
      </c>
      <c r="B22" s="8" t="s">
        <v>13</v>
      </c>
      <c r="C22" s="9">
        <v>74.95</v>
      </c>
      <c r="D22" s="9">
        <f>E21</f>
        <v>2573.8000000000002</v>
      </c>
      <c r="E22" s="9">
        <f>D22*C22%</f>
        <v>1929.0631000000003</v>
      </c>
      <c r="F22" s="125"/>
    </row>
    <row r="23" spans="1:6" x14ac:dyDescent="0.25">
      <c r="A23" s="5" t="s">
        <v>40</v>
      </c>
      <c r="B23" s="8" t="s">
        <v>39</v>
      </c>
      <c r="C23" s="9">
        <v>26</v>
      </c>
      <c r="D23" s="9">
        <v>19</v>
      </c>
      <c r="E23" s="9">
        <f>C23*D23</f>
        <v>494</v>
      </c>
      <c r="F23" s="125"/>
    </row>
    <row r="24" spans="1:6" x14ac:dyDescent="0.25">
      <c r="A24" s="5" t="s">
        <v>181</v>
      </c>
      <c r="B24" s="8" t="s">
        <v>13</v>
      </c>
      <c r="C24" s="9">
        <v>20</v>
      </c>
      <c r="D24" s="9">
        <f>E23</f>
        <v>494</v>
      </c>
      <c r="E24" s="9">
        <f>-D24*0.2</f>
        <v>-98.800000000000011</v>
      </c>
      <c r="F24" s="125"/>
    </row>
    <row r="25" spans="1:6" x14ac:dyDescent="0.25">
      <c r="A25" s="5" t="s">
        <v>38</v>
      </c>
      <c r="B25" s="8" t="s">
        <v>11</v>
      </c>
      <c r="C25" s="9">
        <v>1</v>
      </c>
      <c r="D25" s="9">
        <v>138</v>
      </c>
      <c r="E25" s="9">
        <f>C25*D25</f>
        <v>138</v>
      </c>
      <c r="F25" s="125"/>
    </row>
    <row r="26" spans="1:6" x14ac:dyDescent="0.25">
      <c r="A26" s="123" t="s">
        <v>46</v>
      </c>
      <c r="B26" s="123"/>
      <c r="C26" s="123"/>
      <c r="D26" s="123"/>
      <c r="E26" s="9">
        <f>SUM(E21:E25)</f>
        <v>5036.0631000000003</v>
      </c>
      <c r="F26" s="126"/>
    </row>
    <row r="27" spans="1:6" x14ac:dyDescent="0.25">
      <c r="A27" s="30" t="s">
        <v>16</v>
      </c>
      <c r="B27" s="8" t="s">
        <v>17</v>
      </c>
      <c r="C27" s="9">
        <v>5</v>
      </c>
      <c r="D27" s="7">
        <f>E26</f>
        <v>5036.0631000000003</v>
      </c>
      <c r="E27" s="7">
        <f>D27*C27</f>
        <v>25180.315500000001</v>
      </c>
      <c r="F27" s="16">
        <f>E27</f>
        <v>25180.315500000001</v>
      </c>
    </row>
    <row r="29" spans="1:6" x14ac:dyDescent="0.25">
      <c r="A29" s="4" t="s">
        <v>19</v>
      </c>
    </row>
    <row r="30" spans="1:6" x14ac:dyDescent="0.25">
      <c r="A30" s="55"/>
      <c r="B30" s="56" t="s">
        <v>6</v>
      </c>
      <c r="C30" s="56" t="s">
        <v>7</v>
      </c>
      <c r="D30" s="56" t="s">
        <v>8</v>
      </c>
      <c r="E30" s="57" t="s">
        <v>9</v>
      </c>
      <c r="F30" s="57" t="s">
        <v>10</v>
      </c>
    </row>
    <row r="31" spans="1:6" x14ac:dyDescent="0.25">
      <c r="A31" s="5" t="s">
        <v>2</v>
      </c>
      <c r="B31" s="8" t="s">
        <v>11</v>
      </c>
      <c r="C31" s="9">
        <v>1</v>
      </c>
      <c r="D31" s="9">
        <v>4164.62</v>
      </c>
      <c r="E31" s="9">
        <f>C31*D31</f>
        <v>4164.62</v>
      </c>
      <c r="F31" s="124"/>
    </row>
    <row r="32" spans="1:6" x14ac:dyDescent="0.25">
      <c r="A32" s="5" t="s">
        <v>4</v>
      </c>
      <c r="B32" s="8" t="s">
        <v>12</v>
      </c>
      <c r="C32" s="9">
        <v>6.75</v>
      </c>
      <c r="D32" s="9">
        <v>23.24</v>
      </c>
      <c r="E32" s="9">
        <f>C32*D32</f>
        <v>156.86999999999998</v>
      </c>
      <c r="F32" s="125"/>
    </row>
    <row r="33" spans="1:7" x14ac:dyDescent="0.25">
      <c r="A33" s="5" t="s">
        <v>3</v>
      </c>
      <c r="B33" s="8" t="s">
        <v>13</v>
      </c>
      <c r="C33" s="9">
        <v>20</v>
      </c>
      <c r="D33" s="9">
        <v>1212</v>
      </c>
      <c r="E33" s="9">
        <f>D33*C33%</f>
        <v>242.4</v>
      </c>
      <c r="F33" s="125"/>
    </row>
    <row r="34" spans="1:7" x14ac:dyDescent="0.25">
      <c r="A34" s="123" t="s">
        <v>5</v>
      </c>
      <c r="B34" s="123"/>
      <c r="C34" s="123"/>
      <c r="D34" s="123"/>
      <c r="E34" s="9">
        <f>SUM(E31:E33)</f>
        <v>4563.8899999999994</v>
      </c>
      <c r="F34" s="125"/>
    </row>
    <row r="35" spans="1:7" x14ac:dyDescent="0.25">
      <c r="A35" s="5" t="s">
        <v>15</v>
      </c>
      <c r="B35" s="8" t="s">
        <v>13</v>
      </c>
      <c r="C35" s="9">
        <v>74.95</v>
      </c>
      <c r="D35" s="9">
        <f>E34</f>
        <v>4563.8899999999994</v>
      </c>
      <c r="E35" s="9">
        <f>D35*C35%</f>
        <v>3420.6355549999998</v>
      </c>
      <c r="F35" s="125"/>
    </row>
    <row r="36" spans="1:7" x14ac:dyDescent="0.25">
      <c r="A36" s="5" t="s">
        <v>40</v>
      </c>
      <c r="B36" s="8" t="s">
        <v>39</v>
      </c>
      <c r="C36" s="9">
        <v>26</v>
      </c>
      <c r="D36" s="9">
        <v>19</v>
      </c>
      <c r="E36" s="9">
        <f>C36*D36</f>
        <v>494</v>
      </c>
      <c r="F36" s="125"/>
    </row>
    <row r="37" spans="1:7" x14ac:dyDescent="0.25">
      <c r="A37" s="123" t="s">
        <v>20</v>
      </c>
      <c r="B37" s="123"/>
      <c r="C37" s="123"/>
      <c r="D37" s="123"/>
      <c r="E37" s="9">
        <f>SUM(E34:E36)</f>
        <v>8478.5255550000002</v>
      </c>
      <c r="F37" s="126"/>
    </row>
    <row r="38" spans="1:7" x14ac:dyDescent="0.25">
      <c r="A38" s="21" t="s">
        <v>16</v>
      </c>
      <c r="B38" s="8" t="s">
        <v>17</v>
      </c>
      <c r="C38" s="9">
        <v>0.5</v>
      </c>
      <c r="D38" s="7">
        <f>E37</f>
        <v>8478.5255550000002</v>
      </c>
      <c r="E38" s="7">
        <f>D38*C38</f>
        <v>4239.2627775000001</v>
      </c>
      <c r="F38" s="16">
        <f>E38</f>
        <v>4239.2627775000001</v>
      </c>
    </row>
    <row r="40" spans="1:7" x14ac:dyDescent="0.25">
      <c r="A40" s="122" t="s">
        <v>201</v>
      </c>
      <c r="B40" s="122"/>
      <c r="C40" s="122"/>
      <c r="D40" s="122"/>
      <c r="E40" s="122"/>
      <c r="F40" s="57">
        <f>((F15+F27+F38)/5)*3</f>
        <v>68929.254913500001</v>
      </c>
    </row>
    <row r="42" spans="1:7" x14ac:dyDescent="0.25">
      <c r="A42" s="122" t="s">
        <v>202</v>
      </c>
      <c r="B42" s="122"/>
      <c r="C42" s="122"/>
      <c r="D42" s="122"/>
      <c r="E42" s="122"/>
      <c r="F42" s="57">
        <f>((F15+F27+F38)/5)*2</f>
        <v>45952.836608999998</v>
      </c>
    </row>
    <row r="44" spans="1:7" x14ac:dyDescent="0.25">
      <c r="G44" s="3"/>
    </row>
    <row r="46" spans="1:7" ht="13.5" customHeight="1" x14ac:dyDescent="0.25"/>
  </sheetData>
  <mergeCells count="11">
    <mergeCell ref="A42:E42"/>
    <mergeCell ref="A40:E40"/>
    <mergeCell ref="A9:D9"/>
    <mergeCell ref="A14:D14"/>
    <mergeCell ref="F7:F14"/>
    <mergeCell ref="F19:F26"/>
    <mergeCell ref="A21:D21"/>
    <mergeCell ref="A26:D26"/>
    <mergeCell ref="F31:F37"/>
    <mergeCell ref="A34:D34"/>
    <mergeCell ref="A37:D37"/>
  </mergeCells>
  <pageMargins left="0" right="0" top="0.19685039370078741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zoomScaleNormal="100" workbookViewId="0">
      <selection activeCell="F35" sqref="A1:F35"/>
    </sheetView>
  </sheetViews>
  <sheetFormatPr defaultRowHeight="15" x14ac:dyDescent="0.25"/>
  <cols>
    <col min="1" max="1" width="52.42578125" customWidth="1"/>
    <col min="2" max="2" width="10.42578125" style="2" customWidth="1"/>
    <col min="3" max="3" width="11.7109375" style="2" customWidth="1"/>
    <col min="4" max="4" width="13.85546875" style="2" customWidth="1"/>
    <col min="5" max="5" width="11.28515625" style="2" customWidth="1"/>
    <col min="6" max="6" width="12.7109375" style="2" customWidth="1"/>
  </cols>
  <sheetData>
    <row r="1" spans="1:6" x14ac:dyDescent="0.25">
      <c r="A1" s="4" t="s">
        <v>186</v>
      </c>
    </row>
    <row r="3" spans="1:6" x14ac:dyDescent="0.25">
      <c r="A3" s="4" t="s">
        <v>194</v>
      </c>
    </row>
    <row r="5" spans="1:6" x14ac:dyDescent="0.25">
      <c r="A5" s="4" t="s">
        <v>22</v>
      </c>
    </row>
    <row r="6" spans="1:6" x14ac:dyDescent="0.25">
      <c r="A6" s="55"/>
      <c r="B6" s="57" t="s">
        <v>6</v>
      </c>
      <c r="C6" s="57" t="s">
        <v>7</v>
      </c>
      <c r="D6" s="57" t="s">
        <v>8</v>
      </c>
      <c r="E6" s="57" t="s">
        <v>9</v>
      </c>
      <c r="F6" s="57" t="s">
        <v>10</v>
      </c>
    </row>
    <row r="7" spans="1:6" x14ac:dyDescent="0.25">
      <c r="A7" s="5" t="s">
        <v>23</v>
      </c>
      <c r="B7" s="7" t="s">
        <v>32</v>
      </c>
      <c r="C7" s="13">
        <v>5.5555555555555552E-2</v>
      </c>
      <c r="D7" s="9">
        <v>159.9</v>
      </c>
      <c r="E7" s="9">
        <f>C7*D7</f>
        <v>8.8833333333333329</v>
      </c>
      <c r="F7" s="130"/>
    </row>
    <row r="8" spans="1:6" x14ac:dyDescent="0.25">
      <c r="A8" s="5" t="s">
        <v>24</v>
      </c>
      <c r="B8" s="7" t="s">
        <v>32</v>
      </c>
      <c r="C8" s="13">
        <v>0.16666666666666666</v>
      </c>
      <c r="D8" s="9">
        <v>45.5</v>
      </c>
      <c r="E8" s="9">
        <f t="shared" ref="E8:E16" si="0">C8*D8</f>
        <v>7.583333333333333</v>
      </c>
      <c r="F8" s="131"/>
    </row>
    <row r="9" spans="1:6" x14ac:dyDescent="0.25">
      <c r="A9" s="5" t="s">
        <v>25</v>
      </c>
      <c r="B9" s="7" t="s">
        <v>32</v>
      </c>
      <c r="C9" s="13">
        <v>0.16666666666666666</v>
      </c>
      <c r="D9" s="9">
        <v>25.9</v>
      </c>
      <c r="E9" s="9">
        <f t="shared" si="0"/>
        <v>4.3166666666666664</v>
      </c>
      <c r="F9" s="131"/>
    </row>
    <row r="10" spans="1:6" x14ac:dyDescent="0.25">
      <c r="A10" s="5" t="s">
        <v>26</v>
      </c>
      <c r="B10" s="7" t="s">
        <v>32</v>
      </c>
      <c r="C10" s="13">
        <v>0.16666666666666666</v>
      </c>
      <c r="D10" s="9">
        <v>30.64</v>
      </c>
      <c r="E10" s="9">
        <f t="shared" si="0"/>
        <v>5.1066666666666665</v>
      </c>
      <c r="F10" s="131"/>
    </row>
    <row r="11" spans="1:6" ht="30" x14ac:dyDescent="0.25">
      <c r="A11" s="66" t="s">
        <v>195</v>
      </c>
      <c r="B11" s="9" t="s">
        <v>33</v>
      </c>
      <c r="C11" s="13">
        <v>0.16666666666666666</v>
      </c>
      <c r="D11" s="9">
        <v>52.16</v>
      </c>
      <c r="E11" s="9">
        <f t="shared" si="0"/>
        <v>8.6933333333333316</v>
      </c>
      <c r="F11" s="131"/>
    </row>
    <row r="12" spans="1:6" x14ac:dyDescent="0.25">
      <c r="A12" s="5" t="s">
        <v>27</v>
      </c>
      <c r="B12" s="7" t="s">
        <v>33</v>
      </c>
      <c r="C12" s="13">
        <v>0.16666666666666666</v>
      </c>
      <c r="D12" s="9">
        <v>12.31</v>
      </c>
      <c r="E12" s="9">
        <f t="shared" si="0"/>
        <v>2.0516666666666667</v>
      </c>
      <c r="F12" s="131"/>
    </row>
    <row r="13" spans="1:6" x14ac:dyDescent="0.25">
      <c r="A13" s="5" t="s">
        <v>28</v>
      </c>
      <c r="B13" s="7" t="s">
        <v>32</v>
      </c>
      <c r="C13" s="13">
        <v>5.5555555555555552E-2</v>
      </c>
      <c r="D13" s="9">
        <v>35.090000000000003</v>
      </c>
      <c r="E13" s="9">
        <f t="shared" si="0"/>
        <v>1.9494444444444445</v>
      </c>
      <c r="F13" s="131"/>
    </row>
    <row r="14" spans="1:6" x14ac:dyDescent="0.25">
      <c r="A14" s="5" t="s">
        <v>29</v>
      </c>
      <c r="B14" s="7" t="s">
        <v>33</v>
      </c>
      <c r="C14" s="10">
        <v>4</v>
      </c>
      <c r="D14" s="9">
        <v>18.12</v>
      </c>
      <c r="E14" s="9">
        <f t="shared" si="0"/>
        <v>72.48</v>
      </c>
      <c r="F14" s="131"/>
    </row>
    <row r="15" spans="1:6" x14ac:dyDescent="0.25">
      <c r="A15" s="5" t="s">
        <v>30</v>
      </c>
      <c r="B15" s="7" t="s">
        <v>32</v>
      </c>
      <c r="C15" s="10">
        <v>1</v>
      </c>
      <c r="D15" s="9">
        <v>14.32</v>
      </c>
      <c r="E15" s="9">
        <f t="shared" si="0"/>
        <v>14.32</v>
      </c>
      <c r="F15" s="131"/>
    </row>
    <row r="16" spans="1:6" x14ac:dyDescent="0.25">
      <c r="A16" s="12" t="s">
        <v>31</v>
      </c>
      <c r="B16" s="7" t="s">
        <v>32</v>
      </c>
      <c r="C16" s="10">
        <v>1</v>
      </c>
      <c r="D16" s="9">
        <v>35.880000000000003</v>
      </c>
      <c r="E16" s="9">
        <f t="shared" si="0"/>
        <v>35.880000000000003</v>
      </c>
      <c r="F16" s="131"/>
    </row>
    <row r="17" spans="1:6" x14ac:dyDescent="0.25">
      <c r="A17" s="127" t="s">
        <v>35</v>
      </c>
      <c r="B17" s="128"/>
      <c r="C17" s="128"/>
      <c r="D17" s="129"/>
      <c r="E17" s="9">
        <v>102.64</v>
      </c>
      <c r="F17" s="132"/>
    </row>
    <row r="18" spans="1:6" x14ac:dyDescent="0.25">
      <c r="A18" s="21" t="s">
        <v>34</v>
      </c>
      <c r="B18" s="7" t="s">
        <v>17</v>
      </c>
      <c r="C18" s="7">
        <v>15</v>
      </c>
      <c r="D18" s="7">
        <f>E17</f>
        <v>102.64</v>
      </c>
      <c r="E18" s="7">
        <f>C18*D18</f>
        <v>1539.6</v>
      </c>
      <c r="F18" s="16">
        <f>E18</f>
        <v>1539.6</v>
      </c>
    </row>
    <row r="19" spans="1:6" x14ac:dyDescent="0.25">
      <c r="F19" s="2" t="s">
        <v>36</v>
      </c>
    </row>
    <row r="20" spans="1:6" x14ac:dyDescent="0.25">
      <c r="A20" s="4" t="s">
        <v>37</v>
      </c>
    </row>
    <row r="21" spans="1:6" x14ac:dyDescent="0.25">
      <c r="A21" s="55"/>
      <c r="B21" s="57" t="s">
        <v>6</v>
      </c>
      <c r="C21" s="57" t="s">
        <v>7</v>
      </c>
      <c r="D21" s="57" t="s">
        <v>8</v>
      </c>
      <c r="E21" s="57" t="s">
        <v>9</v>
      </c>
      <c r="F21" s="57" t="s">
        <v>10</v>
      </c>
    </row>
    <row r="22" spans="1:6" x14ac:dyDescent="0.25">
      <c r="A22" s="5" t="s">
        <v>23</v>
      </c>
      <c r="B22" s="7" t="s">
        <v>32</v>
      </c>
      <c r="C22" s="13">
        <v>4.1666666666666664E-2</v>
      </c>
      <c r="D22" s="9">
        <v>159.9</v>
      </c>
      <c r="E22" s="9">
        <f>C22*D22</f>
        <v>6.6624999999999996</v>
      </c>
      <c r="F22" s="130"/>
    </row>
    <row r="23" spans="1:6" x14ac:dyDescent="0.25">
      <c r="A23" s="5" t="s">
        <v>24</v>
      </c>
      <c r="B23" s="7" t="s">
        <v>32</v>
      </c>
      <c r="C23" s="13">
        <v>8.3333333333333329E-2</v>
      </c>
      <c r="D23" s="9">
        <v>45.5</v>
      </c>
      <c r="E23" s="9">
        <f t="shared" ref="E23:E28" si="1">C23*D23</f>
        <v>3.7916666666666665</v>
      </c>
      <c r="F23" s="131"/>
    </row>
    <row r="24" spans="1:6" x14ac:dyDescent="0.25">
      <c r="A24" s="5" t="s">
        <v>25</v>
      </c>
      <c r="B24" s="7" t="s">
        <v>32</v>
      </c>
      <c r="C24" s="13">
        <v>8.3333333333333329E-2</v>
      </c>
      <c r="D24" s="9">
        <v>25.9</v>
      </c>
      <c r="E24" s="9">
        <f t="shared" si="1"/>
        <v>2.1583333333333332</v>
      </c>
      <c r="F24" s="131"/>
    </row>
    <row r="25" spans="1:6" ht="30" x14ac:dyDescent="0.25">
      <c r="A25" s="66" t="s">
        <v>195</v>
      </c>
      <c r="B25" s="9" t="s">
        <v>33</v>
      </c>
      <c r="C25" s="13">
        <v>8.3333333333333329E-2</v>
      </c>
      <c r="D25" s="9">
        <v>52.16</v>
      </c>
      <c r="E25" s="9">
        <f t="shared" si="1"/>
        <v>4.3466666666666658</v>
      </c>
      <c r="F25" s="131"/>
    </row>
    <row r="26" spans="1:6" x14ac:dyDescent="0.25">
      <c r="A26" s="5" t="s">
        <v>28</v>
      </c>
      <c r="B26" s="7" t="s">
        <v>32</v>
      </c>
      <c r="C26" s="13">
        <v>4.1666666666666664E-2</v>
      </c>
      <c r="D26" s="9">
        <v>35.090000000000003</v>
      </c>
      <c r="E26" s="9">
        <f t="shared" si="1"/>
        <v>1.4620833333333334</v>
      </c>
      <c r="F26" s="131"/>
    </row>
    <row r="27" spans="1:6" x14ac:dyDescent="0.25">
      <c r="A27" s="5" t="s">
        <v>30</v>
      </c>
      <c r="B27" s="7" t="s">
        <v>32</v>
      </c>
      <c r="C27" s="10">
        <v>1</v>
      </c>
      <c r="D27" s="9">
        <v>14.32</v>
      </c>
      <c r="E27" s="9">
        <f t="shared" si="1"/>
        <v>14.32</v>
      </c>
      <c r="F27" s="131"/>
    </row>
    <row r="28" spans="1:6" x14ac:dyDescent="0.25">
      <c r="A28" s="12" t="s">
        <v>31</v>
      </c>
      <c r="B28" s="7" t="s">
        <v>32</v>
      </c>
      <c r="C28" s="10">
        <v>1</v>
      </c>
      <c r="D28" s="9">
        <v>35.880000000000003</v>
      </c>
      <c r="E28" s="9">
        <f t="shared" si="1"/>
        <v>35.880000000000003</v>
      </c>
      <c r="F28" s="131"/>
    </row>
    <row r="29" spans="1:6" x14ac:dyDescent="0.25">
      <c r="A29" s="127" t="s">
        <v>35</v>
      </c>
      <c r="B29" s="128"/>
      <c r="C29" s="128"/>
      <c r="D29" s="129"/>
      <c r="E29" s="9">
        <f>SUM(E22:E28)</f>
        <v>68.621250000000003</v>
      </c>
      <c r="F29" s="132"/>
    </row>
    <row r="30" spans="1:6" x14ac:dyDescent="0.25">
      <c r="A30" s="21" t="s">
        <v>34</v>
      </c>
      <c r="B30" s="7" t="s">
        <v>17</v>
      </c>
      <c r="C30" s="7">
        <v>6</v>
      </c>
      <c r="D30" s="7">
        <f>E29</f>
        <v>68.621250000000003</v>
      </c>
      <c r="E30" s="7">
        <f>C30*D30</f>
        <v>411.72750000000002</v>
      </c>
      <c r="F30" s="16">
        <f>E30</f>
        <v>411.72750000000002</v>
      </c>
    </row>
    <row r="31" spans="1:6" x14ac:dyDescent="0.25">
      <c r="A31" s="14"/>
      <c r="B31" s="15"/>
      <c r="C31" s="15"/>
      <c r="D31" s="15"/>
      <c r="E31" s="15"/>
      <c r="F31" s="15"/>
    </row>
    <row r="32" spans="1:6" x14ac:dyDescent="0.25">
      <c r="A32" s="39"/>
      <c r="B32" s="39"/>
      <c r="C32" s="39"/>
      <c r="D32" s="39"/>
      <c r="E32" s="39"/>
      <c r="F32" s="40"/>
    </row>
    <row r="33" spans="1:6" x14ac:dyDescent="0.25">
      <c r="A33" s="122" t="s">
        <v>203</v>
      </c>
      <c r="B33" s="122"/>
      <c r="C33" s="122"/>
      <c r="D33" s="122"/>
      <c r="E33" s="122"/>
      <c r="F33" s="57">
        <f>((F18+F30)/5)*3</f>
        <v>1170.7964999999999</v>
      </c>
    </row>
    <row r="35" spans="1:6" x14ac:dyDescent="0.25">
      <c r="A35" s="122" t="s">
        <v>203</v>
      </c>
      <c r="B35" s="122"/>
      <c r="C35" s="122"/>
      <c r="D35" s="122"/>
      <c r="E35" s="122"/>
      <c r="F35" s="57">
        <f>((F18+F30)/5)*2</f>
        <v>780.53099999999995</v>
      </c>
    </row>
  </sheetData>
  <mergeCells count="6">
    <mergeCell ref="A33:E33"/>
    <mergeCell ref="A35:E35"/>
    <mergeCell ref="A17:D17"/>
    <mergeCell ref="F7:F17"/>
    <mergeCell ref="F22:F29"/>
    <mergeCell ref="A29:D29"/>
  </mergeCells>
  <pageMargins left="0" right="0" top="0.70866141732283472" bottom="0.70866141732283472" header="0.19685039370078741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zoomScaleNormal="100" workbookViewId="0">
      <selection activeCell="I18" sqref="I18"/>
    </sheetView>
  </sheetViews>
  <sheetFormatPr defaultRowHeight="15" x14ac:dyDescent="0.25"/>
  <cols>
    <col min="1" max="1" width="50.140625" customWidth="1"/>
    <col min="2" max="2" width="10.85546875" customWidth="1"/>
    <col min="3" max="3" width="10.7109375" customWidth="1"/>
    <col min="4" max="4" width="13.7109375" customWidth="1"/>
    <col min="5" max="5" width="10.28515625" style="3" customWidth="1"/>
    <col min="6" max="6" width="10" customWidth="1"/>
    <col min="8" max="8" width="9.5703125" bestFit="1" customWidth="1"/>
  </cols>
  <sheetData>
    <row r="1" spans="1:6" x14ac:dyDescent="0.25">
      <c r="A1" s="4" t="s">
        <v>187</v>
      </c>
    </row>
    <row r="3" spans="1:6" x14ac:dyDescent="0.25">
      <c r="A3" s="4" t="s">
        <v>194</v>
      </c>
    </row>
    <row r="4" spans="1:6" ht="12" customHeight="1" x14ac:dyDescent="0.25">
      <c r="A4" s="4"/>
    </row>
    <row r="5" spans="1:6" x14ac:dyDescent="0.25">
      <c r="A5" s="4" t="s">
        <v>41</v>
      </c>
    </row>
    <row r="6" spans="1:6" x14ac:dyDescent="0.25">
      <c r="A6" s="4"/>
    </row>
    <row r="7" spans="1:6" x14ac:dyDescent="0.25">
      <c r="A7" s="4" t="s">
        <v>42</v>
      </c>
    </row>
    <row r="8" spans="1:6" ht="13.5" customHeight="1" x14ac:dyDescent="0.25">
      <c r="A8" s="56"/>
      <c r="B8" s="56" t="s">
        <v>6</v>
      </c>
      <c r="C8" s="56" t="s">
        <v>7</v>
      </c>
      <c r="D8" s="56" t="s">
        <v>8</v>
      </c>
      <c r="E8" s="57" t="s">
        <v>9</v>
      </c>
      <c r="F8" s="56" t="s">
        <v>10</v>
      </c>
    </row>
    <row r="9" spans="1:6" x14ac:dyDescent="0.25">
      <c r="A9" s="5" t="s">
        <v>44</v>
      </c>
      <c r="B9" s="6" t="s">
        <v>32</v>
      </c>
      <c r="C9" s="6">
        <v>4</v>
      </c>
      <c r="D9" s="7">
        <v>250000</v>
      </c>
      <c r="E9" s="7">
        <f>D9*C9</f>
        <v>1000000</v>
      </c>
      <c r="F9" s="138"/>
    </row>
    <row r="10" spans="1:6" x14ac:dyDescent="0.25">
      <c r="A10" s="5" t="s">
        <v>43</v>
      </c>
      <c r="B10" s="6" t="s">
        <v>32</v>
      </c>
      <c r="C10" s="6">
        <v>4</v>
      </c>
      <c r="D10" s="7">
        <v>120000</v>
      </c>
      <c r="E10" s="7">
        <f>D10*C10</f>
        <v>480000</v>
      </c>
      <c r="F10" s="139"/>
    </row>
    <row r="11" spans="1:6" x14ac:dyDescent="0.25">
      <c r="A11" s="5" t="s">
        <v>176</v>
      </c>
      <c r="B11" s="6" t="s">
        <v>13</v>
      </c>
      <c r="C11" s="6">
        <v>65</v>
      </c>
      <c r="D11" s="7">
        <f>E9</f>
        <v>1000000</v>
      </c>
      <c r="E11" s="7">
        <f>D11*C11%</f>
        <v>650000</v>
      </c>
      <c r="F11" s="139"/>
    </row>
    <row r="12" spans="1:6" x14ac:dyDescent="0.25">
      <c r="A12" s="5" t="s">
        <v>177</v>
      </c>
      <c r="B12" s="6" t="s">
        <v>13</v>
      </c>
      <c r="C12" s="6">
        <v>65</v>
      </c>
      <c r="D12" s="7">
        <f>E10</f>
        <v>480000</v>
      </c>
      <c r="E12" s="7">
        <f>D12*C12%</f>
        <v>312000</v>
      </c>
      <c r="F12" s="139"/>
    </row>
    <row r="13" spans="1:6" x14ac:dyDescent="0.25">
      <c r="A13" s="123" t="s">
        <v>47</v>
      </c>
      <c r="B13" s="123"/>
      <c r="C13" s="123"/>
      <c r="D13" s="123"/>
      <c r="E13" s="9">
        <f>E11+E12</f>
        <v>962000</v>
      </c>
      <c r="F13" s="140"/>
    </row>
    <row r="14" spans="1:6" x14ac:dyDescent="0.25">
      <c r="A14" s="21" t="s">
        <v>45</v>
      </c>
      <c r="B14" s="31" t="s">
        <v>11</v>
      </c>
      <c r="C14" s="31">
        <v>120</v>
      </c>
      <c r="D14" s="32">
        <f>E13</f>
        <v>962000</v>
      </c>
      <c r="E14" s="33">
        <f>D14/C14</f>
        <v>8016.666666666667</v>
      </c>
      <c r="F14" s="16">
        <f>E14</f>
        <v>8016.666666666667</v>
      </c>
    </row>
    <row r="15" spans="1:6" ht="9.75" customHeight="1" x14ac:dyDescent="0.25">
      <c r="A15" s="14"/>
      <c r="B15" s="17"/>
      <c r="C15" s="17"/>
      <c r="D15" s="15"/>
      <c r="E15" s="11"/>
      <c r="F15" s="15"/>
    </row>
    <row r="16" spans="1:6" x14ac:dyDescent="0.25">
      <c r="A16" s="4" t="s">
        <v>48</v>
      </c>
    </row>
    <row r="17" spans="1:6" ht="13.5" customHeight="1" x14ac:dyDescent="0.25">
      <c r="A17" s="56"/>
      <c r="B17" s="56" t="s">
        <v>6</v>
      </c>
      <c r="C17" s="56" t="s">
        <v>7</v>
      </c>
      <c r="D17" s="56" t="s">
        <v>8</v>
      </c>
      <c r="E17" s="57" t="s">
        <v>9</v>
      </c>
      <c r="F17" s="56" t="s">
        <v>10</v>
      </c>
    </row>
    <row r="18" spans="1:6" x14ac:dyDescent="0.25">
      <c r="A18" s="5" t="s">
        <v>49</v>
      </c>
      <c r="B18" s="8" t="s">
        <v>32</v>
      </c>
      <c r="C18" s="8">
        <v>4</v>
      </c>
      <c r="D18" s="9">
        <v>11100</v>
      </c>
      <c r="E18" s="9">
        <f>D18*C18</f>
        <v>44400</v>
      </c>
      <c r="F18" s="130"/>
    </row>
    <row r="19" spans="1:6" x14ac:dyDescent="0.25">
      <c r="A19" s="5" t="s">
        <v>50</v>
      </c>
      <c r="B19" s="8" t="s">
        <v>32</v>
      </c>
      <c r="C19" s="8">
        <v>4</v>
      </c>
      <c r="D19" s="9">
        <v>900</v>
      </c>
      <c r="E19" s="9">
        <f>D19*C19</f>
        <v>3600</v>
      </c>
      <c r="F19" s="131"/>
    </row>
    <row r="20" spans="1:6" x14ac:dyDescent="0.25">
      <c r="A20" s="141" t="s">
        <v>51</v>
      </c>
      <c r="B20" s="128"/>
      <c r="C20" s="128"/>
      <c r="D20" s="129"/>
      <c r="E20" s="9">
        <f>SUM(E18:E19)</f>
        <v>48000</v>
      </c>
      <c r="F20" s="132"/>
    </row>
    <row r="21" spans="1:6" x14ac:dyDescent="0.25">
      <c r="A21" s="21" t="s">
        <v>67</v>
      </c>
      <c r="B21" s="34" t="s">
        <v>11</v>
      </c>
      <c r="C21" s="35">
        <v>12</v>
      </c>
      <c r="D21" s="32">
        <f>E20</f>
        <v>48000</v>
      </c>
      <c r="E21" s="32">
        <f>D21/C21</f>
        <v>4000</v>
      </c>
      <c r="F21" s="16">
        <f>E21</f>
        <v>4000</v>
      </c>
    </row>
    <row r="22" spans="1:6" ht="8.25" customHeight="1" x14ac:dyDescent="0.25"/>
    <row r="23" spans="1:6" x14ac:dyDescent="0.25">
      <c r="A23" s="4" t="s">
        <v>196</v>
      </c>
    </row>
    <row r="24" spans="1:6" ht="13.5" customHeight="1" x14ac:dyDescent="0.25">
      <c r="A24" s="56"/>
      <c r="B24" s="56" t="s">
        <v>6</v>
      </c>
      <c r="C24" s="56" t="s">
        <v>7</v>
      </c>
      <c r="D24" s="56" t="s">
        <v>8</v>
      </c>
      <c r="E24" s="57" t="s">
        <v>9</v>
      </c>
      <c r="F24" s="56" t="s">
        <v>10</v>
      </c>
    </row>
    <row r="25" spans="1:6" x14ac:dyDescent="0.25">
      <c r="A25" s="20" t="s">
        <v>52</v>
      </c>
      <c r="B25" s="8" t="s">
        <v>53</v>
      </c>
      <c r="C25" s="9">
        <v>1.76</v>
      </c>
      <c r="D25" s="19">
        <v>6.57</v>
      </c>
      <c r="E25" s="9">
        <f>D25/C25</f>
        <v>3.7329545454545454</v>
      </c>
      <c r="F25" s="134"/>
    </row>
    <row r="26" spans="1:6" x14ac:dyDescent="0.25">
      <c r="A26" s="21" t="s">
        <v>54</v>
      </c>
      <c r="B26" s="22" t="s">
        <v>60</v>
      </c>
      <c r="C26" s="23">
        <v>6000</v>
      </c>
      <c r="D26" s="24">
        <f>E25</f>
        <v>3.7329545454545454</v>
      </c>
      <c r="E26" s="26">
        <f>D26*C26</f>
        <v>22397.727272727272</v>
      </c>
      <c r="F26" s="135"/>
    </row>
    <row r="27" spans="1:6" x14ac:dyDescent="0.25">
      <c r="A27" s="5" t="s">
        <v>63</v>
      </c>
      <c r="B27" s="8" t="s">
        <v>62</v>
      </c>
      <c r="C27" s="19">
        <v>5.0000000000000001E-3</v>
      </c>
      <c r="D27" s="19">
        <v>30</v>
      </c>
      <c r="E27" s="9">
        <f>C27*D27</f>
        <v>0.15</v>
      </c>
      <c r="F27" s="135"/>
    </row>
    <row r="28" spans="1:6" x14ac:dyDescent="0.25">
      <c r="A28" s="21" t="s">
        <v>55</v>
      </c>
      <c r="B28" s="22" t="s">
        <v>60</v>
      </c>
      <c r="C28" s="23">
        <v>6000</v>
      </c>
      <c r="D28" s="24">
        <f>E27</f>
        <v>0.15</v>
      </c>
      <c r="E28" s="26">
        <f>D28*C28</f>
        <v>900</v>
      </c>
      <c r="F28" s="135"/>
    </row>
    <row r="29" spans="1:6" x14ac:dyDescent="0.25">
      <c r="A29" s="20" t="s">
        <v>56</v>
      </c>
      <c r="B29" s="8" t="s">
        <v>61</v>
      </c>
      <c r="C29" s="19">
        <v>0.85</v>
      </c>
      <c r="D29" s="19">
        <v>50</v>
      </c>
      <c r="E29" s="9">
        <f>D29*C29</f>
        <v>42.5</v>
      </c>
      <c r="F29" s="135"/>
    </row>
    <row r="30" spans="1:6" x14ac:dyDescent="0.25">
      <c r="A30" s="21" t="s">
        <v>57</v>
      </c>
      <c r="B30" s="22" t="s">
        <v>60</v>
      </c>
      <c r="C30" s="23">
        <v>6000</v>
      </c>
      <c r="D30" s="24">
        <f>E29/1000</f>
        <v>4.2500000000000003E-2</v>
      </c>
      <c r="E30" s="26">
        <f>C30*D30</f>
        <v>255.00000000000003</v>
      </c>
      <c r="F30" s="135"/>
    </row>
    <row r="31" spans="1:6" x14ac:dyDescent="0.25">
      <c r="A31" s="5" t="s">
        <v>183</v>
      </c>
      <c r="B31" s="8" t="s">
        <v>61</v>
      </c>
      <c r="C31" s="65">
        <v>1.6000000000000001E-3</v>
      </c>
      <c r="D31" s="19">
        <v>40</v>
      </c>
      <c r="E31" s="9">
        <f>C31*D31</f>
        <v>6.4000000000000001E-2</v>
      </c>
      <c r="F31" s="135"/>
    </row>
    <row r="32" spans="1:6" x14ac:dyDescent="0.25">
      <c r="A32" s="21" t="s">
        <v>58</v>
      </c>
      <c r="B32" s="22" t="s">
        <v>60</v>
      </c>
      <c r="C32" s="25">
        <v>6000</v>
      </c>
      <c r="D32" s="24">
        <f>E31</f>
        <v>6.4000000000000001E-2</v>
      </c>
      <c r="E32" s="26">
        <f>D32*C32</f>
        <v>384</v>
      </c>
      <c r="F32" s="135"/>
    </row>
    <row r="33" spans="1:6" x14ac:dyDescent="0.25">
      <c r="A33" s="5" t="s">
        <v>184</v>
      </c>
      <c r="B33" s="8" t="s">
        <v>64</v>
      </c>
      <c r="C33" s="19">
        <v>0.5</v>
      </c>
      <c r="D33" s="19">
        <v>20.9</v>
      </c>
      <c r="E33" s="9">
        <f>D33*C33</f>
        <v>10.45</v>
      </c>
      <c r="F33" s="135"/>
    </row>
    <row r="34" spans="1:6" x14ac:dyDescent="0.25">
      <c r="A34" s="21" t="s">
        <v>59</v>
      </c>
      <c r="B34" s="22" t="s">
        <v>60</v>
      </c>
      <c r="C34" s="25">
        <v>6000</v>
      </c>
      <c r="D34" s="24">
        <f>E33/1000</f>
        <v>1.0449999999999999E-2</v>
      </c>
      <c r="E34" s="26">
        <f>C34*D34</f>
        <v>62.699999999999996</v>
      </c>
      <c r="F34" s="135"/>
    </row>
    <row r="35" spans="1:6" x14ac:dyDescent="0.25">
      <c r="A35" s="62" t="s">
        <v>172</v>
      </c>
      <c r="B35" s="6" t="s">
        <v>62</v>
      </c>
      <c r="C35" s="6">
        <v>0.05</v>
      </c>
      <c r="D35" s="7">
        <v>4.5</v>
      </c>
      <c r="E35" s="7">
        <f>C35*D35</f>
        <v>0.22500000000000001</v>
      </c>
      <c r="F35" s="135"/>
    </row>
    <row r="36" spans="1:6" x14ac:dyDescent="0.25">
      <c r="A36" s="63" t="s">
        <v>173</v>
      </c>
      <c r="B36" s="64" t="s">
        <v>60</v>
      </c>
      <c r="C36" s="64">
        <v>6000</v>
      </c>
      <c r="D36" s="48">
        <f>E35</f>
        <v>0.22500000000000001</v>
      </c>
      <c r="E36" s="16">
        <f>C36*D36</f>
        <v>1350</v>
      </c>
      <c r="F36" s="136"/>
    </row>
    <row r="37" spans="1:6" x14ac:dyDescent="0.25">
      <c r="A37" s="141" t="s">
        <v>66</v>
      </c>
      <c r="B37" s="128"/>
      <c r="C37" s="128"/>
      <c r="D37" s="129"/>
      <c r="E37" s="16">
        <f>E26+E28+E30+E32+E34+E36</f>
        <v>25349.427272727273</v>
      </c>
      <c r="F37" s="137"/>
    </row>
    <row r="38" spans="1:6" x14ac:dyDescent="0.25">
      <c r="A38" s="21" t="s">
        <v>65</v>
      </c>
      <c r="B38" s="35" t="s">
        <v>11</v>
      </c>
      <c r="C38" s="35">
        <v>1</v>
      </c>
      <c r="D38" s="36">
        <f>E37</f>
        <v>25349.427272727273</v>
      </c>
      <c r="E38" s="16">
        <f>D38*C38</f>
        <v>25349.427272727273</v>
      </c>
      <c r="F38" s="16">
        <f>E38</f>
        <v>25349.427272727273</v>
      </c>
    </row>
    <row r="39" spans="1:6" x14ac:dyDescent="0.25">
      <c r="A39" s="110"/>
      <c r="B39" s="111"/>
      <c r="C39" s="111"/>
      <c r="D39" s="112"/>
      <c r="E39" s="40"/>
      <c r="F39" s="40"/>
    </row>
    <row r="40" spans="1:6" x14ac:dyDescent="0.25">
      <c r="A40" s="4" t="s">
        <v>197</v>
      </c>
    </row>
    <row r="41" spans="1:6" x14ac:dyDescent="0.25">
      <c r="A41" s="56"/>
      <c r="B41" s="56" t="s">
        <v>6</v>
      </c>
      <c r="C41" s="56" t="s">
        <v>7</v>
      </c>
      <c r="D41" s="56" t="s">
        <v>8</v>
      </c>
      <c r="E41" s="57" t="s">
        <v>9</v>
      </c>
      <c r="F41" s="56" t="s">
        <v>10</v>
      </c>
    </row>
    <row r="42" spans="1:6" x14ac:dyDescent="0.25">
      <c r="A42" s="20" t="s">
        <v>52</v>
      </c>
      <c r="B42" s="8" t="s">
        <v>53</v>
      </c>
      <c r="C42" s="9">
        <v>1.76</v>
      </c>
      <c r="D42" s="19">
        <v>6.57</v>
      </c>
      <c r="E42" s="9">
        <f>D42/C42</f>
        <v>3.7329545454545454</v>
      </c>
      <c r="F42" s="134"/>
    </row>
    <row r="43" spans="1:6" x14ac:dyDescent="0.25">
      <c r="A43" s="21" t="s">
        <v>54</v>
      </c>
      <c r="B43" s="22" t="s">
        <v>60</v>
      </c>
      <c r="C43" s="23">
        <v>4000</v>
      </c>
      <c r="D43" s="24">
        <f>E42</f>
        <v>3.7329545454545454</v>
      </c>
      <c r="E43" s="26">
        <f>D43*C43</f>
        <v>14931.818181818182</v>
      </c>
      <c r="F43" s="135"/>
    </row>
    <row r="44" spans="1:6" x14ac:dyDescent="0.25">
      <c r="A44" s="5" t="s">
        <v>63</v>
      </c>
      <c r="B44" s="8" t="s">
        <v>62</v>
      </c>
      <c r="C44" s="19">
        <v>5.0000000000000001E-3</v>
      </c>
      <c r="D44" s="19">
        <v>30</v>
      </c>
      <c r="E44" s="9">
        <f>C44*D44</f>
        <v>0.15</v>
      </c>
      <c r="F44" s="135"/>
    </row>
    <row r="45" spans="1:6" x14ac:dyDescent="0.25">
      <c r="A45" s="21" t="s">
        <v>55</v>
      </c>
      <c r="B45" s="22" t="s">
        <v>60</v>
      </c>
      <c r="C45" s="23">
        <v>4000</v>
      </c>
      <c r="D45" s="24">
        <f>E44</f>
        <v>0.15</v>
      </c>
      <c r="E45" s="26">
        <f>D45*C45</f>
        <v>600</v>
      </c>
      <c r="F45" s="135"/>
    </row>
    <row r="46" spans="1:6" x14ac:dyDescent="0.25">
      <c r="A46" s="20" t="s">
        <v>56</v>
      </c>
      <c r="B46" s="8" t="s">
        <v>61</v>
      </c>
      <c r="C46" s="19">
        <v>0.85</v>
      </c>
      <c r="D46" s="19">
        <v>50</v>
      </c>
      <c r="E46" s="9">
        <f>D46*C46</f>
        <v>42.5</v>
      </c>
      <c r="F46" s="135"/>
    </row>
    <row r="47" spans="1:6" x14ac:dyDescent="0.25">
      <c r="A47" s="21" t="s">
        <v>57</v>
      </c>
      <c r="B47" s="22" t="s">
        <v>60</v>
      </c>
      <c r="C47" s="23">
        <v>4000</v>
      </c>
      <c r="D47" s="24">
        <f>E46/1000</f>
        <v>4.2500000000000003E-2</v>
      </c>
      <c r="E47" s="26">
        <f>C47*D47</f>
        <v>170</v>
      </c>
      <c r="F47" s="135"/>
    </row>
    <row r="48" spans="1:6" x14ac:dyDescent="0.25">
      <c r="A48" s="5" t="s">
        <v>183</v>
      </c>
      <c r="B48" s="8" t="s">
        <v>61</v>
      </c>
      <c r="C48" s="65">
        <v>1.6000000000000001E-3</v>
      </c>
      <c r="D48" s="19">
        <v>40</v>
      </c>
      <c r="E48" s="9">
        <f>C48*D48</f>
        <v>6.4000000000000001E-2</v>
      </c>
      <c r="F48" s="135"/>
    </row>
    <row r="49" spans="1:6" x14ac:dyDescent="0.25">
      <c r="A49" s="21" t="s">
        <v>58</v>
      </c>
      <c r="B49" s="22" t="s">
        <v>60</v>
      </c>
      <c r="C49" s="25">
        <v>4000</v>
      </c>
      <c r="D49" s="24">
        <f>E48</f>
        <v>6.4000000000000001E-2</v>
      </c>
      <c r="E49" s="26">
        <f>D49*C49</f>
        <v>256</v>
      </c>
      <c r="F49" s="135"/>
    </row>
    <row r="50" spans="1:6" x14ac:dyDescent="0.25">
      <c r="A50" s="5" t="s">
        <v>184</v>
      </c>
      <c r="B50" s="8" t="s">
        <v>64</v>
      </c>
      <c r="C50" s="19">
        <v>0.5</v>
      </c>
      <c r="D50" s="19">
        <v>20.9</v>
      </c>
      <c r="E50" s="9">
        <f>D50*C50</f>
        <v>10.45</v>
      </c>
      <c r="F50" s="135"/>
    </row>
    <row r="51" spans="1:6" x14ac:dyDescent="0.25">
      <c r="A51" s="21" t="s">
        <v>59</v>
      </c>
      <c r="B51" s="22" t="s">
        <v>60</v>
      </c>
      <c r="C51" s="25">
        <v>4000</v>
      </c>
      <c r="D51" s="24">
        <f>E50/1000</f>
        <v>1.0449999999999999E-2</v>
      </c>
      <c r="E51" s="26">
        <f>C51*D51</f>
        <v>41.8</v>
      </c>
      <c r="F51" s="135"/>
    </row>
    <row r="52" spans="1:6" x14ac:dyDescent="0.25">
      <c r="A52" s="109" t="s">
        <v>172</v>
      </c>
      <c r="B52" s="6" t="s">
        <v>62</v>
      </c>
      <c r="C52" s="6">
        <v>0.05</v>
      </c>
      <c r="D52" s="7">
        <v>4.5</v>
      </c>
      <c r="E52" s="7">
        <f>C52*D52</f>
        <v>0.22500000000000001</v>
      </c>
      <c r="F52" s="135"/>
    </row>
    <row r="53" spans="1:6" x14ac:dyDescent="0.25">
      <c r="A53" s="63" t="s">
        <v>173</v>
      </c>
      <c r="B53" s="64" t="s">
        <v>60</v>
      </c>
      <c r="C53" s="64">
        <v>4000</v>
      </c>
      <c r="D53" s="48">
        <f>E52</f>
        <v>0.22500000000000001</v>
      </c>
      <c r="E53" s="16">
        <f>C53*D53</f>
        <v>900</v>
      </c>
      <c r="F53" s="136"/>
    </row>
    <row r="54" spans="1:6" x14ac:dyDescent="0.25">
      <c r="A54" s="141" t="s">
        <v>66</v>
      </c>
      <c r="B54" s="128"/>
      <c r="C54" s="128"/>
      <c r="D54" s="129"/>
      <c r="E54" s="16">
        <f>E43+E45+E47+E49+E51+E53</f>
        <v>16899.618181818179</v>
      </c>
      <c r="F54" s="137"/>
    </row>
    <row r="55" spans="1:6" x14ac:dyDescent="0.25">
      <c r="A55" s="21" t="s">
        <v>65</v>
      </c>
      <c r="B55" s="35" t="s">
        <v>11</v>
      </c>
      <c r="C55" s="35">
        <v>1</v>
      </c>
      <c r="D55" s="36">
        <f>E54</f>
        <v>16899.618181818179</v>
      </c>
      <c r="E55" s="16">
        <f>D55*C55</f>
        <v>16899.618181818179</v>
      </c>
      <c r="F55" s="16">
        <f>E55</f>
        <v>16899.618181818179</v>
      </c>
    </row>
    <row r="56" spans="1:6" x14ac:dyDescent="0.25">
      <c r="A56" s="110"/>
      <c r="B56" s="111"/>
      <c r="C56" s="111"/>
      <c r="D56" s="112"/>
      <c r="E56" s="40"/>
      <c r="F56" s="40"/>
    </row>
    <row r="57" spans="1:6" x14ac:dyDescent="0.25">
      <c r="A57" s="27" t="s">
        <v>68</v>
      </c>
    </row>
    <row r="58" spans="1:6" ht="13.5" customHeight="1" x14ac:dyDescent="0.25">
      <c r="A58" s="56"/>
      <c r="B58" s="56" t="s">
        <v>6</v>
      </c>
      <c r="C58" s="56" t="s">
        <v>7</v>
      </c>
      <c r="D58" s="56" t="s">
        <v>8</v>
      </c>
      <c r="E58" s="57" t="s">
        <v>9</v>
      </c>
      <c r="F58" s="56" t="s">
        <v>10</v>
      </c>
    </row>
    <row r="59" spans="1:6" x14ac:dyDescent="0.25">
      <c r="A59" s="28" t="s">
        <v>44</v>
      </c>
      <c r="B59" s="8" t="s">
        <v>32</v>
      </c>
      <c r="C59" s="6">
        <v>4</v>
      </c>
      <c r="D59" s="9">
        <v>250000</v>
      </c>
      <c r="E59" s="9">
        <f>D59*C59</f>
        <v>1000000</v>
      </c>
      <c r="F59" s="138"/>
    </row>
    <row r="60" spans="1:6" x14ac:dyDescent="0.25">
      <c r="A60" s="20" t="s">
        <v>43</v>
      </c>
      <c r="B60" s="8" t="s">
        <v>32</v>
      </c>
      <c r="C60" s="6">
        <v>4</v>
      </c>
      <c r="D60" s="9">
        <v>120000</v>
      </c>
      <c r="E60" s="9">
        <f>D60*C60</f>
        <v>480000</v>
      </c>
      <c r="F60" s="136"/>
    </row>
    <row r="61" spans="1:6" x14ac:dyDescent="0.25">
      <c r="A61" s="123" t="s">
        <v>70</v>
      </c>
      <c r="B61" s="123"/>
      <c r="C61" s="123"/>
      <c r="D61" s="123"/>
      <c r="E61" s="9">
        <f>SUM(E59:E60)</f>
        <v>1480000</v>
      </c>
      <c r="F61" s="136"/>
    </row>
    <row r="62" spans="1:6" x14ac:dyDescent="0.25">
      <c r="A62" s="5" t="s">
        <v>69</v>
      </c>
      <c r="B62" s="8" t="s">
        <v>13</v>
      </c>
      <c r="C62" s="8">
        <v>30</v>
      </c>
      <c r="D62" s="9">
        <f>E61</f>
        <v>1480000</v>
      </c>
      <c r="E62" s="9">
        <f>D62*C62%</f>
        <v>444000</v>
      </c>
      <c r="F62" s="137"/>
    </row>
    <row r="63" spans="1:6" x14ac:dyDescent="0.25">
      <c r="A63" s="30" t="s">
        <v>71</v>
      </c>
      <c r="B63" s="8" t="s">
        <v>11</v>
      </c>
      <c r="C63" s="29">
        <v>60</v>
      </c>
      <c r="D63" s="9">
        <f>E62</f>
        <v>444000</v>
      </c>
      <c r="E63" s="9">
        <f>D63/60</f>
        <v>7400</v>
      </c>
      <c r="F63" s="26">
        <f>E63</f>
        <v>7400</v>
      </c>
    </row>
    <row r="64" spans="1:6" ht="8.25" customHeight="1" x14ac:dyDescent="0.25"/>
    <row r="65" spans="1:6" x14ac:dyDescent="0.25">
      <c r="A65" s="4" t="s">
        <v>198</v>
      </c>
    </row>
    <row r="66" spans="1:6" ht="13.5" customHeight="1" x14ac:dyDescent="0.25">
      <c r="A66" s="56"/>
      <c r="B66" s="56" t="s">
        <v>6</v>
      </c>
      <c r="C66" s="56" t="s">
        <v>7</v>
      </c>
      <c r="D66" s="56" t="s">
        <v>8</v>
      </c>
      <c r="E66" s="57" t="s">
        <v>9</v>
      </c>
      <c r="F66" s="56" t="s">
        <v>10</v>
      </c>
    </row>
    <row r="67" spans="1:6" x14ac:dyDescent="0.25">
      <c r="A67" s="5" t="s">
        <v>72</v>
      </c>
      <c r="B67" s="31" t="s">
        <v>32</v>
      </c>
      <c r="C67" s="31">
        <v>6</v>
      </c>
      <c r="D67" s="7">
        <v>3500</v>
      </c>
      <c r="E67" s="33">
        <f>D67*C67</f>
        <v>21000</v>
      </c>
      <c r="F67" s="142"/>
    </row>
    <row r="68" spans="1:6" x14ac:dyDescent="0.25">
      <c r="A68" s="5" t="s">
        <v>174</v>
      </c>
      <c r="B68" s="31" t="s">
        <v>32</v>
      </c>
      <c r="C68" s="31">
        <v>18</v>
      </c>
      <c r="D68" s="7">
        <v>885</v>
      </c>
      <c r="E68" s="33">
        <f>D68*C68</f>
        <v>15930</v>
      </c>
      <c r="F68" s="136"/>
    </row>
    <row r="69" spans="1:6" x14ac:dyDescent="0.25">
      <c r="A69" s="143" t="s">
        <v>74</v>
      </c>
      <c r="B69" s="128"/>
      <c r="C69" s="128"/>
      <c r="D69" s="129"/>
      <c r="E69" s="33">
        <f>SUM(E67:E68)</f>
        <v>36930</v>
      </c>
      <c r="F69" s="136"/>
    </row>
    <row r="70" spans="1:6" x14ac:dyDescent="0.25">
      <c r="A70" s="20" t="s">
        <v>73</v>
      </c>
      <c r="B70" s="37" t="s">
        <v>32</v>
      </c>
      <c r="C70" s="38">
        <v>80000</v>
      </c>
      <c r="D70" s="7">
        <f>E69</f>
        <v>36930</v>
      </c>
      <c r="E70" s="9">
        <f>E69/C70</f>
        <v>0.46162500000000001</v>
      </c>
      <c r="F70" s="137"/>
    </row>
    <row r="71" spans="1:6" x14ac:dyDescent="0.25">
      <c r="A71" s="30" t="s">
        <v>75</v>
      </c>
      <c r="B71" s="37" t="s">
        <v>76</v>
      </c>
      <c r="C71" s="37">
        <v>6000</v>
      </c>
      <c r="D71" s="18">
        <f>E70</f>
        <v>0.46162500000000001</v>
      </c>
      <c r="E71" s="7">
        <f>C71*D71</f>
        <v>2769.75</v>
      </c>
      <c r="F71" s="26">
        <f>E71</f>
        <v>2769.75</v>
      </c>
    </row>
    <row r="72" spans="1:6" ht="8.25" customHeight="1" x14ac:dyDescent="0.25">
      <c r="A72" s="27"/>
      <c r="B72" s="45"/>
      <c r="C72" s="45"/>
      <c r="D72" s="46"/>
      <c r="E72" s="15"/>
      <c r="F72" s="47"/>
    </row>
    <row r="73" spans="1:6" ht="15" customHeight="1" x14ac:dyDescent="0.25">
      <c r="A73" s="4" t="s">
        <v>205</v>
      </c>
    </row>
    <row r="74" spans="1:6" ht="15" customHeight="1" x14ac:dyDescent="0.25">
      <c r="A74" s="56"/>
      <c r="B74" s="56" t="s">
        <v>6</v>
      </c>
      <c r="C74" s="56" t="s">
        <v>7</v>
      </c>
      <c r="D74" s="56" t="s">
        <v>8</v>
      </c>
      <c r="E74" s="57" t="s">
        <v>9</v>
      </c>
      <c r="F74" s="56" t="s">
        <v>10</v>
      </c>
    </row>
    <row r="75" spans="1:6" ht="15" customHeight="1" x14ac:dyDescent="0.25">
      <c r="A75" s="5" t="s">
        <v>72</v>
      </c>
      <c r="B75" s="31" t="s">
        <v>32</v>
      </c>
      <c r="C75" s="31">
        <v>6</v>
      </c>
      <c r="D75" s="7">
        <v>3500</v>
      </c>
      <c r="E75" s="33">
        <f>D75*C75</f>
        <v>21000</v>
      </c>
      <c r="F75" s="142"/>
    </row>
    <row r="76" spans="1:6" ht="15" customHeight="1" x14ac:dyDescent="0.25">
      <c r="A76" s="5" t="s">
        <v>174</v>
      </c>
      <c r="B76" s="31" t="s">
        <v>32</v>
      </c>
      <c r="C76" s="31">
        <v>18</v>
      </c>
      <c r="D76" s="7">
        <v>885</v>
      </c>
      <c r="E76" s="33">
        <f>D76*C76</f>
        <v>15930</v>
      </c>
      <c r="F76" s="136"/>
    </row>
    <row r="77" spans="1:6" ht="15" customHeight="1" x14ac:dyDescent="0.25">
      <c r="A77" s="143" t="s">
        <v>74</v>
      </c>
      <c r="B77" s="128"/>
      <c r="C77" s="128"/>
      <c r="D77" s="129"/>
      <c r="E77" s="33">
        <f>SUM(E75:E76)</f>
        <v>36930</v>
      </c>
      <c r="F77" s="136"/>
    </row>
    <row r="78" spans="1:6" ht="15" customHeight="1" x14ac:dyDescent="0.25">
      <c r="A78" s="20" t="s">
        <v>73</v>
      </c>
      <c r="B78" s="37" t="s">
        <v>32</v>
      </c>
      <c r="C78" s="38">
        <v>80000</v>
      </c>
      <c r="D78" s="7">
        <f>E77</f>
        <v>36930</v>
      </c>
      <c r="E78" s="9">
        <f>E77/C78</f>
        <v>0.46162500000000001</v>
      </c>
      <c r="F78" s="137"/>
    </row>
    <row r="79" spans="1:6" ht="15" customHeight="1" x14ac:dyDescent="0.25">
      <c r="A79" s="30" t="s">
        <v>75</v>
      </c>
      <c r="B79" s="37" t="s">
        <v>76</v>
      </c>
      <c r="C79" s="37">
        <v>4000</v>
      </c>
      <c r="D79" s="18">
        <f>E78</f>
        <v>0.46162500000000001</v>
      </c>
      <c r="E79" s="7">
        <f>C79*D79</f>
        <v>1846.5</v>
      </c>
      <c r="F79" s="26">
        <f>E79</f>
        <v>1846.5</v>
      </c>
    </row>
    <row r="80" spans="1:6" ht="8.25" customHeight="1" x14ac:dyDescent="0.25">
      <c r="A80" s="27"/>
      <c r="B80" s="45"/>
      <c r="C80" s="45"/>
      <c r="D80" s="46"/>
      <c r="E80" s="15"/>
      <c r="F80" s="47"/>
    </row>
    <row r="81" spans="1:8" x14ac:dyDescent="0.25">
      <c r="A81" s="27" t="s">
        <v>151</v>
      </c>
      <c r="B81" s="45"/>
      <c r="C81" s="45"/>
      <c r="D81" s="46"/>
      <c r="E81" s="15"/>
      <c r="F81" s="47"/>
    </row>
    <row r="82" spans="1:8" ht="13.5" customHeight="1" x14ac:dyDescent="0.25">
      <c r="A82" s="56"/>
      <c r="B82" s="56" t="s">
        <v>6</v>
      </c>
      <c r="C82" s="56" t="s">
        <v>7</v>
      </c>
      <c r="D82" s="56" t="s">
        <v>8</v>
      </c>
      <c r="E82" s="57" t="s">
        <v>9</v>
      </c>
      <c r="F82" s="56" t="s">
        <v>10</v>
      </c>
    </row>
    <row r="83" spans="1:8" x14ac:dyDescent="0.25">
      <c r="A83" s="41" t="s">
        <v>101</v>
      </c>
      <c r="B83" s="6" t="s">
        <v>32</v>
      </c>
      <c r="C83" s="6">
        <v>1</v>
      </c>
      <c r="D83" s="18">
        <f>F14+'Remuneração de Capital'!F18</f>
        <v>23617.832153333333</v>
      </c>
      <c r="E83" s="7">
        <f>D83</f>
        <v>23617.832153333333</v>
      </c>
      <c r="F83" s="18"/>
    </row>
    <row r="84" spans="1:8" x14ac:dyDescent="0.25">
      <c r="A84" s="54" t="s">
        <v>150</v>
      </c>
      <c r="B84" s="6" t="s">
        <v>13</v>
      </c>
      <c r="C84" s="6">
        <v>10</v>
      </c>
      <c r="D84" s="18">
        <f>E83</f>
        <v>23617.832153333333</v>
      </c>
      <c r="E84" s="7">
        <f>D84*C84%</f>
        <v>2361.7832153333334</v>
      </c>
      <c r="F84" s="48">
        <f>E84</f>
        <v>2361.7832153333334</v>
      </c>
    </row>
    <row r="85" spans="1:8" ht="8.25" customHeight="1" x14ac:dyDescent="0.25"/>
    <row r="86" spans="1:8" ht="13.5" customHeight="1" x14ac:dyDescent="0.25">
      <c r="A86" s="133" t="s">
        <v>204</v>
      </c>
      <c r="B86" s="133"/>
      <c r="C86" s="133"/>
      <c r="D86" s="133"/>
      <c r="E86" s="133"/>
      <c r="F86" s="57">
        <f>((F14+F21)/2)+F38+(F63/2)+F71+((F84/5)*3)</f>
        <v>39244.580535260604</v>
      </c>
    </row>
    <row r="87" spans="1:8" ht="9" customHeight="1" x14ac:dyDescent="0.25">
      <c r="A87" s="49"/>
      <c r="B87" s="49"/>
      <c r="C87" s="49"/>
      <c r="D87" s="49"/>
      <c r="E87" s="114"/>
      <c r="F87" s="40"/>
    </row>
    <row r="88" spans="1:8" x14ac:dyDescent="0.25">
      <c r="A88" s="133" t="s">
        <v>206</v>
      </c>
      <c r="B88" s="133"/>
      <c r="C88" s="133"/>
      <c r="D88" s="133"/>
      <c r="E88" s="133"/>
      <c r="F88" s="57">
        <f>((F14+F21)/2)+F55+(F63/2)+F79+((F84/5)*2)</f>
        <v>29399.164801284849</v>
      </c>
      <c r="G88" s="3"/>
      <c r="H88" s="115"/>
    </row>
    <row r="90" spans="1:8" x14ac:dyDescent="0.25">
      <c r="F90" s="3"/>
    </row>
    <row r="91" spans="1:8" x14ac:dyDescent="0.25">
      <c r="F91" s="3"/>
    </row>
    <row r="93" spans="1:8" x14ac:dyDescent="0.25">
      <c r="F93" s="3"/>
    </row>
    <row r="95" spans="1:8" x14ac:dyDescent="0.25">
      <c r="F95" s="3"/>
    </row>
  </sheetData>
  <mergeCells count="16">
    <mergeCell ref="A86:E86"/>
    <mergeCell ref="F42:F54"/>
    <mergeCell ref="A88:E88"/>
    <mergeCell ref="A13:D13"/>
    <mergeCell ref="F9:F13"/>
    <mergeCell ref="A20:D20"/>
    <mergeCell ref="F18:F20"/>
    <mergeCell ref="A61:D61"/>
    <mergeCell ref="F59:F62"/>
    <mergeCell ref="A54:D54"/>
    <mergeCell ref="F75:F78"/>
    <mergeCell ref="A77:D77"/>
    <mergeCell ref="A37:D37"/>
    <mergeCell ref="F25:F37"/>
    <mergeCell ref="F67:F70"/>
    <mergeCell ref="A69:D69"/>
  </mergeCells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zoomScale="130" zoomScaleNormal="130" workbookViewId="0">
      <selection activeCell="B24" sqref="B24"/>
    </sheetView>
  </sheetViews>
  <sheetFormatPr defaultRowHeight="15" x14ac:dyDescent="0.25"/>
  <cols>
    <col min="1" max="1" width="44.28515625" customWidth="1"/>
    <col min="2" max="2" width="8.85546875" customWidth="1"/>
    <col min="3" max="3" width="11.28515625" customWidth="1"/>
    <col min="4" max="4" width="13.42578125" customWidth="1"/>
    <col min="5" max="5" width="9.28515625" customWidth="1"/>
    <col min="6" max="6" width="10" customWidth="1"/>
  </cols>
  <sheetData>
    <row r="1" spans="1:6" x14ac:dyDescent="0.25">
      <c r="A1" s="4" t="s">
        <v>188</v>
      </c>
    </row>
    <row r="3" spans="1:6" x14ac:dyDescent="0.25">
      <c r="A3" s="4" t="s">
        <v>199</v>
      </c>
    </row>
    <row r="5" spans="1:6" x14ac:dyDescent="0.25">
      <c r="A5" s="56"/>
      <c r="B5" s="56" t="s">
        <v>6</v>
      </c>
      <c r="C5" s="56" t="s">
        <v>7</v>
      </c>
      <c r="D5" s="56" t="s">
        <v>8</v>
      </c>
      <c r="E5" s="56" t="s">
        <v>9</v>
      </c>
      <c r="F5" s="56" t="s">
        <v>10</v>
      </c>
    </row>
    <row r="6" spans="1:6" x14ac:dyDescent="0.25">
      <c r="A6" s="5" t="s">
        <v>154</v>
      </c>
      <c r="B6" s="6" t="s">
        <v>152</v>
      </c>
      <c r="C6" s="6">
        <v>4</v>
      </c>
      <c r="D6" s="7">
        <v>150</v>
      </c>
      <c r="E6" s="7">
        <f>C6*D6</f>
        <v>600</v>
      </c>
      <c r="F6" s="138"/>
    </row>
    <row r="7" spans="1:6" x14ac:dyDescent="0.25">
      <c r="A7" s="5" t="s">
        <v>153</v>
      </c>
      <c r="B7" s="6" t="s">
        <v>11</v>
      </c>
      <c r="C7" s="6">
        <v>60</v>
      </c>
      <c r="D7" s="7">
        <f>E6/C7</f>
        <v>10</v>
      </c>
      <c r="E7" s="7">
        <f>D7</f>
        <v>10</v>
      </c>
      <c r="F7" s="139"/>
    </row>
    <row r="8" spans="1:6" x14ac:dyDescent="0.25">
      <c r="A8" s="5" t="s">
        <v>156</v>
      </c>
      <c r="B8" s="6" t="s">
        <v>158</v>
      </c>
      <c r="C8" s="6">
        <v>4</v>
      </c>
      <c r="D8" s="7">
        <v>60</v>
      </c>
      <c r="E8" s="7">
        <f>C8*D8</f>
        <v>240</v>
      </c>
      <c r="F8" s="139"/>
    </row>
    <row r="9" spans="1:6" x14ac:dyDescent="0.25">
      <c r="A9" s="5" t="s">
        <v>157</v>
      </c>
      <c r="B9" s="6" t="s">
        <v>11</v>
      </c>
      <c r="C9" s="6">
        <v>12</v>
      </c>
      <c r="D9" s="7">
        <f>E8</f>
        <v>240</v>
      </c>
      <c r="E9" s="7">
        <f>D9/C9</f>
        <v>20</v>
      </c>
      <c r="F9" s="139"/>
    </row>
    <row r="10" spans="1:6" x14ac:dyDescent="0.25">
      <c r="A10" s="5" t="s">
        <v>159</v>
      </c>
      <c r="B10" s="6" t="s">
        <v>11</v>
      </c>
      <c r="C10" s="6">
        <v>4</v>
      </c>
      <c r="D10" s="7">
        <f>E9+E7</f>
        <v>30</v>
      </c>
      <c r="E10" s="7">
        <f>D10*C10</f>
        <v>120</v>
      </c>
      <c r="F10" s="139"/>
    </row>
    <row r="11" spans="1:6" x14ac:dyDescent="0.25">
      <c r="A11" s="59" t="s">
        <v>155</v>
      </c>
      <c r="B11" s="42" t="s">
        <v>158</v>
      </c>
      <c r="C11" s="42">
        <v>4</v>
      </c>
      <c r="D11" s="7">
        <f>E10</f>
        <v>120</v>
      </c>
      <c r="E11" s="7">
        <f>C11*D11</f>
        <v>480</v>
      </c>
      <c r="F11" s="140"/>
    </row>
    <row r="12" spans="1:6" x14ac:dyDescent="0.25">
      <c r="A12" s="44" t="s">
        <v>182</v>
      </c>
      <c r="B12" s="37" t="s">
        <v>11</v>
      </c>
      <c r="C12" s="42">
        <v>1</v>
      </c>
      <c r="D12" s="7">
        <f>E11</f>
        <v>480</v>
      </c>
      <c r="E12" s="7">
        <f>C12*D12</f>
        <v>480</v>
      </c>
      <c r="F12" s="16">
        <f>E12</f>
        <v>480</v>
      </c>
    </row>
    <row r="14" spans="1:6" x14ac:dyDescent="0.25">
      <c r="A14" s="133" t="s">
        <v>204</v>
      </c>
      <c r="B14" s="133"/>
      <c r="C14" s="133"/>
      <c r="D14" s="133"/>
      <c r="E14" s="133"/>
      <c r="F14" s="57">
        <f>F12/2</f>
        <v>240</v>
      </c>
    </row>
    <row r="16" spans="1:6" x14ac:dyDescent="0.25">
      <c r="A16" s="133" t="s">
        <v>206</v>
      </c>
      <c r="B16" s="133"/>
      <c r="C16" s="133"/>
      <c r="D16" s="133"/>
      <c r="E16" s="133"/>
      <c r="F16" s="57">
        <f>F12/2</f>
        <v>240</v>
      </c>
    </row>
  </sheetData>
  <mergeCells count="3">
    <mergeCell ref="F6:F11"/>
    <mergeCell ref="A14:E14"/>
    <mergeCell ref="A16:E16"/>
  </mergeCells>
  <pageMargins left="0" right="0" top="0.78740157480314965" bottom="0.7874015748031496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zoomScale="160" zoomScaleNormal="160" workbookViewId="0">
      <selection activeCell="I10" sqref="I10"/>
    </sheetView>
  </sheetViews>
  <sheetFormatPr defaultRowHeight="15" x14ac:dyDescent="0.25"/>
  <cols>
    <col min="1" max="1" width="32.42578125" customWidth="1"/>
    <col min="2" max="2" width="10" customWidth="1"/>
    <col min="3" max="3" width="11.7109375" customWidth="1"/>
    <col min="4" max="4" width="12.7109375" customWidth="1"/>
    <col min="5" max="5" width="10.140625" customWidth="1"/>
    <col min="6" max="6" width="11.5703125" customWidth="1"/>
  </cols>
  <sheetData>
    <row r="1" spans="1:6" x14ac:dyDescent="0.25">
      <c r="A1" s="4" t="s">
        <v>189</v>
      </c>
    </row>
    <row r="3" spans="1:6" x14ac:dyDescent="0.25">
      <c r="A3" s="4" t="s">
        <v>0</v>
      </c>
    </row>
    <row r="4" spans="1:6" x14ac:dyDescent="0.25">
      <c r="A4" s="4"/>
    </row>
    <row r="5" spans="1:6" x14ac:dyDescent="0.25">
      <c r="A5" s="4" t="s">
        <v>200</v>
      </c>
    </row>
    <row r="6" spans="1:6" x14ac:dyDescent="0.25">
      <c r="A6" s="56"/>
      <c r="B6" s="56" t="s">
        <v>6</v>
      </c>
      <c r="C6" s="56" t="s">
        <v>7</v>
      </c>
      <c r="D6" s="56" t="s">
        <v>8</v>
      </c>
      <c r="E6" s="56" t="s">
        <v>9</v>
      </c>
      <c r="F6" s="56" t="s">
        <v>10</v>
      </c>
    </row>
    <row r="7" spans="1:6" x14ac:dyDescent="0.25">
      <c r="A7" s="5" t="s">
        <v>175</v>
      </c>
      <c r="B7" s="8" t="s">
        <v>158</v>
      </c>
      <c r="C7" s="8">
        <v>1</v>
      </c>
      <c r="D7" s="9">
        <v>1800</v>
      </c>
      <c r="E7" s="9">
        <f>D7*C7</f>
        <v>1800</v>
      </c>
      <c r="F7" s="144"/>
    </row>
    <row r="8" spans="1:6" x14ac:dyDescent="0.25">
      <c r="A8" s="60" t="s">
        <v>209</v>
      </c>
      <c r="B8" s="8" t="s">
        <v>158</v>
      </c>
      <c r="C8" s="8">
        <v>1</v>
      </c>
      <c r="D8" s="9">
        <v>500</v>
      </c>
      <c r="E8" s="9">
        <f>D8*C8</f>
        <v>500</v>
      </c>
      <c r="F8" s="145"/>
    </row>
    <row r="9" spans="1:6" x14ac:dyDescent="0.25">
      <c r="A9" s="21" t="s">
        <v>182</v>
      </c>
      <c r="B9" s="8" t="s">
        <v>11</v>
      </c>
      <c r="C9" s="8">
        <v>1</v>
      </c>
      <c r="D9" s="9">
        <f>E7+E8</f>
        <v>2300</v>
      </c>
      <c r="E9" s="9">
        <f>D9</f>
        <v>2300</v>
      </c>
      <c r="F9" s="9">
        <f>E9</f>
        <v>2300</v>
      </c>
    </row>
    <row r="10" spans="1:6" x14ac:dyDescent="0.25">
      <c r="D10" s="3"/>
      <c r="E10" s="3"/>
    </row>
    <row r="12" spans="1:6" x14ac:dyDescent="0.25">
      <c r="A12" s="133" t="s">
        <v>207</v>
      </c>
      <c r="B12" s="133"/>
      <c r="C12" s="133"/>
      <c r="D12" s="133"/>
      <c r="E12" s="133"/>
      <c r="F12" s="57">
        <f>F9/2</f>
        <v>1150</v>
      </c>
    </row>
    <row r="13" spans="1:6" x14ac:dyDescent="0.25">
      <c r="A13" s="113"/>
      <c r="B13" s="113"/>
      <c r="C13" s="113"/>
      <c r="D13" s="113"/>
      <c r="E13" s="113"/>
      <c r="F13" s="1"/>
    </row>
    <row r="14" spans="1:6" x14ac:dyDescent="0.25">
      <c r="A14" s="133" t="s">
        <v>208</v>
      </c>
      <c r="B14" s="133"/>
      <c r="C14" s="133"/>
      <c r="D14" s="133"/>
      <c r="E14" s="133"/>
      <c r="F14" s="57">
        <f>F9/2</f>
        <v>1150</v>
      </c>
    </row>
  </sheetData>
  <mergeCells count="3">
    <mergeCell ref="F7:F8"/>
    <mergeCell ref="A12:E12"/>
    <mergeCell ref="A14:E14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="145" zoomScaleNormal="145" workbookViewId="0">
      <selection sqref="A1:F15"/>
    </sheetView>
  </sheetViews>
  <sheetFormatPr defaultRowHeight="15" x14ac:dyDescent="0.25"/>
  <cols>
    <col min="1" max="1" width="39.85546875" customWidth="1"/>
    <col min="2" max="2" width="10" customWidth="1"/>
    <col min="3" max="3" width="10.85546875" customWidth="1"/>
    <col min="4" max="4" width="13.28515625" customWidth="1"/>
    <col min="5" max="5" width="9.42578125" customWidth="1"/>
    <col min="6" max="6" width="10.140625" customWidth="1"/>
  </cols>
  <sheetData>
    <row r="1" spans="1:9" x14ac:dyDescent="0.25">
      <c r="A1" s="4" t="s">
        <v>190</v>
      </c>
    </row>
    <row r="3" spans="1:9" x14ac:dyDescent="0.25">
      <c r="A3" s="4" t="s">
        <v>77</v>
      </c>
    </row>
    <row r="4" spans="1:9" x14ac:dyDescent="0.25">
      <c r="A4" s="4"/>
    </row>
    <row r="5" spans="1:9" x14ac:dyDescent="0.25">
      <c r="A5" s="4" t="s">
        <v>81</v>
      </c>
    </row>
    <row r="6" spans="1:9" x14ac:dyDescent="0.25">
      <c r="A6" s="56"/>
      <c r="B6" s="56" t="s">
        <v>6</v>
      </c>
      <c r="C6" s="56" t="s">
        <v>7</v>
      </c>
      <c r="D6" s="56" t="s">
        <v>8</v>
      </c>
      <c r="E6" s="56" t="s">
        <v>9</v>
      </c>
      <c r="F6" s="56" t="s">
        <v>10</v>
      </c>
    </row>
    <row r="7" spans="1:9" x14ac:dyDescent="0.25">
      <c r="A7" s="20" t="s">
        <v>78</v>
      </c>
      <c r="B7" s="8" t="s">
        <v>32</v>
      </c>
      <c r="C7" s="6">
        <v>8</v>
      </c>
      <c r="D7" s="7">
        <v>50</v>
      </c>
      <c r="E7" s="7">
        <f>D7*C7</f>
        <v>400</v>
      </c>
      <c r="F7" s="124"/>
    </row>
    <row r="8" spans="1:9" x14ac:dyDescent="0.25">
      <c r="A8" s="20" t="s">
        <v>79</v>
      </c>
      <c r="B8" s="8" t="s">
        <v>32</v>
      </c>
      <c r="C8" s="6">
        <v>20</v>
      </c>
      <c r="D8" s="7">
        <v>29.9</v>
      </c>
      <c r="E8" s="7">
        <f>D8*C8</f>
        <v>598</v>
      </c>
      <c r="F8" s="125"/>
    </row>
    <row r="9" spans="1:9" x14ac:dyDescent="0.25">
      <c r="A9" s="20" t="s">
        <v>80</v>
      </c>
      <c r="B9" s="8" t="s">
        <v>32</v>
      </c>
      <c r="C9" s="6">
        <v>30</v>
      </c>
      <c r="D9" s="7">
        <v>26.9</v>
      </c>
      <c r="E9" s="7">
        <f>D9*C9</f>
        <v>807</v>
      </c>
      <c r="F9" s="125"/>
    </row>
    <row r="10" spans="1:9" x14ac:dyDescent="0.25">
      <c r="A10" s="28" t="s">
        <v>171</v>
      </c>
      <c r="B10" s="8" t="s">
        <v>32</v>
      </c>
      <c r="C10" s="6">
        <v>4</v>
      </c>
      <c r="D10" s="7">
        <v>84.9</v>
      </c>
      <c r="E10" s="7">
        <f t="shared" ref="E10" si="0">D10*C10</f>
        <v>339.6</v>
      </c>
      <c r="F10" s="125"/>
    </row>
    <row r="11" spans="1:9" x14ac:dyDescent="0.25">
      <c r="A11" s="141" t="s">
        <v>82</v>
      </c>
      <c r="B11" s="128"/>
      <c r="C11" s="128"/>
      <c r="D11" s="129"/>
      <c r="E11" s="7">
        <f>SUM(E7:E10)</f>
        <v>2144.6</v>
      </c>
      <c r="F11" s="126"/>
    </row>
    <row r="12" spans="1:9" x14ac:dyDescent="0.25">
      <c r="A12" s="30" t="s">
        <v>182</v>
      </c>
      <c r="B12" s="29" t="s">
        <v>11</v>
      </c>
      <c r="C12" s="6">
        <v>12</v>
      </c>
      <c r="D12" s="7">
        <f>E11</f>
        <v>2144.6</v>
      </c>
      <c r="E12" s="7">
        <f>D12/C12</f>
        <v>178.71666666666667</v>
      </c>
      <c r="F12" s="16">
        <f>E12</f>
        <v>178.71666666666667</v>
      </c>
      <c r="I12" s="3"/>
    </row>
    <row r="13" spans="1:9" x14ac:dyDescent="0.25">
      <c r="A13" s="27"/>
      <c r="B13" s="61"/>
      <c r="C13" s="17"/>
      <c r="D13" s="15"/>
      <c r="E13" s="15"/>
      <c r="F13" s="40"/>
    </row>
    <row r="14" spans="1:9" x14ac:dyDescent="0.25">
      <c r="A14" s="133" t="s">
        <v>83</v>
      </c>
      <c r="B14" s="133"/>
      <c r="C14" s="133"/>
      <c r="D14" s="133"/>
      <c r="E14" s="133"/>
      <c r="F14" s="57">
        <f>F12/2</f>
        <v>89.358333333333334</v>
      </c>
    </row>
    <row r="15" spans="1:9" x14ac:dyDescent="0.25">
      <c r="A15" s="133" t="s">
        <v>84</v>
      </c>
      <c r="B15" s="133"/>
      <c r="C15" s="133"/>
      <c r="D15" s="133"/>
      <c r="E15" s="133"/>
      <c r="F15" s="57">
        <f>F12/2</f>
        <v>89.358333333333334</v>
      </c>
    </row>
  </sheetData>
  <mergeCells count="4">
    <mergeCell ref="A11:D11"/>
    <mergeCell ref="A14:E14"/>
    <mergeCell ref="A15:E15"/>
    <mergeCell ref="F7:F11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="115" zoomScaleNormal="115" workbookViewId="0">
      <selection activeCell="F22" sqref="A1:F22"/>
    </sheetView>
  </sheetViews>
  <sheetFormatPr defaultRowHeight="15" x14ac:dyDescent="0.25"/>
  <cols>
    <col min="1" max="1" width="46.42578125" customWidth="1"/>
    <col min="2" max="2" width="9.140625" customWidth="1"/>
    <col min="3" max="3" width="11.7109375" customWidth="1"/>
    <col min="4" max="4" width="12.5703125" customWidth="1"/>
    <col min="5" max="5" width="11.140625" customWidth="1"/>
    <col min="6" max="6" width="10.140625" customWidth="1"/>
  </cols>
  <sheetData>
    <row r="1" spans="1:6" x14ac:dyDescent="0.25">
      <c r="A1" s="4" t="s">
        <v>191</v>
      </c>
    </row>
    <row r="3" spans="1:6" x14ac:dyDescent="0.25">
      <c r="A3" s="4" t="s">
        <v>194</v>
      </c>
    </row>
    <row r="4" spans="1:6" x14ac:dyDescent="0.25">
      <c r="A4" s="4"/>
      <c r="B4" s="1" t="s">
        <v>91</v>
      </c>
      <c r="C4" s="1" t="s">
        <v>92</v>
      </c>
    </row>
    <row r="5" spans="1:6" x14ac:dyDescent="0.25">
      <c r="A5" s="4" t="s">
        <v>90</v>
      </c>
      <c r="B5" s="1">
        <v>14</v>
      </c>
      <c r="C5" s="1">
        <v>14</v>
      </c>
      <c r="D5" s="1"/>
    </row>
    <row r="6" spans="1:6" x14ac:dyDescent="0.25">
      <c r="A6" s="4" t="s">
        <v>87</v>
      </c>
      <c r="B6" s="1">
        <v>250000</v>
      </c>
      <c r="C6" s="1">
        <v>120000</v>
      </c>
      <c r="D6" s="1"/>
    </row>
    <row r="7" spans="1:6" x14ac:dyDescent="0.25">
      <c r="A7" s="4" t="s">
        <v>88</v>
      </c>
      <c r="B7" s="1">
        <v>196412.45</v>
      </c>
      <c r="C7" s="1">
        <v>94277.97</v>
      </c>
      <c r="D7" s="1"/>
    </row>
    <row r="8" spans="1:6" x14ac:dyDescent="0.25">
      <c r="A8" s="4" t="s">
        <v>89</v>
      </c>
      <c r="B8" s="1">
        <v>10</v>
      </c>
      <c r="C8" s="1">
        <v>10</v>
      </c>
      <c r="D8" s="1"/>
    </row>
    <row r="10" spans="1:6" x14ac:dyDescent="0.25">
      <c r="A10" s="4" t="s">
        <v>86</v>
      </c>
    </row>
    <row r="11" spans="1:6" x14ac:dyDescent="0.25">
      <c r="A11" s="56"/>
      <c r="B11" s="56" t="s">
        <v>6</v>
      </c>
      <c r="C11" s="56" t="s">
        <v>7</v>
      </c>
      <c r="D11" s="56" t="s">
        <v>8</v>
      </c>
      <c r="E11" s="56" t="s">
        <v>9</v>
      </c>
      <c r="F11" s="56" t="s">
        <v>10</v>
      </c>
    </row>
    <row r="12" spans="1:6" x14ac:dyDescent="0.25">
      <c r="A12" s="41" t="s">
        <v>93</v>
      </c>
      <c r="B12" s="6" t="s">
        <v>32</v>
      </c>
      <c r="C12" s="6">
        <v>4</v>
      </c>
      <c r="D12" s="7">
        <f>(B6-B7)*((B8+1)/(2*B8))+B7</f>
        <v>225885.60250000001</v>
      </c>
      <c r="E12" s="7">
        <f>D12*C12</f>
        <v>903542.41</v>
      </c>
      <c r="F12" s="124"/>
    </row>
    <row r="13" spans="1:6" x14ac:dyDescent="0.25">
      <c r="A13" s="41" t="s">
        <v>96</v>
      </c>
      <c r="B13" s="6" t="s">
        <v>94</v>
      </c>
      <c r="C13" s="6">
        <v>1</v>
      </c>
      <c r="D13" s="7">
        <f>(E12*B5/100)</f>
        <v>126495.9374</v>
      </c>
      <c r="E13" s="7">
        <f>D13*C13</f>
        <v>126495.9374</v>
      </c>
      <c r="F13" s="126"/>
    </row>
    <row r="14" spans="1:6" x14ac:dyDescent="0.25">
      <c r="A14" s="43" t="s">
        <v>97</v>
      </c>
      <c r="B14" s="42" t="s">
        <v>11</v>
      </c>
      <c r="C14" s="6">
        <v>12</v>
      </c>
      <c r="D14" s="7">
        <f>E13</f>
        <v>126495.9374</v>
      </c>
      <c r="E14" s="7">
        <f>D14/C14</f>
        <v>10541.328116666666</v>
      </c>
      <c r="F14" s="16">
        <f>E14</f>
        <v>10541.328116666666</v>
      </c>
    </row>
    <row r="15" spans="1:6" x14ac:dyDescent="0.25">
      <c r="A15" s="41" t="s">
        <v>95</v>
      </c>
      <c r="B15" s="42" t="s">
        <v>32</v>
      </c>
      <c r="C15" s="42">
        <v>4</v>
      </c>
      <c r="D15" s="7">
        <f>(C6-C7)*((C8+1)/(2*C8))+C7</f>
        <v>108425.0865</v>
      </c>
      <c r="E15" s="7">
        <f>D15*C15</f>
        <v>433700.34600000002</v>
      </c>
      <c r="F15" s="124"/>
    </row>
    <row r="16" spans="1:6" x14ac:dyDescent="0.25">
      <c r="A16" s="41" t="s">
        <v>98</v>
      </c>
      <c r="B16" s="42" t="s">
        <v>94</v>
      </c>
      <c r="C16" s="42">
        <v>1</v>
      </c>
      <c r="D16" s="7">
        <f>(E15*C5/100)</f>
        <v>60718.048440000006</v>
      </c>
      <c r="E16" s="7">
        <f>D16</f>
        <v>60718.048440000006</v>
      </c>
      <c r="F16" s="126"/>
    </row>
    <row r="17" spans="1:6" x14ac:dyDescent="0.25">
      <c r="A17" s="43" t="s">
        <v>99</v>
      </c>
      <c r="B17" s="42" t="s">
        <v>11</v>
      </c>
      <c r="C17" s="6">
        <v>12</v>
      </c>
      <c r="D17" s="7">
        <f>E16</f>
        <v>60718.048440000006</v>
      </c>
      <c r="E17" s="7">
        <f>D17/12</f>
        <v>5059.8373700000002</v>
      </c>
      <c r="F17" s="16">
        <f>E17</f>
        <v>5059.8373700000002</v>
      </c>
    </row>
    <row r="18" spans="1:6" x14ac:dyDescent="0.25">
      <c r="A18" s="146" t="s">
        <v>100</v>
      </c>
      <c r="B18" s="147"/>
      <c r="C18" s="147"/>
      <c r="D18" s="147"/>
      <c r="E18" s="148"/>
      <c r="F18" s="16">
        <f>F14+F17</f>
        <v>15601.165486666665</v>
      </c>
    </row>
    <row r="20" spans="1:6" x14ac:dyDescent="0.25">
      <c r="A20" s="122" t="s">
        <v>102</v>
      </c>
      <c r="B20" s="122"/>
      <c r="C20" s="122"/>
      <c r="D20" s="122"/>
      <c r="E20" s="122"/>
      <c r="F20" s="57">
        <f>F18/2</f>
        <v>7800.5827433333325</v>
      </c>
    </row>
    <row r="21" spans="1:6" x14ac:dyDescent="0.25">
      <c r="F21" s="3"/>
    </row>
    <row r="22" spans="1:6" x14ac:dyDescent="0.25">
      <c r="A22" s="122" t="s">
        <v>103</v>
      </c>
      <c r="B22" s="122"/>
      <c r="C22" s="122"/>
      <c r="D22" s="122"/>
      <c r="E22" s="122"/>
      <c r="F22" s="57">
        <f>F20</f>
        <v>7800.5827433333325</v>
      </c>
    </row>
    <row r="23" spans="1:6" x14ac:dyDescent="0.25">
      <c r="F23" s="3"/>
    </row>
  </sheetData>
  <mergeCells count="5">
    <mergeCell ref="A20:E20"/>
    <mergeCell ref="A18:E18"/>
    <mergeCell ref="F12:F13"/>
    <mergeCell ref="F15:F16"/>
    <mergeCell ref="A22:E22"/>
  </mergeCells>
  <pageMargins left="0" right="0" top="0.78740157480314965" bottom="0.78740157480314965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8"/>
  <sheetViews>
    <sheetView workbookViewId="0">
      <selection sqref="A1:F15"/>
    </sheetView>
  </sheetViews>
  <sheetFormatPr defaultRowHeight="15" x14ac:dyDescent="0.25"/>
  <cols>
    <col min="1" max="1" width="32.85546875" customWidth="1"/>
  </cols>
  <sheetData>
    <row r="1" spans="1:6" x14ac:dyDescent="0.25">
      <c r="A1" s="4" t="s">
        <v>170</v>
      </c>
      <c r="B1" s="67"/>
      <c r="C1" s="67"/>
      <c r="D1" s="67"/>
      <c r="E1" s="67"/>
      <c r="F1" s="67"/>
    </row>
    <row r="2" spans="1:6" ht="15.75" thickBot="1" x14ac:dyDescent="0.3">
      <c r="A2" s="67"/>
      <c r="B2" s="67"/>
      <c r="C2" s="67"/>
      <c r="D2" s="67"/>
      <c r="E2" s="67"/>
      <c r="F2" s="67"/>
    </row>
    <row r="3" spans="1:6" ht="15.75" x14ac:dyDescent="0.25">
      <c r="A3" s="149" t="s">
        <v>192</v>
      </c>
      <c r="B3" s="150"/>
      <c r="C3" s="150"/>
      <c r="D3" s="150"/>
      <c r="E3" s="150"/>
      <c r="F3" s="151"/>
    </row>
    <row r="4" spans="1:6" ht="16.5" thickBot="1" x14ac:dyDescent="0.3">
      <c r="A4" s="68"/>
      <c r="B4" s="69"/>
      <c r="C4" s="69"/>
      <c r="D4" s="69"/>
      <c r="E4" s="69"/>
      <c r="F4" s="70"/>
    </row>
    <row r="5" spans="1:6" x14ac:dyDescent="0.25">
      <c r="A5" s="71"/>
      <c r="B5" s="72"/>
      <c r="C5" s="72"/>
      <c r="D5" s="152" t="s">
        <v>118</v>
      </c>
      <c r="E5" s="153"/>
      <c r="F5" s="154"/>
    </row>
    <row r="6" spans="1:6" ht="15.75" thickBot="1" x14ac:dyDescent="0.3">
      <c r="A6" s="73"/>
      <c r="B6" s="74"/>
      <c r="C6" s="74"/>
      <c r="D6" s="75" t="s">
        <v>119</v>
      </c>
      <c r="E6" s="76" t="s">
        <v>120</v>
      </c>
      <c r="F6" s="77" t="s">
        <v>121</v>
      </c>
    </row>
    <row r="7" spans="1:6" x14ac:dyDescent="0.25">
      <c r="A7" s="78" t="s">
        <v>122</v>
      </c>
      <c r="B7" s="79" t="s">
        <v>123</v>
      </c>
      <c r="C7" s="80">
        <v>5.0000000000000001E-3</v>
      </c>
      <c r="D7" s="81">
        <v>2.9700000000000001E-2</v>
      </c>
      <c r="E7" s="82">
        <v>5.0799999999999998E-2</v>
      </c>
      <c r="F7" s="83">
        <v>6.2700000000000006E-2</v>
      </c>
    </row>
    <row r="8" spans="1:6" x14ac:dyDescent="0.25">
      <c r="A8" s="84" t="s">
        <v>124</v>
      </c>
      <c r="B8" s="85" t="s">
        <v>125</v>
      </c>
      <c r="C8" s="86">
        <v>2E-3</v>
      </c>
      <c r="D8" s="81">
        <f>0.3%+0.56%</f>
        <v>8.6E-3</v>
      </c>
      <c r="E8" s="82">
        <f>0.48%+0.85%</f>
        <v>1.3299999999999999E-2</v>
      </c>
      <c r="F8" s="83">
        <f>0.82%+0.89%</f>
        <v>1.7099999999999997E-2</v>
      </c>
    </row>
    <row r="9" spans="1:6" x14ac:dyDescent="0.25">
      <c r="A9" s="84" t="s">
        <v>126</v>
      </c>
      <c r="B9" s="85" t="s">
        <v>62</v>
      </c>
      <c r="C9" s="86">
        <v>2.0299999999999999E-2</v>
      </c>
      <c r="D9" s="81">
        <v>7.7799999999999994E-2</v>
      </c>
      <c r="E9" s="82">
        <v>0.1085</v>
      </c>
      <c r="F9" s="83">
        <v>0.13550000000000001</v>
      </c>
    </row>
    <row r="10" spans="1:6" x14ac:dyDescent="0.25">
      <c r="A10" s="84" t="s">
        <v>127</v>
      </c>
      <c r="B10" s="85" t="s">
        <v>128</v>
      </c>
      <c r="C10" s="87">
        <f>(1+E10)^(E11/252)-1</f>
        <v>5.2130752593975149E-3</v>
      </c>
      <c r="D10" s="81" t="s">
        <v>129</v>
      </c>
      <c r="E10" s="88">
        <v>0.14000000000000001</v>
      </c>
      <c r="F10" s="89"/>
    </row>
    <row r="11" spans="1:6" x14ac:dyDescent="0.25">
      <c r="A11" s="84" t="s">
        <v>130</v>
      </c>
      <c r="B11" s="155" t="s">
        <v>131</v>
      </c>
      <c r="C11" s="86">
        <v>0.03</v>
      </c>
      <c r="D11" s="90" t="s">
        <v>132</v>
      </c>
      <c r="E11" s="91">
        <v>10</v>
      </c>
      <c r="F11" s="92"/>
    </row>
    <row r="12" spans="1:6" ht="15.75" thickBot="1" x14ac:dyDescent="0.3">
      <c r="A12" s="93" t="s">
        <v>133</v>
      </c>
      <c r="B12" s="156"/>
      <c r="C12" s="94">
        <v>3.6499999999999998E-2</v>
      </c>
      <c r="D12" s="95"/>
      <c r="E12" s="96"/>
      <c r="F12" s="92"/>
    </row>
    <row r="13" spans="1:6" x14ac:dyDescent="0.25">
      <c r="A13" s="97" t="s">
        <v>134</v>
      </c>
      <c r="B13" s="98"/>
      <c r="C13" s="99"/>
      <c r="D13" s="95"/>
      <c r="E13" s="96"/>
      <c r="F13" s="92"/>
    </row>
    <row r="14" spans="1:6" ht="15.75" thickBot="1" x14ac:dyDescent="0.3">
      <c r="A14" s="100" t="s">
        <v>135</v>
      </c>
      <c r="B14" s="101"/>
      <c r="C14" s="102"/>
      <c r="D14" s="95"/>
      <c r="E14" s="96"/>
      <c r="F14" s="92"/>
    </row>
    <row r="15" spans="1:6" ht="18.75" customHeight="1" thickBot="1" x14ac:dyDescent="0.3">
      <c r="A15" s="103" t="s">
        <v>136</v>
      </c>
      <c r="B15" s="104"/>
      <c r="C15" s="105">
        <f>ROUND((((1+C7+C8)*(1+C9)*(1+C10))/(1-(C11+C12))-1),4)</f>
        <v>0.10639999999999999</v>
      </c>
      <c r="D15" s="106">
        <v>0.21429999999999999</v>
      </c>
      <c r="E15" s="107">
        <v>0.2717</v>
      </c>
      <c r="F15" s="108">
        <v>0.3362</v>
      </c>
    </row>
    <row r="18" spans="1:1" x14ac:dyDescent="0.25">
      <c r="A18" t="s">
        <v>192</v>
      </c>
    </row>
  </sheetData>
  <mergeCells count="3">
    <mergeCell ref="A3:F3"/>
    <mergeCell ref="D5:F5"/>
    <mergeCell ref="B11:B12"/>
  </mergeCells>
  <pageMargins left="0.511811024" right="0.511811024" top="0.78740157499999996" bottom="0.78740157499999996" header="0.31496062000000002" footer="0.31496062000000002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D22" sqref="D22"/>
    </sheetView>
  </sheetViews>
  <sheetFormatPr defaultRowHeight="15" x14ac:dyDescent="0.25"/>
  <cols>
    <col min="1" max="1" width="44.7109375" customWidth="1"/>
    <col min="2" max="2" width="16.42578125" customWidth="1"/>
    <col min="3" max="3" width="15" customWidth="1"/>
    <col min="5" max="5" width="15.28515625" customWidth="1"/>
  </cols>
  <sheetData>
    <row r="1" spans="1:5" x14ac:dyDescent="0.25">
      <c r="A1" s="4" t="s">
        <v>210</v>
      </c>
    </row>
    <row r="3" spans="1:5" x14ac:dyDescent="0.25">
      <c r="A3" s="56"/>
      <c r="B3" s="56" t="s">
        <v>162</v>
      </c>
      <c r="C3" s="56" t="s">
        <v>13</v>
      </c>
    </row>
    <row r="4" spans="1:5" x14ac:dyDescent="0.25">
      <c r="A4" s="5" t="s">
        <v>163</v>
      </c>
      <c r="B4" s="7">
        <f>'Mão de Obra'!F40</f>
        <v>68929.254913500001</v>
      </c>
      <c r="C4" s="7">
        <f>(B4/$B$12)*100</f>
        <v>52.519037062175499</v>
      </c>
    </row>
    <row r="5" spans="1:5" x14ac:dyDescent="0.25">
      <c r="A5" s="5" t="s">
        <v>164</v>
      </c>
      <c r="B5" s="7">
        <f>EPI!F33</f>
        <v>1170.7964999999999</v>
      </c>
      <c r="C5" s="7">
        <f t="shared" ref="C5:C11" si="0">(B5/$B$12)*100</f>
        <v>0.89206106830733378</v>
      </c>
    </row>
    <row r="6" spans="1:5" x14ac:dyDescent="0.25">
      <c r="A6" s="5" t="s">
        <v>165</v>
      </c>
      <c r="B6" s="7">
        <f>Veículos!F86</f>
        <v>39244.580535260604</v>
      </c>
      <c r="C6" s="7">
        <f t="shared" si="0"/>
        <v>29.901492221370475</v>
      </c>
      <c r="D6" s="3"/>
    </row>
    <row r="7" spans="1:5" x14ac:dyDescent="0.25">
      <c r="A7" s="5" t="s">
        <v>166</v>
      </c>
      <c r="B7" s="7">
        <f>'Sistema de Monitoramento'!F14</f>
        <v>240</v>
      </c>
      <c r="C7" s="7">
        <f t="shared" si="0"/>
        <v>0.18286239871212473</v>
      </c>
      <c r="E7" s="3"/>
    </row>
    <row r="8" spans="1:5" x14ac:dyDescent="0.25">
      <c r="A8" s="5" t="s">
        <v>167</v>
      </c>
      <c r="B8" s="7">
        <f>'Administração Local'!F12</f>
        <v>1150</v>
      </c>
      <c r="C8" s="7">
        <f t="shared" si="0"/>
        <v>0.87621566049559774</v>
      </c>
      <c r="E8" s="3"/>
    </row>
    <row r="9" spans="1:5" x14ac:dyDescent="0.25">
      <c r="A9" s="5" t="s">
        <v>168</v>
      </c>
      <c r="B9" s="7">
        <f>'Ferramentas e Mat de Consumo'!F14</f>
        <v>89.358333333333334</v>
      </c>
      <c r="C9" s="7">
        <f t="shared" si="0"/>
        <v>6.8084496576045608E-2</v>
      </c>
    </row>
    <row r="10" spans="1:5" x14ac:dyDescent="0.25">
      <c r="A10" s="5" t="s">
        <v>169</v>
      </c>
      <c r="B10" s="7">
        <f>'Remuneração de Capital'!F20</f>
        <v>7800.5827433333325</v>
      </c>
      <c r="C10" s="7">
        <f t="shared" si="0"/>
        <v>5.943471965826415</v>
      </c>
      <c r="E10" s="3"/>
    </row>
    <row r="11" spans="1:5" x14ac:dyDescent="0.25">
      <c r="A11" s="5" t="s">
        <v>170</v>
      </c>
      <c r="B11" s="7">
        <f>SUM(B4:B10)*BDI!C15</f>
        <v>12621.65456990546</v>
      </c>
      <c r="C11" s="7">
        <f t="shared" si="0"/>
        <v>9.6167751265365151</v>
      </c>
    </row>
    <row r="12" spans="1:5" x14ac:dyDescent="0.25">
      <c r="A12" s="21" t="s">
        <v>160</v>
      </c>
      <c r="B12" s="16">
        <f>SUM(B4:B11)</f>
        <v>131246.22759533272</v>
      </c>
      <c r="C12" s="16">
        <f>SUM(C4:C11)</f>
        <v>100.00000000000003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2" sqref="A1:C12"/>
    </sheetView>
  </sheetViews>
  <sheetFormatPr defaultRowHeight="15" x14ac:dyDescent="0.25"/>
  <cols>
    <col min="1" max="1" width="45.85546875" customWidth="1"/>
    <col min="2" max="2" width="15.28515625" customWidth="1"/>
    <col min="3" max="3" width="13.85546875" customWidth="1"/>
  </cols>
  <sheetData>
    <row r="1" spans="1:4" x14ac:dyDescent="0.25">
      <c r="A1" s="4" t="s">
        <v>211</v>
      </c>
    </row>
    <row r="2" spans="1:4" x14ac:dyDescent="0.25">
      <c r="A2" s="4"/>
    </row>
    <row r="3" spans="1:4" x14ac:dyDescent="0.25">
      <c r="A3" s="58"/>
      <c r="B3" s="56" t="s">
        <v>162</v>
      </c>
      <c r="C3" s="56" t="s">
        <v>13</v>
      </c>
    </row>
    <row r="4" spans="1:4" x14ac:dyDescent="0.25">
      <c r="A4" s="5" t="s">
        <v>163</v>
      </c>
      <c r="B4" s="7">
        <f>'Mão de Obra'!F42</f>
        <v>45952.836608999998</v>
      </c>
      <c r="C4" s="7">
        <f>(B4/$B$12)*100</f>
        <v>48.627154737993656</v>
      </c>
    </row>
    <row r="5" spans="1:4" x14ac:dyDescent="0.25">
      <c r="A5" s="5" t="s">
        <v>164</v>
      </c>
      <c r="B5" s="7">
        <f>EPI!F35</f>
        <v>780.53099999999995</v>
      </c>
      <c r="C5" s="7">
        <f t="shared" ref="C5:C10" si="0">(B5/$B$12)*100</f>
        <v>0.82595557784059248</v>
      </c>
    </row>
    <row r="6" spans="1:4" x14ac:dyDescent="0.25">
      <c r="A6" s="5" t="s">
        <v>165</v>
      </c>
      <c r="B6" s="7">
        <f>Veículos!F88</f>
        <v>29399.164801284849</v>
      </c>
      <c r="C6" s="7">
        <f t="shared" si="0"/>
        <v>31.110108569007554</v>
      </c>
    </row>
    <row r="7" spans="1:4" x14ac:dyDescent="0.25">
      <c r="A7" s="5" t="s">
        <v>166</v>
      </c>
      <c r="B7" s="7">
        <f>'Sistema de Monitoramento'!F16</f>
        <v>240</v>
      </c>
      <c r="C7" s="7">
        <f t="shared" si="0"/>
        <v>0.25396728468407043</v>
      </c>
    </row>
    <row r="8" spans="1:4" x14ac:dyDescent="0.25">
      <c r="A8" s="5" t="s">
        <v>167</v>
      </c>
      <c r="B8" s="7">
        <f>'Administração Local'!F14</f>
        <v>1150</v>
      </c>
      <c r="C8" s="7">
        <f t="shared" si="0"/>
        <v>1.2169265724445042</v>
      </c>
    </row>
    <row r="9" spans="1:4" x14ac:dyDescent="0.25">
      <c r="A9" s="5" t="s">
        <v>168</v>
      </c>
      <c r="B9" s="7">
        <f>'Ferramentas e Mat de Consumo'!F15</f>
        <v>89.358333333333334</v>
      </c>
      <c r="C9" s="7">
        <f t="shared" si="0"/>
        <v>9.4558722002336365E-2</v>
      </c>
      <c r="D9" s="3"/>
    </row>
    <row r="10" spans="1:4" x14ac:dyDescent="0.25">
      <c r="A10" s="5" t="s">
        <v>169</v>
      </c>
      <c r="B10" s="7">
        <f>'Remuneração de Capital'!F22</f>
        <v>7800.5827433333325</v>
      </c>
      <c r="C10" s="7">
        <f t="shared" si="0"/>
        <v>8.2545534094907662</v>
      </c>
      <c r="D10" s="3"/>
    </row>
    <row r="11" spans="1:4" x14ac:dyDescent="0.25">
      <c r="A11" s="5" t="s">
        <v>170</v>
      </c>
      <c r="B11" s="7">
        <f>SUM(B4:B10)*BDI!C15</f>
        <v>9087.8871790116409</v>
      </c>
      <c r="C11" s="7">
        <f>(B11/$B$12)*100</f>
        <v>9.6167751265365133</v>
      </c>
    </row>
    <row r="12" spans="1:4" x14ac:dyDescent="0.25">
      <c r="A12" s="21" t="s">
        <v>161</v>
      </c>
      <c r="B12" s="16">
        <f>SUM(B4:B11)</f>
        <v>94500.360665963162</v>
      </c>
      <c r="C12" s="16">
        <f>SUM(C4:C11)</f>
        <v>99.999999999999986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5" sqref="B5"/>
    </sheetView>
  </sheetViews>
  <sheetFormatPr defaultRowHeight="15" x14ac:dyDescent="0.25"/>
  <cols>
    <col min="1" max="1" width="26" customWidth="1"/>
    <col min="2" max="2" width="22" customWidth="1"/>
  </cols>
  <sheetData>
    <row r="1" spans="1:2" x14ac:dyDescent="0.25">
      <c r="A1" s="157" t="s">
        <v>212</v>
      </c>
      <c r="B1" s="158"/>
    </row>
    <row r="2" spans="1:2" x14ac:dyDescent="0.25">
      <c r="A2" s="116"/>
      <c r="B2" s="117" t="s">
        <v>179</v>
      </c>
    </row>
    <row r="3" spans="1:2" x14ac:dyDescent="0.25">
      <c r="A3" s="118" t="s">
        <v>0</v>
      </c>
      <c r="B3" s="119">
        <f>'COLETA REGULAR'!B12</f>
        <v>131246.22759533272</v>
      </c>
    </row>
    <row r="4" spans="1:2" x14ac:dyDescent="0.25">
      <c r="A4" s="118" t="s">
        <v>21</v>
      </c>
      <c r="B4" s="119">
        <f>'COLETA SELETIVA'!B12</f>
        <v>94500.360665963162</v>
      </c>
    </row>
    <row r="5" spans="1:2" ht="15.75" thickBot="1" x14ac:dyDescent="0.3">
      <c r="A5" s="120" t="s">
        <v>180</v>
      </c>
      <c r="B5" s="121">
        <f>SUM(B3:B4)</f>
        <v>225746.58826129587</v>
      </c>
    </row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workbookViewId="0">
      <selection activeCell="D30" sqref="D30"/>
    </sheetView>
  </sheetViews>
  <sheetFormatPr defaultRowHeight="15" x14ac:dyDescent="0.25"/>
  <cols>
    <col min="1" max="1" width="40.5703125" customWidth="1"/>
    <col min="2" max="2" width="14" customWidth="1"/>
  </cols>
  <sheetData>
    <row r="1" spans="1:2" x14ac:dyDescent="0.25">
      <c r="A1" s="4" t="s">
        <v>193</v>
      </c>
    </row>
    <row r="3" spans="1:2" x14ac:dyDescent="0.25">
      <c r="A3" s="21" t="s">
        <v>104</v>
      </c>
      <c r="B3" s="6" t="s">
        <v>114</v>
      </c>
    </row>
    <row r="4" spans="1:2" x14ac:dyDescent="0.25">
      <c r="A4" s="5" t="s">
        <v>105</v>
      </c>
      <c r="B4" s="7">
        <v>20</v>
      </c>
    </row>
    <row r="5" spans="1:2" x14ac:dyDescent="0.25">
      <c r="A5" s="5" t="s">
        <v>137</v>
      </c>
      <c r="B5" s="7">
        <v>1.5</v>
      </c>
    </row>
    <row r="6" spans="1:2" x14ac:dyDescent="0.25">
      <c r="A6" s="5" t="s">
        <v>138</v>
      </c>
      <c r="B6" s="7">
        <v>1</v>
      </c>
    </row>
    <row r="7" spans="1:2" x14ac:dyDescent="0.25">
      <c r="A7" s="5" t="s">
        <v>139</v>
      </c>
      <c r="B7" s="7">
        <v>0.2</v>
      </c>
    </row>
    <row r="8" spans="1:2" x14ac:dyDescent="0.25">
      <c r="A8" s="5" t="s">
        <v>140</v>
      </c>
      <c r="B8" s="7">
        <v>0.6</v>
      </c>
    </row>
    <row r="9" spans="1:2" ht="14.25" customHeight="1" x14ac:dyDescent="0.25">
      <c r="A9" s="5" t="s">
        <v>106</v>
      </c>
      <c r="B9" s="7">
        <v>8</v>
      </c>
    </row>
    <row r="10" spans="1:2" x14ac:dyDescent="0.25">
      <c r="A10" s="5" t="s">
        <v>107</v>
      </c>
      <c r="B10" s="7">
        <v>3</v>
      </c>
    </row>
    <row r="11" spans="1:2" x14ac:dyDescent="0.25">
      <c r="A11" s="5" t="s">
        <v>108</v>
      </c>
      <c r="B11" s="7">
        <v>2.5</v>
      </c>
    </row>
    <row r="12" spans="1:2" x14ac:dyDescent="0.25">
      <c r="A12" s="5" t="s">
        <v>109</v>
      </c>
      <c r="B12" s="7">
        <f>SUM(B4:B11)</f>
        <v>36.799999999999997</v>
      </c>
    </row>
    <row r="13" spans="1:2" x14ac:dyDescent="0.25">
      <c r="A13" s="14"/>
      <c r="B13" s="17"/>
    </row>
    <row r="14" spans="1:2" x14ac:dyDescent="0.25">
      <c r="A14" s="21" t="s">
        <v>110</v>
      </c>
      <c r="B14" s="6" t="s">
        <v>114</v>
      </c>
    </row>
    <row r="15" spans="1:2" x14ac:dyDescent="0.25">
      <c r="A15" s="5" t="s">
        <v>111</v>
      </c>
      <c r="B15" s="7">
        <v>5.74</v>
      </c>
    </row>
    <row r="16" spans="1:2" x14ac:dyDescent="0.25">
      <c r="A16" s="5" t="s">
        <v>113</v>
      </c>
      <c r="B16" s="7">
        <v>8.33</v>
      </c>
    </row>
    <row r="17" spans="1:2" x14ac:dyDescent="0.25">
      <c r="A17" s="5" t="s">
        <v>141</v>
      </c>
      <c r="B17" s="7">
        <v>0.06</v>
      </c>
    </row>
    <row r="18" spans="1:2" x14ac:dyDescent="0.25">
      <c r="A18" s="5" t="s">
        <v>142</v>
      </c>
      <c r="B18" s="7">
        <v>0.82</v>
      </c>
    </row>
    <row r="19" spans="1:2" x14ac:dyDescent="0.25">
      <c r="A19" s="5" t="s">
        <v>144</v>
      </c>
      <c r="B19" s="7">
        <v>0.31</v>
      </c>
    </row>
    <row r="20" spans="1:2" x14ac:dyDescent="0.25">
      <c r="A20" s="5" t="s">
        <v>143</v>
      </c>
      <c r="B20" s="7">
        <v>1.66</v>
      </c>
    </row>
    <row r="21" spans="1:2" x14ac:dyDescent="0.25">
      <c r="A21" s="5" t="s">
        <v>109</v>
      </c>
      <c r="B21" s="7">
        <f>SUM(B15:B20)</f>
        <v>16.920000000000002</v>
      </c>
    </row>
    <row r="22" spans="1:2" x14ac:dyDescent="0.25">
      <c r="B22" s="1"/>
    </row>
    <row r="23" spans="1:2" x14ac:dyDescent="0.25">
      <c r="A23" s="21" t="s">
        <v>112</v>
      </c>
      <c r="B23" s="6" t="s">
        <v>114</v>
      </c>
    </row>
    <row r="24" spans="1:2" x14ac:dyDescent="0.25">
      <c r="A24" s="5" t="s">
        <v>145</v>
      </c>
      <c r="B24" s="6">
        <v>3.9</v>
      </c>
    </row>
    <row r="25" spans="1:2" x14ac:dyDescent="0.25">
      <c r="A25" s="20" t="s">
        <v>146</v>
      </c>
      <c r="B25" s="6">
        <v>5.37</v>
      </c>
    </row>
    <row r="26" spans="1:2" x14ac:dyDescent="0.25">
      <c r="A26" s="5" t="s">
        <v>147</v>
      </c>
      <c r="B26" s="6">
        <v>0.43</v>
      </c>
    </row>
    <row r="27" spans="1:2" x14ac:dyDescent="0.25">
      <c r="A27" s="5" t="s">
        <v>148</v>
      </c>
      <c r="B27" s="6">
        <v>3.59</v>
      </c>
    </row>
    <row r="28" spans="1:2" x14ac:dyDescent="0.25">
      <c r="A28" s="5" t="s">
        <v>149</v>
      </c>
      <c r="B28" s="6">
        <v>0.27</v>
      </c>
    </row>
    <row r="29" spans="1:2" x14ac:dyDescent="0.25">
      <c r="A29" s="5" t="s">
        <v>109</v>
      </c>
      <c r="B29" s="7">
        <f>SUM(B24:B28)</f>
        <v>13.559999999999999</v>
      </c>
    </row>
    <row r="30" spans="1:2" x14ac:dyDescent="0.25">
      <c r="A30" s="14"/>
      <c r="B30" s="15"/>
    </row>
    <row r="31" spans="1:2" x14ac:dyDescent="0.25">
      <c r="A31" s="30" t="s">
        <v>117</v>
      </c>
      <c r="B31" s="7" t="s">
        <v>114</v>
      </c>
    </row>
    <row r="32" spans="1:2" x14ac:dyDescent="0.25">
      <c r="A32" s="52" t="s">
        <v>116</v>
      </c>
      <c r="B32" s="53">
        <v>6.23</v>
      </c>
    </row>
    <row r="33" spans="1:2" x14ac:dyDescent="0.25">
      <c r="A33" s="52" t="s">
        <v>178</v>
      </c>
      <c r="B33" s="53">
        <v>1.44</v>
      </c>
    </row>
    <row r="34" spans="1:2" ht="14.25" customHeight="1" x14ac:dyDescent="0.25">
      <c r="A34" s="5" t="s">
        <v>109</v>
      </c>
      <c r="B34" s="53">
        <f>SUM(B32:B33)</f>
        <v>7.67</v>
      </c>
    </row>
    <row r="35" spans="1:2" ht="14.25" customHeight="1" x14ac:dyDescent="0.25">
      <c r="A35" s="50"/>
      <c r="B35" s="51"/>
    </row>
    <row r="36" spans="1:2" x14ac:dyDescent="0.25">
      <c r="A36" s="21" t="s">
        <v>115</v>
      </c>
      <c r="B36" s="16">
        <f>B12+B21+B29+B34</f>
        <v>74.95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Mão de Obra</vt:lpstr>
      <vt:lpstr>EPI</vt:lpstr>
      <vt:lpstr>Veículos</vt:lpstr>
      <vt:lpstr>Sistema de Monitoramento</vt:lpstr>
      <vt:lpstr>Administração Local</vt:lpstr>
      <vt:lpstr>Ferramentas e Mat de Consumo</vt:lpstr>
      <vt:lpstr>Remuneração de Capital</vt:lpstr>
      <vt:lpstr>BDI</vt:lpstr>
      <vt:lpstr>COLETA REGULAR</vt:lpstr>
      <vt:lpstr>COLETA SELETIVA</vt:lpstr>
      <vt:lpstr>TOTAL</vt:lpstr>
      <vt:lpstr>Encargos Sociais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michelisilveira</dc:creator>
  <cp:lastModifiedBy>michelisilveira</cp:lastModifiedBy>
  <cp:lastPrinted>2022-04-14T19:15:41Z</cp:lastPrinted>
  <dcterms:created xsi:type="dcterms:W3CDTF">2020-09-08T16:41:44Z</dcterms:created>
  <dcterms:modified xsi:type="dcterms:W3CDTF">2026-09-11T17:05:18Z</dcterms:modified>
</cp:coreProperties>
</file>