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embeddings/oleObject4.bin" ContentType="application/vnd.openxmlformats-officedocument.oleObject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drive\Expediente\Gestão Ambiental\Preservação e Conservação Ambiental\Coleta LIXO RSU\Licitação 2026\30 março\"/>
    </mc:Choice>
  </mc:AlternateContent>
  <xr:revisionPtr revIDLastSave="0" documentId="13_ncr:1_{B079925A-B0AB-4CC5-8C0C-9EB6939B0561}" xr6:coauthVersionLast="47" xr6:coauthVersionMax="47" xr10:uidLastSave="{00000000-0000-0000-0000-000000000000}"/>
  <bookViews>
    <workbookView xWindow="-120" yWindow="-120" windowWidth="29040" windowHeight="15840" tabRatio="802" xr2:uid="{00000000-000D-0000-FFFF-FFFF00000000}"/>
  </bookViews>
  <sheets>
    <sheet name="1. Coleta Domiciliar" sheetId="2" r:id="rId1"/>
    <sheet name="2.Encargos Sociais" sheetId="8" r:id="rId2"/>
    <sheet name="3.BDI - PREFEITURA" sheetId="10" r:id="rId3"/>
    <sheet name="4. Depreciação" sheetId="6" r:id="rId4"/>
    <sheet name="5. Dimensionamento" sheetId="9" r:id="rId5"/>
    <sheet name="6.Remuneração de capital" sheetId="7" r:id="rId6"/>
    <sheet name="7.CAGED" sheetId="5" r:id="rId7"/>
    <sheet name="BDI - TCE" sheetId="4" r:id="rId8"/>
  </sheets>
  <definedNames>
    <definedName name="AbaDeprec">'4. Depreciação'!$A$1</definedName>
    <definedName name="AbaRemun">'6.Remuneração de capital'!$A$1</definedName>
    <definedName name="_xlnm.Print_Area" localSheetId="0">'1. Coleta Domiciliar'!$A$2:$F$409</definedName>
    <definedName name="_xlnm.Print_Area" localSheetId="1">'2.Encargos Sociais'!$A$1:$C$36</definedName>
    <definedName name="_xlnm.Print_Titles" localSheetId="0">'1. Coleta Domiciliar'!$1:$6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97" i="2" l="1"/>
  <c r="C295" i="2"/>
  <c r="C328" i="2"/>
  <c r="C282" i="2"/>
  <c r="C359" i="2"/>
  <c r="C224" i="2"/>
  <c r="C232" i="2"/>
  <c r="C57" i="2"/>
  <c r="C58" i="2"/>
  <c r="C90" i="2"/>
  <c r="C89" i="2"/>
  <c r="C215" i="2"/>
  <c r="C214" i="2"/>
  <c r="E193" i="2"/>
  <c r="D223" i="2"/>
  <c r="D269" i="2"/>
  <c r="D281" i="2" s="1"/>
  <c r="C309" i="2"/>
  <c r="C273" i="2"/>
  <c r="E288" i="2"/>
  <c r="C337" i="2"/>
  <c r="C332" i="2"/>
  <c r="C338" i="2"/>
  <c r="C333" i="2"/>
  <c r="D337" i="2"/>
  <c r="D332" i="2"/>
  <c r="D327" i="2"/>
  <c r="E327" i="2" s="1"/>
  <c r="C343" i="2"/>
  <c r="C319" i="2"/>
  <c r="C320" i="2"/>
  <c r="C314" i="2"/>
  <c r="C315" i="2"/>
  <c r="C310" i="2"/>
  <c r="E281" i="2" l="1"/>
  <c r="E337" i="2"/>
  <c r="E332" i="2"/>
  <c r="D186" i="2"/>
  <c r="E153" i="2"/>
  <c r="D149" i="2"/>
  <c r="C124" i="2"/>
  <c r="D124" i="2"/>
  <c r="C10" i="9" l="1"/>
  <c r="D245" i="2"/>
  <c r="D137" i="2" l="1"/>
  <c r="D380" i="2" l="1"/>
  <c r="D366" i="2"/>
  <c r="D364" i="2"/>
  <c r="D362" i="2"/>
  <c r="D360" i="2"/>
  <c r="D358" i="2"/>
  <c r="E344" i="2" l="1"/>
  <c r="E352" i="2"/>
  <c r="C380" i="2"/>
  <c r="E380" i="2" s="1"/>
  <c r="E378" i="2"/>
  <c r="D367" i="2"/>
  <c r="D365" i="2"/>
  <c r="D363" i="2"/>
  <c r="D361" i="2"/>
  <c r="D359" i="2"/>
  <c r="B355" i="2"/>
  <c r="C382" i="2" s="1"/>
  <c r="E350" i="2"/>
  <c r="E349" i="2"/>
  <c r="D348" i="2"/>
  <c r="E348" i="2" s="1"/>
  <c r="E316" i="2"/>
  <c r="C339" i="2" s="1"/>
  <c r="E311" i="2"/>
  <c r="C334" i="2" s="1"/>
  <c r="E306" i="2"/>
  <c r="C329" i="2" s="1"/>
  <c r="E275" i="2"/>
  <c r="A40" i="2"/>
  <c r="H229" i="2"/>
  <c r="J229" i="2" s="1"/>
  <c r="J228" i="2"/>
  <c r="J227" i="2"/>
  <c r="J226" i="2"/>
  <c r="D319" i="2" l="1"/>
  <c r="E319" i="2" s="1"/>
  <c r="D320" i="2" s="1"/>
  <c r="E320" i="2" s="1"/>
  <c r="D314" i="2"/>
  <c r="E314" i="2" s="1"/>
  <c r="D315" i="2" s="1"/>
  <c r="E315" i="2" s="1"/>
  <c r="D309" i="2"/>
  <c r="E309" i="2" s="1"/>
  <c r="D310" i="2" s="1"/>
  <c r="E310" i="2" s="1"/>
  <c r="D351" i="2"/>
  <c r="E351" i="2" s="1"/>
  <c r="F352" i="2" s="1"/>
  <c r="C361" i="2"/>
  <c r="E361" i="2" s="1"/>
  <c r="J230" i="2"/>
  <c r="B220" i="2" s="1"/>
  <c r="D368" i="2"/>
  <c r="D381" i="2"/>
  <c r="E381" i="2" s="1"/>
  <c r="D382" i="2" s="1"/>
  <c r="E382" i="2" s="1"/>
  <c r="F383" i="2" s="1"/>
  <c r="E299" i="2"/>
  <c r="E297" i="2"/>
  <c r="C260" i="2"/>
  <c r="C259" i="2"/>
  <c r="D131" i="2"/>
  <c r="E321" i="2" l="1"/>
  <c r="C330" i="2"/>
  <c r="D331" i="2" s="1"/>
  <c r="E331" i="2" s="1"/>
  <c r="C340" i="2"/>
  <c r="D341" i="2" s="1"/>
  <c r="E341" i="2" s="1"/>
  <c r="C335" i="2"/>
  <c r="D336" i="2" s="1"/>
  <c r="E336" i="2" s="1"/>
  <c r="D322" i="2"/>
  <c r="E322" i="2" s="1"/>
  <c r="F323" i="2" s="1"/>
  <c r="C363" i="2"/>
  <c r="E363" i="2" s="1"/>
  <c r="E359" i="2"/>
  <c r="C365" i="2"/>
  <c r="E365" i="2" s="1"/>
  <c r="C373" i="2"/>
  <c r="E373" i="2" s="1"/>
  <c r="F374" i="2" s="1"/>
  <c r="C367" i="2"/>
  <c r="E367" i="2" s="1"/>
  <c r="C208" i="2"/>
  <c r="D197" i="2"/>
  <c r="D215" i="2" s="1"/>
  <c r="D230" i="2"/>
  <c r="C245" i="2"/>
  <c r="E342" i="2" l="1"/>
  <c r="D343" i="2" s="1"/>
  <c r="E343" i="2" s="1"/>
  <c r="F344" i="2" s="1"/>
  <c r="F369" i="2"/>
  <c r="F385" i="2" l="1"/>
  <c r="C131" i="2"/>
  <c r="C130" i="2"/>
  <c r="C125" i="2"/>
  <c r="E33" i="2" l="1"/>
  <c r="C15" i="10"/>
  <c r="C392" i="2" s="1"/>
  <c r="E295" i="2"/>
  <c r="D298" i="2" l="1"/>
  <c r="E298" i="2" s="1"/>
  <c r="D296" i="2"/>
  <c r="E296" i="2" s="1"/>
  <c r="C18" i="9"/>
  <c r="F299" i="2" l="1"/>
  <c r="F301" i="2" s="1"/>
  <c r="E32" i="2" s="1"/>
  <c r="F8" i="10" l="1"/>
  <c r="E8" i="10"/>
  <c r="D8" i="10"/>
  <c r="E146" i="2" l="1"/>
  <c r="D125" i="2"/>
  <c r="E65" i="2" l="1"/>
  <c r="A47" i="2" l="1"/>
  <c r="A34" i="2" l="1"/>
  <c r="A31" i="2"/>
  <c r="A30" i="2"/>
  <c r="A22" i="2"/>
  <c r="A21" i="2"/>
  <c r="A13" i="2"/>
  <c r="C184" i="2" l="1"/>
  <c r="C189" i="2"/>
  <c r="E43" i="2" l="1"/>
  <c r="E41" i="2"/>
  <c r="C203" i="2" l="1"/>
  <c r="D232" i="2"/>
  <c r="D228" i="2"/>
  <c r="D226" i="2"/>
  <c r="D163" i="2" l="1"/>
  <c r="E163" i="2" s="1"/>
  <c r="E147" i="2"/>
  <c r="E148" i="2"/>
  <c r="E149" i="2"/>
  <c r="E150" i="2"/>
  <c r="E151" i="2"/>
  <c r="E152" i="2"/>
  <c r="E154" i="2"/>
  <c r="E155" i="2"/>
  <c r="E156" i="2"/>
  <c r="D58" i="2" l="1"/>
  <c r="E58" i="2" s="1"/>
  <c r="D57" i="2"/>
  <c r="E57" i="2" s="1"/>
  <c r="D89" i="2"/>
  <c r="E89" i="2" s="1"/>
  <c r="C108" i="2"/>
  <c r="D59" i="2" l="1"/>
  <c r="E59" i="2" s="1"/>
  <c r="C111" i="2"/>
  <c r="D90" i="2"/>
  <c r="E90" i="2" s="1"/>
  <c r="D91" i="2" s="1"/>
  <c r="E91" i="2" s="1"/>
  <c r="C76" i="2"/>
  <c r="C73" i="2"/>
  <c r="C247" i="2" l="1"/>
  <c r="D103" i="2"/>
  <c r="A29" i="2"/>
  <c r="A28" i="2"/>
  <c r="A27" i="2"/>
  <c r="A26" i="2"/>
  <c r="A25" i="2"/>
  <c r="A24" i="2"/>
  <c r="A23" i="2"/>
  <c r="A20" i="2"/>
  <c r="A19" i="2"/>
  <c r="A18" i="2"/>
  <c r="A17" i="2"/>
  <c r="A16" i="2"/>
  <c r="A15" i="2"/>
  <c r="A14" i="2"/>
  <c r="C17" i="8"/>
  <c r="E277" i="2"/>
  <c r="E217" i="2"/>
  <c r="E171" i="2"/>
  <c r="E159" i="2"/>
  <c r="E138" i="2"/>
  <c r="E119" i="2"/>
  <c r="E98" i="2"/>
  <c r="E83" i="2"/>
  <c r="C18" i="4"/>
  <c r="F11" i="4"/>
  <c r="E11" i="4"/>
  <c r="D11" i="4"/>
  <c r="C14" i="8"/>
  <c r="C34" i="5"/>
  <c r="C29" i="5"/>
  <c r="C28" i="8" s="1"/>
  <c r="C28" i="5"/>
  <c r="C114" i="2"/>
  <c r="C105" i="2"/>
  <c r="D102" i="2"/>
  <c r="D108" i="2" s="1"/>
  <c r="E108" i="2" s="1"/>
  <c r="E87" i="2"/>
  <c r="D93" i="2" s="1"/>
  <c r="E93" i="2" s="1"/>
  <c r="E245" i="2"/>
  <c r="C226" i="2"/>
  <c r="E226" i="2" s="1"/>
  <c r="D224" i="2"/>
  <c r="D233" i="2" s="1"/>
  <c r="E181" i="2"/>
  <c r="D202" i="2"/>
  <c r="C190" i="2"/>
  <c r="C185" i="2"/>
  <c r="C70" i="2"/>
  <c r="D68" i="2"/>
  <c r="C186" i="2"/>
  <c r="A41" i="2"/>
  <c r="A42" i="2"/>
  <c r="A43" i="2"/>
  <c r="E56" i="2"/>
  <c r="D60" i="2" s="1"/>
  <c r="C78" i="2"/>
  <c r="A130" i="2"/>
  <c r="A136" i="2" s="1"/>
  <c r="A131" i="2"/>
  <c r="A137" i="2" s="1"/>
  <c r="E157" i="2"/>
  <c r="D164" i="2"/>
  <c r="E164" i="2" s="1"/>
  <c r="D165" i="2"/>
  <c r="E165" i="2" s="1"/>
  <c r="D166" i="2"/>
  <c r="E166" i="2" s="1"/>
  <c r="D167" i="2"/>
  <c r="E167" i="2" s="1"/>
  <c r="D168" i="2"/>
  <c r="E168" i="2" s="1"/>
  <c r="E169" i="2"/>
  <c r="E243" i="2"/>
  <c r="E215" i="2"/>
  <c r="E214" i="2"/>
  <c r="E256" i="2"/>
  <c r="E259" i="2"/>
  <c r="E260" i="2"/>
  <c r="E257" i="2"/>
  <c r="E258" i="2"/>
  <c r="D114" i="2"/>
  <c r="D213" i="2" l="1"/>
  <c r="C199" i="2"/>
  <c r="C202" i="2"/>
  <c r="E202" i="2" s="1"/>
  <c r="E186" i="2"/>
  <c r="C204" i="2" s="1"/>
  <c r="D184" i="2"/>
  <c r="E184" i="2" s="1"/>
  <c r="C27" i="8"/>
  <c r="G28" i="5"/>
  <c r="C39" i="5"/>
  <c r="E37" i="5"/>
  <c r="D37" i="5" s="1"/>
  <c r="D38" i="5" s="1"/>
  <c r="C38" i="5" s="1"/>
  <c r="C24" i="8" s="1"/>
  <c r="C32" i="8" s="1"/>
  <c r="D76" i="2"/>
  <c r="E76" i="2" s="1"/>
  <c r="D71" i="2"/>
  <c r="E71" i="2" s="1"/>
  <c r="E102" i="2"/>
  <c r="D106" i="2"/>
  <c r="E106" i="2" s="1"/>
  <c r="D109" i="2"/>
  <c r="E109" i="2" s="1"/>
  <c r="D111" i="2"/>
  <c r="E111" i="2" s="1"/>
  <c r="D105" i="2"/>
  <c r="E105" i="2" s="1"/>
  <c r="D74" i="2"/>
  <c r="E74" i="2" s="1"/>
  <c r="D73" i="2"/>
  <c r="E73" i="2" s="1"/>
  <c r="C230" i="2"/>
  <c r="E230" i="2" s="1"/>
  <c r="D70" i="2"/>
  <c r="E70" i="2" s="1"/>
  <c r="E114" i="2"/>
  <c r="E232" i="2"/>
  <c r="F261" i="2"/>
  <c r="F263" i="2" s="1"/>
  <c r="E30" i="2" s="1"/>
  <c r="E131" i="2"/>
  <c r="E224" i="2"/>
  <c r="E68" i="2"/>
  <c r="D158" i="2"/>
  <c r="E130" i="2"/>
  <c r="E44" i="2"/>
  <c r="C136" i="2"/>
  <c r="E136" i="2" s="1"/>
  <c r="E124" i="2"/>
  <c r="C137" i="2"/>
  <c r="E137" i="2" s="1"/>
  <c r="E60" i="2"/>
  <c r="E61" i="2" s="1"/>
  <c r="D62" i="2" s="1"/>
  <c r="C228" i="2"/>
  <c r="E228" i="2" s="1"/>
  <c r="C238" i="2"/>
  <c r="E238" i="2" s="1"/>
  <c r="F239" i="2" s="1"/>
  <c r="E28" i="2" s="1"/>
  <c r="E269" i="2"/>
  <c r="C283" i="2" s="1"/>
  <c r="E197" i="2"/>
  <c r="D246" i="2"/>
  <c r="E246" i="2" s="1"/>
  <c r="D247" i="2" s="1"/>
  <c r="E247" i="2" s="1"/>
  <c r="F248" i="2" s="1"/>
  <c r="E29" i="2" s="1"/>
  <c r="E125" i="2"/>
  <c r="D170" i="2"/>
  <c r="E94" i="2"/>
  <c r="D272" i="2" l="1"/>
  <c r="E272" i="2" s="1"/>
  <c r="C284" i="2" s="1"/>
  <c r="D285" i="2" s="1"/>
  <c r="E285" i="2" s="1"/>
  <c r="E286" i="2" s="1"/>
  <c r="D287" i="2" s="1"/>
  <c r="E287" i="2" s="1"/>
  <c r="F288" i="2" s="1"/>
  <c r="C200" i="2"/>
  <c r="D201" i="2" s="1"/>
  <c r="E201" i="2" s="1"/>
  <c r="D185" i="2"/>
  <c r="E185" i="2" s="1"/>
  <c r="E213" i="2"/>
  <c r="D216" i="2" s="1"/>
  <c r="E216" i="2" s="1"/>
  <c r="F217" i="2" s="1"/>
  <c r="E26" i="2" s="1"/>
  <c r="C26" i="8"/>
  <c r="C25" i="8"/>
  <c r="K35" i="5"/>
  <c r="K36" i="5" s="1"/>
  <c r="K37" i="5" s="1"/>
  <c r="K38" i="5" s="1"/>
  <c r="K39" i="5" s="1"/>
  <c r="K40" i="5" s="1"/>
  <c r="K41" i="5" s="1"/>
  <c r="C16" i="8"/>
  <c r="C22" i="8" s="1"/>
  <c r="C31" i="8" s="1"/>
  <c r="C33" i="8" s="1"/>
  <c r="F37" i="5"/>
  <c r="G37" i="5" s="1"/>
  <c r="C37" i="5"/>
  <c r="D77" i="2"/>
  <c r="E77" i="2" s="1"/>
  <c r="D78" i="2" s="1"/>
  <c r="E78" i="2" s="1"/>
  <c r="D112" i="2"/>
  <c r="E112" i="2" s="1"/>
  <c r="F132" i="2"/>
  <c r="E19" i="2" s="1"/>
  <c r="F138" i="2"/>
  <c r="E170" i="2"/>
  <c r="F171" i="2" s="1"/>
  <c r="E158" i="2"/>
  <c r="F159" i="2" s="1"/>
  <c r="D189" i="2"/>
  <c r="E189" i="2" s="1"/>
  <c r="D190" i="2" s="1"/>
  <c r="E190" i="2" s="1"/>
  <c r="F126" i="2"/>
  <c r="E18" i="2" s="1"/>
  <c r="F234" i="2"/>
  <c r="E27" i="2" s="1"/>
  <c r="D95" i="2"/>
  <c r="D273" i="2" l="1"/>
  <c r="E273" i="2" s="1"/>
  <c r="E274" i="2" s="1"/>
  <c r="D276" i="2" s="1"/>
  <c r="E276" i="2" s="1"/>
  <c r="F277" i="2" s="1"/>
  <c r="F290" i="2" s="1"/>
  <c r="E20" i="2"/>
  <c r="C29" i="8"/>
  <c r="C34" i="8" s="1"/>
  <c r="G38" i="5"/>
  <c r="G32" i="5"/>
  <c r="E191" i="2"/>
  <c r="D192" i="2" s="1"/>
  <c r="E192" i="2" s="1"/>
  <c r="F193" i="2" s="1"/>
  <c r="E24" i="2" s="1"/>
  <c r="C205" i="2"/>
  <c r="D206" i="2" s="1"/>
  <c r="F173" i="2"/>
  <c r="E21" i="2" s="1"/>
  <c r="E115" i="2"/>
  <c r="D116" i="2" s="1"/>
  <c r="E79" i="2"/>
  <c r="E31" i="2" l="1"/>
  <c r="E206" i="2"/>
  <c r="E207" i="2" s="1"/>
  <c r="D208" i="2" s="1"/>
  <c r="E208" i="2" s="1"/>
  <c r="F209" i="2" s="1"/>
  <c r="C95" i="2"/>
  <c r="C62" i="2"/>
  <c r="E62" i="2" s="1"/>
  <c r="E63" i="2" s="1"/>
  <c r="D64" i="2" s="1"/>
  <c r="E64" i="2" s="1"/>
  <c r="F65" i="2" s="1"/>
  <c r="E14" i="2" s="1"/>
  <c r="C116" i="2"/>
  <c r="C80" i="2"/>
  <c r="D80" i="2"/>
  <c r="E25" i="2" l="1"/>
  <c r="E23" i="2" s="1"/>
  <c r="F251" i="2"/>
  <c r="E80" i="2"/>
  <c r="E81" i="2" s="1"/>
  <c r="D82" i="2" s="1"/>
  <c r="E82" i="2" s="1"/>
  <c r="F83" i="2" s="1"/>
  <c r="E15" i="2" s="1"/>
  <c r="E116" i="2"/>
  <c r="E117" i="2" s="1"/>
  <c r="D118" i="2" s="1"/>
  <c r="E118" i="2" s="1"/>
  <c r="F119" i="2" s="1"/>
  <c r="E95" i="2"/>
  <c r="E96" i="2" s="1"/>
  <c r="D97" i="2" s="1"/>
  <c r="E97" i="2" s="1"/>
  <c r="F98" i="2" s="1"/>
  <c r="E16" i="2" s="1"/>
  <c r="E22" i="2" l="1"/>
  <c r="E17" i="2"/>
  <c r="F139" i="2"/>
  <c r="F387" i="2" s="1"/>
  <c r="D392" i="2" l="1"/>
  <c r="E392" i="2" s="1"/>
  <c r="F393" i="2" s="1"/>
  <c r="F395" i="2" s="1"/>
  <c r="F397" i="2" s="1"/>
  <c r="E13" i="2"/>
  <c r="E34" i="2" l="1"/>
  <c r="E35" i="2" s="1"/>
  <c r="F402" i="2"/>
  <c r="F32" i="2" l="1"/>
  <c r="F33" i="2"/>
  <c r="F18" i="2"/>
  <c r="F24" i="2"/>
  <c r="F29" i="2"/>
  <c r="F34" i="2"/>
  <c r="F26" i="2"/>
  <c r="F23" i="2"/>
  <c r="F22" i="2"/>
  <c r="F21" i="2"/>
  <c r="F27" i="2"/>
  <c r="F19" i="2"/>
  <c r="F16" i="2"/>
  <c r="F17" i="2"/>
  <c r="F15" i="2"/>
  <c r="F30" i="2"/>
  <c r="F25" i="2"/>
  <c r="F28" i="2"/>
  <c r="F20" i="2"/>
  <c r="F31" i="2"/>
  <c r="F14" i="2"/>
  <c r="F13" i="2"/>
  <c r="F35" i="2" l="1"/>
  <c r="C11" i="9"/>
  <c r="C12" i="9" s="1"/>
  <c r="C14" i="9" l="1"/>
  <c r="C19" i="9" s="1"/>
  <c r="C21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Rubens Kern</author>
  </authors>
  <commentList>
    <comment ref="A11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6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7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8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9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2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4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69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1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2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4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5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7" authorId="0" shapeId="0" xr:uid="{00000000-0006-0000-00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0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2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7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88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89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0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1" authorId="0" shapeId="0" xr:uid="{00000000-0006-0000-00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3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5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7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4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6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7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09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0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2" authorId="0" shapeId="0" xr:uid="{00000000-0006-0000-00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3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6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8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2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3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4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5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0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 conforme Convenção Coletiva da categoria</t>
        </r>
      </text>
    </comment>
    <comment ref="D131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 conforme Convenção Coletiva da categoria</t>
        </r>
      </text>
    </comment>
    <comment ref="D136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 conforme Convenção Coletiva da categoria</t>
        </r>
      </text>
    </comment>
    <comment ref="D137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 conforme Convenção Coletiva da categoria</t>
        </r>
      </text>
    </comment>
    <comment ref="C146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6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47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7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48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8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49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49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0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 shapeId="0" xr:uid="{77773F6F-0C4E-4949-9EE4-0D29E8B6038A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 shapeId="0" xr:uid="{F120ED71-C8B9-4F80-88AD-663A26E5DD82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6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6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57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63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4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5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6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7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8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9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81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2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3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4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6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87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88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89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2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198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4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5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
</t>
        </r>
      </text>
    </comment>
    <comment ref="B220" authorId="1" shapeId="0" xr:uid="{00000000-0006-0000-0000-000053000000}">
      <text>
        <r>
          <rPr>
            <b/>
            <sz val="9"/>
            <color indexed="81"/>
            <rFont val="Segoe UI"/>
            <charset val="1"/>
          </rPr>
          <t>Rubens Kern:</t>
        </r>
        <r>
          <rPr>
            <sz val="9"/>
            <color indexed="81"/>
            <rFont val="Segoe UI"/>
            <charset val="1"/>
          </rPr>
          <t xml:space="preserve">
Ver quadro ao lado
</t>
        </r>
      </text>
    </comment>
    <comment ref="C223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3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25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25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27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27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29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29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1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1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38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3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3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4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45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46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C256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6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57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7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58" authorId="0" shapeId="0" xr:uid="{00000000-0006-0000-0000-00006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8" authorId="0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59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9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0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0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65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9" authorId="0" shapeId="0" xr:uid="{00000000-0006-0000-0000-00006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</t>
        </r>
      </text>
    </comment>
    <comment ref="C270" authorId="0" shapeId="0" xr:uid="{8810EFAF-0061-49F1-B477-82346729EEED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271" authorId="0" shapeId="0" xr:uid="{EA71EE40-8E23-43E8-8201-EADF1AF81E44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272" authorId="0" shapeId="0" xr:uid="{D28A82B5-F5CB-44F3-B962-C5BE85ADE984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5" authorId="0" shapeId="0" xr:uid="{00000000-0006-0000-0000-000072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307" authorId="0" shapeId="0" xr:uid="{89E20E6B-1600-46D9-A2B3-F4D883E43BD8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308" authorId="0" shapeId="0" xr:uid="{7A6B3B2A-63C6-4627-B317-A88B1C528423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309" authorId="0" shapeId="0" xr:uid="{AEE83C7D-F6E7-4787-AB1E-619464DA9C22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2" authorId="0" shapeId="0" xr:uid="{58FD0010-1293-437D-A1F1-26C08F5839A4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313" authorId="0" shapeId="0" xr:uid="{E5186FA6-55C8-4ADF-A407-EED80A6CBA2D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314" authorId="0" shapeId="0" xr:uid="{5E489229-517B-4E42-A43E-8085456BE8BF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7" authorId="0" shapeId="0" xr:uid="{9483F31B-C867-492F-80E6-505CD277563D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318" authorId="0" shapeId="0" xr:uid="{73862CBA-F0AC-4237-9AE6-B49C7A586F61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319" authorId="0" shapeId="0" xr:uid="{A07596BC-F082-4DB8-BA2E-5783E01C96D8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2" authorId="0" shapeId="0" xr:uid="{94566FF8-DB3F-4A24-8C3E-EA9DAA4B5211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328" authorId="0" shapeId="0" xr:uid="{F0881E63-2F28-4AD2-A84A-6ECE18B586CD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9" authorId="0" shapeId="0" xr:uid="{00000000-0006-0000-0000-000073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350" authorId="0" shapeId="0" xr:uid="{00000000-0006-0000-0000-000074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
</t>
        </r>
      </text>
    </comment>
    <comment ref="B355" authorId="1" shapeId="0" xr:uid="{00000000-0006-0000-0000-000075000000}">
      <text>
        <r>
          <rPr>
            <b/>
            <sz val="9"/>
            <color indexed="81"/>
            <rFont val="Segoe UI"/>
            <family val="2"/>
          </rPr>
          <t>Rubens Kern:</t>
        </r>
        <r>
          <rPr>
            <sz val="9"/>
            <color indexed="81"/>
            <rFont val="Segoe UI"/>
            <family val="2"/>
          </rPr>
          <t xml:space="preserve">
6 km/h x 8 horas trabalho x 26 dias mes</t>
        </r>
      </text>
    </comment>
    <comment ref="C358" authorId="0" shapeId="0" xr:uid="{00000000-0006-0000-0000-000076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358" authorId="0" shapeId="0" xr:uid="{00000000-0006-0000-0000-000077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360" authorId="0" shapeId="0" xr:uid="{00000000-0006-0000-0000-000078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360" authorId="0" shapeId="0" xr:uid="{00000000-0006-0000-0000-000079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362" authorId="0" shapeId="0" xr:uid="{00000000-0006-0000-0000-00007A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362" authorId="0" shapeId="0" xr:uid="{00000000-0006-0000-0000-00007B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364" authorId="0" shapeId="0" xr:uid="{00000000-0006-0000-0000-00007C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364" authorId="0" shapeId="0" xr:uid="{00000000-0006-0000-0000-00007D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366" authorId="0" shapeId="0" xr:uid="{00000000-0006-0000-0000-00007E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366" authorId="0" shapeId="0" xr:uid="{00000000-0006-0000-0000-00007F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373" authorId="0" shapeId="0" xr:uid="{00000000-0006-0000-0000-000080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378" authorId="0" shapeId="0" xr:uid="{00000000-0006-0000-0000-000081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378" authorId="0" shapeId="0" xr:uid="{00000000-0006-0000-0000-000082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379" authorId="0" shapeId="0" xr:uid="{00000000-0006-0000-0000-000083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380" authorId="0" shapeId="0" xr:uid="{00000000-0006-0000-0000-000084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381" authorId="0" shapeId="0" xr:uid="{00000000-0006-0000-0000-000085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as recapagens, em km
</t>
        </r>
      </text>
    </comment>
    <comment ref="C392" authorId="0" shapeId="0" xr:uid="{00000000-0006-0000-0000-000086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400" authorId="0" shapeId="0" xr:uid="{00000000-0006-0000-0000-000087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7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1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9" authorId="0" shapeId="0" xr:uid="{00000000-0006-0000-04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0" authorId="1" shapeId="0" xr:uid="{00000000-0006-0000-04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1" authorId="2" shapeId="0" xr:uid="{00000000-0006-0000-04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3" authorId="0" shapeId="0" xr:uid="{00000000-0006-0000-0400-000004000000}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6" authorId="0" shapeId="0" xr:uid="{00000000-0006-0000-04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17" authorId="0" shapeId="0" xr:uid="{00000000-0006-0000-04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0" authorId="1" shapeId="0" xr:uid="{00000000-0006-0000-04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Jorge Mesquita</author>
  </authors>
  <commentList>
    <comment ref="G37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Jorge Mesquita:</t>
        </r>
        <r>
          <rPr>
            <sz val="9"/>
            <color indexed="81"/>
            <rFont val="Tahoma"/>
            <family val="2"/>
          </rPr>
          <t xml:space="preserve">
Criar um tipo de arredondamento.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0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4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4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<sst xmlns="http://schemas.openxmlformats.org/spreadsheetml/2006/main" count="860" uniqueCount="395">
  <si>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</si>
  <si>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</si>
  <si>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</si>
  <si>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</si>
  <si>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</si>
  <si>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</si>
  <si>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</si>
  <si>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</si>
  <si>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</si>
  <si>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</si>
  <si>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</si>
  <si>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</si>
  <si>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</si>
  <si>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</si>
  <si>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</si>
  <si>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</si>
  <si>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</si>
  <si>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</si>
  <si>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</si>
  <si>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</si>
  <si>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</si>
  <si>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</si>
  <si>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</si>
  <si>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</si>
  <si>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</si>
  <si>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</si>
  <si>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</si>
  <si>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</si>
  <si>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</si>
  <si>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</si>
  <si>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</si>
  <si>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</si>
  <si>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</si>
  <si>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</si>
  <si>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</si>
  <si>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</si>
  <si>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</si>
  <si>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</si>
  <si>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</si>
  <si>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</si>
  <si>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</si>
  <si>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</si>
  <si>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</si>
  <si>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</si>
  <si>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</si>
  <si>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</si>
  <si>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</si>
  <si>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</si>
  <si>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</si>
  <si>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</si>
  <si>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</si>
  <si>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</si>
  <si>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</si>
  <si>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</si>
  <si>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</si>
  <si>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</si>
  <si>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</si>
  <si>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</si>
  <si>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</si>
  <si>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</si>
  <si>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</si>
  <si>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</si>
  <si>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</si>
  <si>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</si>
  <si>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</si>
  <si>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</si>
  <si>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</si>
  <si>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</si>
  <si>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</si>
  <si>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</si>
  <si>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Recipiente térmico para água (5L)</t>
  </si>
  <si>
    <t>Total por Coletor</t>
  </si>
  <si>
    <t>Coletor</t>
  </si>
  <si>
    <t>4. Ferramentas e Materiais de Consumo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</si>
  <si>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</si>
  <si>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</si>
  <si>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</si>
  <si>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</si>
  <si>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</si>
  <si>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</si>
  <si>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</si>
  <si>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</si>
  <si>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</si>
  <si>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</si>
  <si>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</si>
  <si>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</si>
  <si>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</si>
  <si>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</si>
  <si>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</si>
  <si>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</si>
  <si>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</si>
  <si>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</si>
  <si>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</si>
  <si>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</si>
  <si>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Quantitativos</t>
  </si>
  <si>
    <t>horas trabalhadas</t>
  </si>
  <si>
    <t>Horas Extras Noturnas (100%)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</si>
  <si>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</si>
  <si>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</si>
  <si>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</si>
  <si>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</si>
  <si>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</si>
  <si>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</si>
  <si>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</si>
  <si>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</si>
  <si>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</si>
  <si>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</si>
  <si>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</si>
  <si>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</si>
  <si>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</si>
  <si>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</si>
  <si>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</si>
  <si>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</si>
  <si>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</si>
  <si>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</si>
  <si>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</si>
  <si>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</si>
  <si>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</si>
  <si>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</si>
  <si>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</si>
  <si>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</si>
  <si>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</si>
  <si>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</si>
  <si>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</si>
  <si>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</si>
  <si>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</si>
  <si>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</si>
  <si>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</si>
  <si>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</si>
  <si>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</si>
  <si>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</si>
  <si>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</si>
  <si>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</si>
  <si>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</si>
  <si>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Rotatividade</t>
  </si>
  <si>
    <t>Demitidos s/ Justa Causa em relação ao Estoque Médio</t>
  </si>
  <si>
    <t>Dias ano</t>
  </si>
  <si>
    <t>Estoque Médio</t>
  </si>
  <si>
    <t>Multa FGTS</t>
  </si>
  <si>
    <t>Fração de tempo para gozo férias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</si>
  <si>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</si>
  <si>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</si>
  <si>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</si>
  <si>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</si>
  <si>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</si>
  <si>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</si>
  <si>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</si>
  <si>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</si>
  <si>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</si>
  <si>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</si>
  <si>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</si>
  <si>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</si>
  <si>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</si>
  <si>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</si>
  <si>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</si>
  <si>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</si>
  <si>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</si>
  <si>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</si>
  <si>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</si>
  <si>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</si>
  <si>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</si>
  <si>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</si>
  <si>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</si>
  <si>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</si>
  <si>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</si>
  <si>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</si>
  <si>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</si>
  <si>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</si>
  <si>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</si>
  <si>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</si>
  <si>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</si>
  <si>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</si>
  <si>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</si>
  <si>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</si>
  <si>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</si>
  <si>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</si>
  <si>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</si>
  <si>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</si>
  <si>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</si>
  <si>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</si>
  <si>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</si>
  <si>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</si>
  <si>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</si>
  <si>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</si>
  <si>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</si>
  <si>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</si>
  <si>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</si>
  <si>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Grupo A sobre aviso prévio indenizado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</si>
  <si>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</si>
  <si>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</si>
  <si>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</si>
  <si>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</si>
  <si>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</si>
  <si>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</si>
  <si>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</si>
  <si>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</si>
  <si>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</si>
  <si>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</si>
  <si>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</si>
  <si>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</si>
  <si>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</si>
  <si>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</si>
  <si>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</si>
  <si>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Excluir esta linha caso a contratação seja por preço global mensal</t>
  </si>
  <si>
    <t>Rio Grande do Sul  - Coleta de Resíduos Não-Perigosos - CNAE 38114</t>
  </si>
  <si>
    <t xml:space="preserve">1. Acesse o Portal do CAGED no link http://bi.mte.gov.br/cagedestabelecimento/pages/consulta.xhtml </t>
  </si>
  <si>
    <t>3. Nível Geográfico: selecione "Unidade da Federação" e marque a opção "Rio Grande do Sul"</t>
  </si>
  <si>
    <t>4. Nível Setorial: selecione "Classe de atividade econômica segundo a classificação CNAE – versão 2.0 (669 categorias)" e marque a opção "38114 – Coleta de Resíduos Não-Perigosos"</t>
  </si>
  <si>
    <t>5. Clique em Gerar Relatório</t>
  </si>
  <si>
    <t>Para preencher esta planilha siga os passos 1 a 5: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</si>
  <si>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</si>
  <si>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</si>
  <si>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</si>
  <si>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</si>
  <si>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</si>
  <si>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</si>
  <si>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</si>
  <si>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Salário mínimo nacional</t>
  </si>
  <si>
    <t>Base de cálculo da Insalubridade</t>
  </si>
  <si>
    <t>Salário mínimo nacional (2)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</si>
  <si>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</si>
  <si>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</si>
  <si>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</si>
  <si>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</si>
  <si>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</si>
  <si>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1. Coleta de Resíduos Sólidos </t>
  </si>
  <si>
    <t xml:space="preserve">Quantidade média de resíduos coletados por mês: 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</si>
  <si>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</si>
  <si>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</si>
  <si>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</si>
  <si>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</si>
  <si>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</si>
  <si>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</si>
  <si>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</si>
  <si>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</si>
  <si>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</si>
  <si>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</si>
  <si>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</si>
  <si>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</si>
  <si>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</si>
  <si>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</si>
  <si>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</si>
  <si>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</si>
  <si>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</si>
  <si>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</si>
  <si>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</si>
  <si>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6. Preencha as células em amarelo</t>
  </si>
  <si>
    <t>1/3 de férias (dias)</t>
  </si>
  <si>
    <t>Férias (dias)</t>
  </si>
  <si>
    <t>13º Salário (dias)</t>
  </si>
  <si>
    <t>Referência estudo TCE</t>
  </si>
  <si>
    <t>Rotatividade temporal (meses)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</si>
  <si>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</si>
  <si>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</si>
  <si>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</si>
  <si>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</si>
  <si>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</si>
  <si>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</si>
  <si>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2. Na Especificação da Consulta, selecione "Demonstrativo por período" e informe as competências relativas ao período Inicial e Final (últimos 12 meses)</t>
  </si>
  <si>
    <t>Durabilidade (meses)</t>
  </si>
  <si>
    <t>Custo com consumos/km rodado</t>
  </si>
  <si>
    <t>Consumo</t>
  </si>
  <si>
    <t>Total por veículo</t>
  </si>
  <si>
    <t>Total da frota</t>
  </si>
  <si>
    <t>Estoque recuperado início do Período 01-09-2016</t>
  </si>
  <si>
    <t>Estoque recuperado final do Período 31-08-2017</t>
  </si>
  <si>
    <t>Variação Emprego Absoluta de 01-09-2016 a 31-08-2017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</si>
  <si>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</si>
  <si>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</si>
  <si>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</si>
  <si>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</si>
  <si>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</si>
  <si>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</si>
  <si>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</si>
  <si>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</si>
  <si>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</si>
  <si>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</si>
  <si>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</si>
  <si>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</si>
  <si>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</si>
  <si>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</si>
  <si>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</si>
  <si>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</si>
  <si>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</si>
  <si>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</si>
  <si>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</si>
  <si>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</si>
  <si>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</si>
  <si>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</si>
  <si>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</si>
  <si>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Depreciação Média</t>
  </si>
  <si>
    <t>ver este item. Quantas por dia?</t>
  </si>
  <si>
    <t>Custo do jogo de pneus 275/80 R 22,5</t>
  </si>
  <si>
    <r>
      <t xml:space="preserve">Custo jg. compl. + </t>
    </r>
    <r>
      <rPr>
        <sz val="10"/>
        <rFont val="Arial"/>
        <family val="2"/>
      </rPr>
      <t xml:space="preserve"> recap./ km rodado</t>
    </r>
  </si>
  <si>
    <t>PREFEITURA MUNICIPAL DE JAGUARÃO - RS</t>
  </si>
  <si>
    <t>Av. 27 de Janeiro, 422 - CEP 96300-00</t>
  </si>
  <si>
    <t>Fone: 53-3261-1999</t>
  </si>
  <si>
    <t>Engº André Timm</t>
  </si>
  <si>
    <t>Secretário de Planejamento e Urbanismo</t>
  </si>
  <si>
    <t>5. Contêineres</t>
  </si>
  <si>
    <t>CAMINHÃO RESERVA +10%</t>
  </si>
  <si>
    <t>SITE MERCADO LIVRE</t>
  </si>
  <si>
    <r>
      <t>Piso da categoria -</t>
    </r>
    <r>
      <rPr>
        <b/>
        <i/>
        <sz val="9"/>
        <rFont val="Arial"/>
        <family val="2"/>
      </rPr>
      <t xml:space="preserve"> Sindicato das empresas de Asseio e Conservação RS</t>
    </r>
  </si>
  <si>
    <r>
      <t xml:space="preserve">Piso da categoria (1) - </t>
    </r>
    <r>
      <rPr>
        <b/>
        <i/>
        <sz val="10"/>
        <rFont val="Arial"/>
        <family val="2"/>
      </rPr>
      <t>Sindicato Empresas Transporte e Logistica RS</t>
    </r>
  </si>
  <si>
    <t>André de Oliveira Timm</t>
  </si>
  <si>
    <t>Engenheiro Civil - CREA-RS 107270</t>
  </si>
  <si>
    <t>FORD CARGO 1723 E 6X4 TURBO 2P - DIESEL ANO 2015 - TABELA FIPE JUNHO 24= 211.973,00 + 10% margem segurança</t>
  </si>
  <si>
    <t>1.7. Plano de Beneficio Social Familiar</t>
  </si>
  <si>
    <r>
      <t xml:space="preserve">Custo de óleo diesel / km rodado </t>
    </r>
    <r>
      <rPr>
        <b/>
        <u/>
        <sz val="10"/>
        <rFont val="Arial"/>
        <family val="2"/>
      </rPr>
      <t>COM ARLA</t>
    </r>
  </si>
  <si>
    <t>Custo Mensal com Monitoramento da Frota (R$/mês)</t>
  </si>
  <si>
    <t>6. Monitoramento da Frota</t>
  </si>
  <si>
    <t>Implantação dos equipamentos de monitoramento</t>
  </si>
  <si>
    <t>Custo mensal com implantação</t>
  </si>
  <si>
    <t>Manutenção dos equipamentos de monitoramento</t>
  </si>
  <si>
    <t>Custo mensal com manutenção</t>
  </si>
  <si>
    <t>BAIRROS</t>
  </si>
  <si>
    <t>KM/DIA</t>
  </si>
  <si>
    <t>QT DIAS</t>
  </si>
  <si>
    <t>TOTAL KM/MÊS</t>
  </si>
  <si>
    <t>CENTRO</t>
  </si>
  <si>
    <t>OESTE/NOROESTE</t>
  </si>
  <si>
    <t>LESTE</t>
  </si>
  <si>
    <t>TOTAL</t>
  </si>
  <si>
    <t>TRANSBORDO</t>
  </si>
  <si>
    <t>1.1. Coletor Turno Dia e Gari para Limpeza Conteiner</t>
  </si>
  <si>
    <t>1.3. Motorista Turno do Dia - Caminhão Coletor e Caminhão Toco</t>
  </si>
  <si>
    <t>Taxa de juros anual nominal - SELIC</t>
  </si>
  <si>
    <t>Custo aquisição/aluguel dos Contêineres</t>
  </si>
  <si>
    <t>Custo de aquisição do chassi</t>
  </si>
  <si>
    <t>Custo aquisição carroceria madeira</t>
  </si>
  <si>
    <t>Custo aquisição braço hidraulico (comprimento minimo 6 m)</t>
  </si>
  <si>
    <t>Custo de óleo diesel / km rodado</t>
  </si>
  <si>
    <t>Custo Mensal com Veículos de Apoio (R$/mês)</t>
  </si>
  <si>
    <t>7.1. Depreciação</t>
  </si>
  <si>
    <t>7.3. Impostos e Seguros</t>
  </si>
  <si>
    <t>7.4. Consumos</t>
  </si>
  <si>
    <t>7.5. Manutenção</t>
  </si>
  <si>
    <t>7.6. Pneus</t>
  </si>
  <si>
    <t>8. Benefícios e Despesas Indiretas - BDI</t>
  </si>
  <si>
    <t>7. Veículo de Apoio</t>
  </si>
  <si>
    <t>Jaguarão, março de 2025</t>
  </si>
  <si>
    <t>Luiz Carlos Barreto</t>
  </si>
  <si>
    <t>CREA 107270</t>
  </si>
  <si>
    <t>Óculos de proteção contra radiação solar</t>
  </si>
  <si>
    <t>2.1. Uniformes e EPIs para Coletor e Gari para Limpeza Conteiner</t>
  </si>
  <si>
    <t>Boné ou chapéu tipo legionário</t>
  </si>
  <si>
    <r>
      <t>Custo de aquisição do chassis -</t>
    </r>
    <r>
      <rPr>
        <b/>
        <i/>
        <sz val="8"/>
        <rFont val="Arial"/>
        <family val="2"/>
      </rPr>
      <t xml:space="preserve"> Base: FORD CARGO 1723 E 6X4 TURBO 2025</t>
    </r>
  </si>
  <si>
    <r>
      <t xml:space="preserve">Custo de aquisição do compactador - </t>
    </r>
    <r>
      <rPr>
        <b/>
        <i/>
        <sz val="9"/>
        <rFont val="Arial"/>
        <family val="2"/>
      </rPr>
      <t>BASE: DAMAEQ Mod. WORK 2025</t>
    </r>
  </si>
  <si>
    <t>Custo higienização conteiner (lavadora de alta pressão a gasolina + insumos)</t>
  </si>
  <si>
    <t>Jaguarão, 19 de maio de 2025</t>
  </si>
  <si>
    <t>Cidade</t>
  </si>
  <si>
    <t>3.198Km</t>
  </si>
  <si>
    <t>374,4Km</t>
  </si>
  <si>
    <t>Est. Transbordo</t>
  </si>
  <si>
    <t>Calça ou bermuda</t>
  </si>
  <si>
    <r>
      <t>3.1. Veículos Truck Coletor Compactador mínimo</t>
    </r>
    <r>
      <rPr>
        <sz val="10"/>
        <color indexed="10"/>
        <rFont val="Arial"/>
        <family val="2"/>
      </rPr>
      <t xml:space="preserve"> </t>
    </r>
    <r>
      <rPr>
        <sz val="10"/>
        <rFont val="Arial"/>
        <family val="2"/>
      </rPr>
      <t>15 m³</t>
    </r>
  </si>
  <si>
    <t>3.2. Veículo Toco de Apoio 6m³</t>
  </si>
  <si>
    <t>7.Veículo Toco PBT 9.000 Kg com carroceria de madeira de 5 metros lineares e guindaste hidráulico</t>
  </si>
  <si>
    <t>Depreciação mensal chassi</t>
  </si>
  <si>
    <t>Depreciação mensal carroceria</t>
  </si>
  <si>
    <t>Depreciação mensal braço hidráulico</t>
  </si>
  <si>
    <t>7.2. Remuneração Capital Investido</t>
  </si>
  <si>
    <t>Custo da carroceria madeira</t>
  </si>
  <si>
    <t>Vida útil carroceria</t>
  </si>
  <si>
    <t>Idade da carroceria</t>
  </si>
  <si>
    <t>Depreciação da carroceria</t>
  </si>
  <si>
    <t>Vida útil do braço hidráulico</t>
  </si>
  <si>
    <t>Idade do braço hidráulico</t>
  </si>
  <si>
    <t>Depreciação do braço hidráulico</t>
  </si>
  <si>
    <t>Valor da carroceria proposta (V0)</t>
  </si>
  <si>
    <t>Investimento médio total da carroceria</t>
  </si>
  <si>
    <t>Remuneração mensal de capital da carroceria</t>
  </si>
  <si>
    <t>Custo do braço hidráulico</t>
  </si>
  <si>
    <t>Valor do braço hidráulico proposto (V0)</t>
  </si>
  <si>
    <t>Investimento médio total do braço hidráulico</t>
  </si>
  <si>
    <t>Remuneração mensal de capital do braço hidráulico</t>
  </si>
  <si>
    <t>5.2. Remuneração Capital Investido</t>
  </si>
  <si>
    <t>Vida útil do conteiner</t>
  </si>
  <si>
    <t>Idade do conteiner</t>
  </si>
  <si>
    <t>Depreciação do conteiner</t>
  </si>
  <si>
    <t>Depreciação mensal conteiner</t>
  </si>
  <si>
    <t>Total por conteiner</t>
  </si>
  <si>
    <t>Total dos conteineres</t>
  </si>
  <si>
    <t>Taxa de juros anual nominal (SELIC)</t>
  </si>
  <si>
    <t>Valor do conteiner proposto (V0)</t>
  </si>
  <si>
    <t>Investimento médio total do conteiner</t>
  </si>
  <si>
    <t>Remuneração mensal de capital do conteiner</t>
  </si>
  <si>
    <t xml:space="preserve">Total dos conteineres </t>
  </si>
  <si>
    <t>Custo Mensal com Conteineres (R$/mês)</t>
  </si>
  <si>
    <t>5.1. Contêiner em plástico injetado de polietileno de alta densidade (PEAD) com rodas capacidade 1.000 L NBR 15911</t>
  </si>
  <si>
    <t>Denis William Neves</t>
  </si>
  <si>
    <t>Secretário de Gestão e Inovação Tecnológica</t>
  </si>
  <si>
    <t>Jaguarão, 08 de abril de 2026</t>
  </si>
  <si>
    <t>3.1.3. Impostos e Seguros (2 veículos + 1 veículo reserva dedicação exclusiva)</t>
  </si>
  <si>
    <t>6. Monitoramento da Frota (2 veículos + 1 veículo reserva dedicação exclusiva)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</si>
</sst>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0_-;\-* #,##0.000_-;_-* &quot;-&quot;??_-;_-@_-"/>
    <numFmt numFmtId="171" formatCode="_-* #,##0.00_-;\-* #,##0.00_-;_-* &quot;-&quot;?_-;_-@_-"/>
  </numFmts>
  <fonts count="4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b/>
      <sz val="10"/>
      <color rgb="FFFF0000"/>
      <name val="Arial"/>
      <family val="2"/>
    </font>
    <font>
      <b/>
      <sz val="16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b/>
      <sz val="8"/>
      <name val="Arial"/>
      <family val="2"/>
    </font>
    <font>
      <b/>
      <i/>
      <sz val="10"/>
      <name val="Arial"/>
      <family val="2"/>
    </font>
    <font>
      <b/>
      <i/>
      <sz val="8"/>
      <name val="Arial"/>
      <family val="2"/>
    </font>
    <font>
      <b/>
      <i/>
      <sz val="9"/>
      <name val="Arial"/>
      <family val="2"/>
    </font>
    <font>
      <b/>
      <u/>
      <sz val="10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99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165" fontId="12" fillId="2" borderId="17" xfId="3" applyFont="1" applyFill="1" applyBorder="1" applyAlignment="1">
      <alignment horizontal="center" vertical="center"/>
    </xf>
    <xf numFmtId="165" fontId="12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2" fillId="2" borderId="3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165" fontId="12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0" fontId="17" fillId="0" borderId="14" xfId="0" applyFont="1" applyBorder="1"/>
    <xf numFmtId="0" fontId="17" fillId="0" borderId="47" xfId="0" applyFont="1" applyBorder="1"/>
    <xf numFmtId="0" fontId="17" fillId="3" borderId="20" xfId="0" applyFont="1" applyFill="1" applyBorder="1"/>
    <xf numFmtId="0" fontId="17" fillId="0" borderId="23" xfId="0" applyFont="1" applyBorder="1"/>
    <xf numFmtId="0" fontId="17" fillId="0" borderId="51" xfId="0" applyFont="1" applyBorder="1"/>
    <xf numFmtId="0" fontId="17" fillId="0" borderId="48" xfId="0" applyFont="1" applyBorder="1"/>
    <xf numFmtId="0" fontId="17" fillId="0" borderId="52" xfId="0" applyFont="1" applyBorder="1"/>
    <xf numFmtId="0" fontId="17" fillId="0" borderId="20" xfId="0" applyFont="1" applyBorder="1"/>
    <xf numFmtId="0" fontId="17" fillId="0" borderId="28" xfId="0" applyFont="1" applyBorder="1"/>
    <xf numFmtId="2" fontId="18" fillId="7" borderId="1" xfId="0" applyNumberFormat="1" applyFont="1" applyFill="1" applyBorder="1" applyAlignment="1">
      <alignment horizontal="right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2" fontId="18" fillId="7" borderId="36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22" fillId="5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10" fontId="6" fillId="0" borderId="0" xfId="0" applyNumberFormat="1" applyFont="1"/>
    <xf numFmtId="9" fontId="18" fillId="0" borderId="0" xfId="2" applyFont="1" applyBorder="1" applyAlignment="1">
      <alignment horizontal="right" vertical="center"/>
    </xf>
    <xf numFmtId="0" fontId="18" fillId="0" borderId="1" xfId="0" applyFont="1" applyBorder="1" applyAlignment="1">
      <alignment horizontal="left" vertical="center" wrapText="1"/>
    </xf>
    <xf numFmtId="0" fontId="18" fillId="9" borderId="24" xfId="0" applyFont="1" applyFill="1" applyBorder="1" applyAlignment="1">
      <alignment horizontal="left" vertical="center"/>
    </xf>
    <xf numFmtId="0" fontId="22" fillId="9" borderId="36" xfId="0" applyFont="1" applyFill="1" applyBorder="1" applyAlignment="1">
      <alignment horizontal="left" vertical="center"/>
    </xf>
    <xf numFmtId="10" fontId="22" fillId="0" borderId="0" xfId="0" applyNumberFormat="1" applyFont="1" applyAlignment="1">
      <alignment horizontal="right" vertical="center"/>
    </xf>
    <xf numFmtId="0" fontId="24" fillId="4" borderId="0" xfId="0" applyFont="1" applyFill="1" applyAlignment="1">
      <alignment horizontal="left" vertical="center"/>
    </xf>
    <xf numFmtId="10" fontId="18" fillId="0" borderId="0" xfId="0" applyNumberFormat="1" applyFont="1" applyAlignment="1">
      <alignment horizontal="right" vertical="center"/>
    </xf>
    <xf numFmtId="0" fontId="18" fillId="4" borderId="0" xfId="0" applyFont="1" applyFill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5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6" fillId="0" borderId="0" xfId="0" applyFont="1"/>
    <xf numFmtId="0" fontId="18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9" fontId="7" fillId="0" borderId="48" xfId="0" applyNumberFormat="1" applyFont="1" applyBorder="1"/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4" xfId="0" applyFont="1" applyBorder="1"/>
    <xf numFmtId="0" fontId="19" fillId="0" borderId="54" xfId="0" applyFont="1" applyBorder="1" applyAlignment="1">
      <alignment horizontal="justify"/>
    </xf>
    <xf numFmtId="0" fontId="19" fillId="0" borderId="55" xfId="0" applyFont="1" applyBorder="1" applyAlignment="1">
      <alignment horizontal="justify"/>
    </xf>
    <xf numFmtId="0" fontId="16" fillId="10" borderId="53" xfId="0" applyFont="1" applyFill="1" applyBorder="1" applyAlignment="1">
      <alignment horizont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65" fontId="6" fillId="3" borderId="9" xfId="3" applyFont="1" applyFill="1" applyBorder="1" applyAlignment="1">
      <alignment vertical="center"/>
    </xf>
    <xf numFmtId="165" fontId="6" fillId="0" borderId="10" xfId="3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169" fontId="17" fillId="0" borderId="48" xfId="0" applyNumberFormat="1" applyFont="1" applyBorder="1"/>
    <xf numFmtId="169" fontId="7" fillId="0" borderId="48" xfId="0" applyNumberFormat="1" applyFont="1" applyBorder="1"/>
    <xf numFmtId="169" fontId="7" fillId="0" borderId="31" xfId="0" applyNumberFormat="1" applyFont="1" applyBorder="1"/>
    <xf numFmtId="0" fontId="3" fillId="0" borderId="56" xfId="0" applyFont="1" applyBorder="1" applyAlignment="1">
      <alignment vertical="center"/>
    </xf>
    <xf numFmtId="0" fontId="3" fillId="0" borderId="56" xfId="0" applyFont="1" applyBorder="1" applyAlignment="1">
      <alignment horizontal="center" vertical="center"/>
    </xf>
    <xf numFmtId="165" fontId="3" fillId="0" borderId="56" xfId="3" applyFont="1" applyBorder="1" applyAlignment="1">
      <alignment horizontal="center" vertical="center"/>
    </xf>
    <xf numFmtId="165" fontId="3" fillId="0" borderId="56" xfId="3" applyFont="1" applyFill="1" applyBorder="1" applyAlignment="1">
      <alignment horizontal="center"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70" fontId="23" fillId="0" borderId="20" xfId="3" applyNumberFormat="1" applyFont="1" applyBorder="1" applyAlignment="1">
      <alignment horizontal="center" vertical="center" wrapText="1"/>
    </xf>
    <xf numFmtId="171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1" fontId="5" fillId="3" borderId="20" xfId="0" applyNumberFormat="1" applyFont="1" applyFill="1" applyBorder="1"/>
    <xf numFmtId="171" fontId="5" fillId="0" borderId="37" xfId="0" applyNumberFormat="1" applyFont="1" applyBorder="1"/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16" fillId="0" borderId="20" xfId="0" applyFont="1" applyBorder="1" applyAlignment="1">
      <alignment horizontal="center"/>
    </xf>
    <xf numFmtId="0" fontId="5" fillId="0" borderId="23" xfId="0" applyFont="1" applyBorder="1" applyAlignment="1">
      <alignment horizontal="right"/>
    </xf>
    <xf numFmtId="0" fontId="30" fillId="0" borderId="0" xfId="0" applyFont="1"/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165" fontId="6" fillId="4" borderId="0" xfId="3" applyFont="1" applyFill="1" applyAlignment="1">
      <alignment vertical="center"/>
    </xf>
    <xf numFmtId="4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vertical="center"/>
    </xf>
    <xf numFmtId="0" fontId="0" fillId="4" borderId="0" xfId="0" applyFill="1" applyAlignment="1">
      <alignment vertical="center"/>
    </xf>
    <xf numFmtId="4" fontId="0" fillId="4" borderId="0" xfId="0" applyNumberFormat="1" applyFill="1" applyAlignment="1">
      <alignment vertical="center"/>
    </xf>
    <xf numFmtId="165" fontId="0" fillId="4" borderId="0" xfId="3" applyFont="1" applyFill="1" applyAlignment="1">
      <alignment vertical="center"/>
    </xf>
    <xf numFmtId="165" fontId="4" fillId="0" borderId="0" xfId="3" applyFont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/>
    <xf numFmtId="0" fontId="5" fillId="4" borderId="0" xfId="0" applyFont="1" applyFill="1" applyAlignment="1">
      <alignment horizontal="center"/>
    </xf>
    <xf numFmtId="4" fontId="6" fillId="4" borderId="0" xfId="0" applyNumberFormat="1" applyFont="1" applyFill="1" applyAlignment="1">
      <alignment vertical="center"/>
    </xf>
    <xf numFmtId="10" fontId="31" fillId="5" borderId="7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0" fillId="4" borderId="0" xfId="0" applyFill="1"/>
    <xf numFmtId="0" fontId="6" fillId="4" borderId="0" xfId="0" applyFont="1" applyFill="1"/>
    <xf numFmtId="0" fontId="18" fillId="5" borderId="23" xfId="0" applyFont="1" applyFill="1" applyBorder="1" applyAlignment="1">
      <alignment horizontal="center" vertical="center"/>
    </xf>
    <xf numFmtId="10" fontId="18" fillId="0" borderId="20" xfId="0" applyNumberFormat="1" applyFont="1" applyBorder="1" applyAlignment="1">
      <alignment horizontal="center" vertical="center"/>
    </xf>
    <xf numFmtId="10" fontId="22" fillId="0" borderId="20" xfId="0" applyNumberFormat="1" applyFont="1" applyBorder="1" applyAlignment="1">
      <alignment horizontal="center" vertical="center"/>
    </xf>
    <xf numFmtId="10" fontId="22" fillId="5" borderId="20" xfId="0" applyNumberFormat="1" applyFont="1" applyFill="1" applyBorder="1" applyAlignment="1">
      <alignment horizontal="center" vertical="center"/>
    </xf>
    <xf numFmtId="10" fontId="22" fillId="9" borderId="37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165" fontId="7" fillId="0" borderId="0" xfId="3" applyFont="1" applyAlignment="1">
      <alignment horizontal="center" vertical="center"/>
    </xf>
    <xf numFmtId="0" fontId="6" fillId="0" borderId="42" xfId="0" applyFont="1" applyBorder="1"/>
    <xf numFmtId="0" fontId="18" fillId="0" borderId="42" xfId="0" applyFont="1" applyBorder="1" applyAlignment="1">
      <alignment horizontal="left" vertical="center"/>
    </xf>
    <xf numFmtId="0" fontId="1" fillId="4" borderId="0" xfId="0" applyFont="1" applyFill="1"/>
    <xf numFmtId="0" fontId="1" fillId="0" borderId="1" xfId="0" applyFont="1" applyBorder="1" applyAlignment="1">
      <alignment horizontal="center" vertical="center"/>
    </xf>
    <xf numFmtId="168" fontId="3" fillId="0" borderId="3" xfId="0" applyNumberFormat="1" applyFont="1" applyBorder="1" applyAlignment="1">
      <alignment vertical="center"/>
    </xf>
    <xf numFmtId="165" fontId="3" fillId="8" borderId="4" xfId="3" applyFont="1" applyFill="1" applyBorder="1" applyAlignment="1">
      <alignment horizontal="center" vertical="center"/>
    </xf>
    <xf numFmtId="1" fontId="3" fillId="0" borderId="37" xfId="3" applyNumberFormat="1" applyFont="1" applyBorder="1" applyAlignment="1">
      <alignment horizontal="center" vertical="center"/>
    </xf>
    <xf numFmtId="165" fontId="1" fillId="0" borderId="40" xfId="3" applyFont="1" applyBorder="1" applyAlignment="1">
      <alignment vertical="center"/>
    </xf>
    <xf numFmtId="0" fontId="34" fillId="0" borderId="0" xfId="0" applyFont="1" applyAlignment="1">
      <alignment horizontal="left" vertical="center" wrapText="1"/>
    </xf>
    <xf numFmtId="165" fontId="3" fillId="0" borderId="0" xfId="3" applyFont="1" applyAlignment="1">
      <alignment horizontal="right" vertical="center"/>
    </xf>
    <xf numFmtId="165" fontId="3" fillId="0" borderId="1" xfId="3" applyFont="1" applyBorder="1" applyAlignment="1">
      <alignment vertical="center"/>
    </xf>
    <xf numFmtId="2" fontId="5" fillId="3" borderId="20" xfId="0" applyNumberFormat="1" applyFont="1" applyFill="1" applyBorder="1"/>
    <xf numFmtId="1" fontId="1" fillId="0" borderId="1" xfId="0" applyNumberFormat="1" applyFont="1" applyBorder="1" applyAlignment="1">
      <alignment horizontal="center" vertical="center"/>
    </xf>
    <xf numFmtId="165" fontId="1" fillId="0" borderId="0" xfId="3" applyFont="1" applyAlignment="1">
      <alignment horizontal="right" vertical="center"/>
    </xf>
    <xf numFmtId="165" fontId="1" fillId="0" borderId="1" xfId="3" applyFont="1" applyBorder="1" applyAlignment="1">
      <alignment vertical="center"/>
    </xf>
    <xf numFmtId="165" fontId="1" fillId="0" borderId="0" xfId="3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165" fontId="1" fillId="0" borderId="0" xfId="3" applyFont="1" applyFill="1" applyAlignment="1">
      <alignment vertical="center"/>
    </xf>
    <xf numFmtId="43" fontId="1" fillId="0" borderId="0" xfId="0" applyNumberFormat="1" applyFont="1" applyAlignment="1">
      <alignment vertical="center"/>
    </xf>
    <xf numFmtId="165" fontId="1" fillId="0" borderId="42" xfId="3" applyFont="1" applyFill="1" applyBorder="1" applyAlignment="1">
      <alignment vertical="center"/>
    </xf>
    <xf numFmtId="0" fontId="1" fillId="0" borderId="42" xfId="0" applyFont="1" applyBorder="1" applyAlignment="1">
      <alignment vertical="center"/>
    </xf>
    <xf numFmtId="43" fontId="1" fillId="0" borderId="42" xfId="0" applyNumberFormat="1" applyFont="1" applyBorder="1" applyAlignment="1">
      <alignment vertical="center"/>
    </xf>
    <xf numFmtId="165" fontId="3" fillId="0" borderId="57" xfId="3" applyFont="1" applyFill="1" applyBorder="1" applyAlignment="1">
      <alignment horizontal="center" vertical="center"/>
    </xf>
    <xf numFmtId="0" fontId="1" fillId="0" borderId="57" xfId="0" applyFont="1" applyBorder="1" applyAlignment="1">
      <alignment vertical="center"/>
    </xf>
    <xf numFmtId="43" fontId="1" fillId="0" borderId="57" xfId="0" applyNumberFormat="1" applyFont="1" applyBorder="1" applyAlignment="1">
      <alignment vertical="center"/>
    </xf>
    <xf numFmtId="43" fontId="3" fillId="0" borderId="57" xfId="0" applyNumberFormat="1" applyFont="1" applyBorder="1" applyAlignment="1">
      <alignment vertical="center"/>
    </xf>
    <xf numFmtId="165" fontId="1" fillId="0" borderId="57" xfId="3" applyFont="1" applyFill="1" applyBorder="1" applyAlignment="1">
      <alignment horizontal="left" vertical="center"/>
    </xf>
    <xf numFmtId="2" fontId="6" fillId="3" borderId="1" xfId="0" applyNumberFormat="1" applyFont="1" applyFill="1" applyBorder="1" applyAlignment="1">
      <alignment vertical="center"/>
    </xf>
    <xf numFmtId="165" fontId="1" fillId="0" borderId="0" xfId="3" applyFont="1" applyAlignment="1">
      <alignment vertical="center"/>
    </xf>
    <xf numFmtId="165" fontId="1" fillId="0" borderId="0" xfId="3" applyFont="1" applyFill="1" applyBorder="1" applyAlignment="1">
      <alignment horizontal="center" vertical="center"/>
    </xf>
    <xf numFmtId="165" fontId="1" fillId="0" borderId="2" xfId="3" applyFont="1" applyBorder="1" applyAlignment="1">
      <alignment vertical="center"/>
    </xf>
    <xf numFmtId="165" fontId="1" fillId="0" borderId="0" xfId="3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65" fontId="1" fillId="0" borderId="2" xfId="3" applyFont="1" applyBorder="1" applyAlignment="1">
      <alignment horizontal="center" vertical="center"/>
    </xf>
    <xf numFmtId="165" fontId="1" fillId="3" borderId="1" xfId="3" applyFont="1" applyFill="1" applyBorder="1" applyAlignment="1">
      <alignment horizontal="center" vertical="center"/>
    </xf>
    <xf numFmtId="165" fontId="1" fillId="0" borderId="1" xfId="3" applyFont="1" applyBorder="1" applyAlignment="1">
      <alignment horizontal="center" vertical="center"/>
    </xf>
    <xf numFmtId="3" fontId="1" fillId="0" borderId="0" xfId="0" applyNumberFormat="1" applyFont="1" applyAlignment="1">
      <alignment vertical="center"/>
    </xf>
    <xf numFmtId="3" fontId="1" fillId="3" borderId="1" xfId="0" applyNumberFormat="1" applyFont="1" applyFill="1" applyBorder="1" applyAlignment="1">
      <alignment vertical="center"/>
    </xf>
    <xf numFmtId="4" fontId="1" fillId="3" borderId="2" xfId="0" applyNumberFormat="1" applyFont="1" applyFill="1" applyBorder="1" applyAlignment="1">
      <alignment horizontal="center" vertical="center"/>
    </xf>
    <xf numFmtId="167" fontId="1" fillId="3" borderId="2" xfId="3" applyNumberFormat="1" applyFont="1" applyFill="1" applyBorder="1" applyAlignment="1">
      <alignment horizontal="center" vertical="center"/>
    </xf>
    <xf numFmtId="166" fontId="1" fillId="0" borderId="1" xfId="3" applyNumberFormat="1" applyFont="1" applyBorder="1" applyAlignment="1">
      <alignment horizontal="center" vertical="center"/>
    </xf>
    <xf numFmtId="167" fontId="1" fillId="0" borderId="2" xfId="3" applyNumberFormat="1" applyFont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/>
    </xf>
    <xf numFmtId="167" fontId="1" fillId="0" borderId="1" xfId="3" applyNumberFormat="1" applyFont="1" applyBorder="1" applyAlignment="1">
      <alignment horizontal="center" vertical="center"/>
    </xf>
    <xf numFmtId="165" fontId="1" fillId="3" borderId="2" xfId="3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5" fontId="1" fillId="0" borderId="2" xfId="3" applyFont="1" applyFill="1" applyBorder="1" applyAlignment="1">
      <alignment horizontal="center" vertical="center"/>
    </xf>
    <xf numFmtId="3" fontId="1" fillId="3" borderId="1" xfId="0" applyNumberFormat="1" applyFont="1" applyFill="1" applyBorder="1" applyAlignment="1">
      <alignment horizontal="center" vertical="center"/>
    </xf>
    <xf numFmtId="165" fontId="6" fillId="4" borderId="2" xfId="3" applyFont="1" applyFill="1" applyBorder="1" applyAlignment="1">
      <alignment horizontal="center" vertical="center"/>
    </xf>
    <xf numFmtId="165" fontId="6" fillId="4" borderId="1" xfId="3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34" fillId="0" borderId="1" xfId="0" applyFont="1" applyBorder="1" applyAlignment="1">
      <alignment vertical="center"/>
    </xf>
    <xf numFmtId="0" fontId="1" fillId="0" borderId="8" xfId="0" applyFont="1" applyBorder="1" applyAlignment="1">
      <alignment horizontal="right" vertical="center"/>
    </xf>
    <xf numFmtId="165" fontId="1" fillId="0" borderId="10" xfId="3" applyFont="1" applyBorder="1" applyAlignment="1">
      <alignment vertical="center"/>
    </xf>
    <xf numFmtId="165" fontId="1" fillId="0" borderId="8" xfId="3" applyFont="1" applyBorder="1" applyAlignment="1">
      <alignment horizontal="right" vertical="center"/>
    </xf>
    <xf numFmtId="165" fontId="3" fillId="2" borderId="0" xfId="3" applyFont="1" applyFill="1" applyBorder="1" applyAlignment="1">
      <alignment horizontal="center" vertical="center"/>
    </xf>
    <xf numFmtId="1" fontId="26" fillId="4" borderId="1" xfId="0" applyNumberFormat="1" applyFont="1" applyFill="1" applyBorder="1" applyAlignment="1">
      <alignment horizontal="center" vertical="center"/>
    </xf>
    <xf numFmtId="165" fontId="7" fillId="0" borderId="0" xfId="3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6" fillId="8" borderId="25" xfId="0" applyFont="1" applyFill="1" applyBorder="1" applyAlignment="1">
      <alignment horizontal="center" vertical="center"/>
    </xf>
    <xf numFmtId="0" fontId="16" fillId="8" borderId="26" xfId="0" applyFont="1" applyFill="1" applyBorder="1" applyAlignment="1">
      <alignment horizontal="center" vertical="center"/>
    </xf>
    <xf numFmtId="0" fontId="16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6" fillId="8" borderId="21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9" fontId="7" fillId="0" borderId="49" xfId="2" applyFont="1" applyBorder="1" applyAlignment="1">
      <alignment horizontal="center"/>
    </xf>
    <xf numFmtId="9" fontId="7" fillId="0" borderId="2" xfId="2" applyFont="1" applyBorder="1" applyAlignment="1">
      <alignment horizontal="center"/>
    </xf>
    <xf numFmtId="9" fontId="7" fillId="0" borderId="50" xfId="2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6" fillId="10" borderId="21" xfId="0" applyFont="1" applyFill="1" applyBorder="1" applyAlignment="1">
      <alignment horizontal="center"/>
    </xf>
    <xf numFmtId="0" fontId="16" fillId="10" borderId="22" xfId="0" applyFont="1" applyFill="1" applyBorder="1" applyAlignment="1">
      <alignment horizontal="center"/>
    </xf>
    <xf numFmtId="0" fontId="16" fillId="10" borderId="12" xfId="0" applyFont="1" applyFill="1" applyBorder="1" applyAlignment="1">
      <alignment horizontal="center"/>
    </xf>
    <xf numFmtId="0" fontId="16" fillId="10" borderId="19" xfId="0" applyFont="1" applyFill="1" applyBorder="1" applyAlignment="1">
      <alignment horizontal="center"/>
    </xf>
    <xf numFmtId="0" fontId="16" fillId="10" borderId="46" xfId="0" applyFont="1" applyFill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</cellXfs>
  <cellStyles count="4">
    <cellStyle name="Hiperlink" xfId="1" builtinId="8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1571625</xdr:colOff>
          <xdr:row>1</xdr:row>
          <xdr:rowOff>123825</xdr:rowOff>
        </xdr:from>
        <xdr:to>
          <xdr:col>0</xdr:col>
          <xdr:colOff>2276475</xdr:colOff>
          <xdr:row>6</xdr:row>
          <xdr:rowOff>38100</xdr:rowOff>
        </xdr:to>
        <xdr:sp macro="" textlink="">
          <xdr:nvSpPr>
            <xdr:cNvPr id="1259" name="Object 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1571625</xdr:colOff>
          <xdr:row>0</xdr:row>
          <xdr:rowOff>28575</xdr:rowOff>
        </xdr:from>
        <xdr:to>
          <xdr:col>1</xdr:col>
          <xdr:colOff>2514600</xdr:colOff>
          <xdr:row>2</xdr:row>
          <xdr:rowOff>676275</xdr:rowOff>
        </xdr:to>
        <xdr:sp macro="" textlink="">
          <xdr:nvSpPr>
            <xdr:cNvPr id="8193" name="Object 5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2571750</xdr:colOff>
          <xdr:row>0</xdr:row>
          <xdr:rowOff>0</xdr:rowOff>
        </xdr:from>
        <xdr:to>
          <xdr:col>2</xdr:col>
          <xdr:colOff>161925</xdr:colOff>
          <xdr:row>3</xdr:row>
          <xdr:rowOff>561975</xdr:rowOff>
        </xdr:to>
        <xdr:sp macro="" textlink="">
          <xdr:nvSpPr>
            <xdr:cNvPr id="10248" name="Object 5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2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2019300</xdr:colOff>
          <xdr:row>0</xdr:row>
          <xdr:rowOff>19050</xdr:rowOff>
        </xdr:from>
        <xdr:to>
          <xdr:col>0</xdr:col>
          <xdr:colOff>2828925</xdr:colOff>
          <xdr:row>4</xdr:row>
          <xdr:rowOff>104775</xdr:rowOff>
        </xdr:to>
        <xdr:sp macro="" textlink="">
          <xdr:nvSpPr>
            <xdr:cNvPr id="7178" name="Object 5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4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2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41"/>
  <sheetViews>
    <sheetView tabSelected="1" view="pageBreakPreview" topLeftCell="A383" zoomScale="154" zoomScaleNormal="100" zoomScaleSheetLayoutView="154" workbookViewId="0">
      <selection activeCell="B298" sqref="B298"/>
    </sheetView>
  </sheetViews>
  <sheetFormatPr defaultRowHeight="12.75" x14ac:dyDescent="0.2"/>
  <cols>
    <col min="1" max="1" width="61.7109375" style="8" customWidth="1"/>
    <col min="2" max="2" width="16" style="8" bestFit="1" customWidth="1"/>
    <col min="3" max="3" width="12.140625" style="8" bestFit="1" customWidth="1"/>
    <col min="4" max="4" width="14.7109375" style="9" customWidth="1"/>
    <col min="5" max="5" width="15.42578125" style="9" customWidth="1"/>
    <col min="6" max="6" width="13.28515625" style="9" customWidth="1"/>
    <col min="7" max="7" width="28.140625" style="9" customWidth="1"/>
    <col min="8" max="8" width="9.140625" style="8"/>
    <col min="9" max="9" width="14.5703125" style="8" customWidth="1"/>
    <col min="10" max="10" width="13.42578125" style="8" customWidth="1"/>
    <col min="11" max="16384" width="9.140625" style="8"/>
  </cols>
  <sheetData>
    <row r="1" spans="1:7" x14ac:dyDescent="0.2">
      <c r="A1" s="272" t="s">
        <v>132</v>
      </c>
      <c r="B1" s="273"/>
      <c r="C1" s="273"/>
      <c r="D1" s="274"/>
      <c r="E1" s="274"/>
      <c r="F1" s="274"/>
    </row>
    <row r="2" spans="1:7" x14ac:dyDescent="0.2">
      <c r="A2" s="275" t="s">
        <v>132</v>
      </c>
      <c r="B2" s="276"/>
      <c r="C2" s="273"/>
      <c r="D2" s="274"/>
      <c r="E2" s="274"/>
      <c r="F2" s="274"/>
    </row>
    <row r="3" spans="1:7" s="4" customFormat="1" ht="15.6" customHeight="1" x14ac:dyDescent="0.2">
      <c r="A3" s="276" t="s">
        <v>132</v>
      </c>
      <c r="B3" s="277"/>
      <c r="C3" s="278"/>
      <c r="D3" s="278"/>
      <c r="E3" s="278"/>
      <c r="F3" s="278"/>
      <c r="G3" s="5"/>
    </row>
    <row r="4" spans="1:7" s="4" customFormat="1" ht="15.6" customHeight="1" x14ac:dyDescent="0.2">
      <c r="A4" s="275" t="s">
        <v>132</v>
      </c>
      <c r="B4" s="278" t="s">
        <v>294</v>
      </c>
      <c r="C4" s="278"/>
      <c r="D4" s="278"/>
      <c r="E4" s="278"/>
      <c r="F4" s="278"/>
      <c r="G4" s="5"/>
    </row>
    <row r="5" spans="1:7" s="4" customFormat="1" ht="15.6" customHeight="1" x14ac:dyDescent="0.2">
      <c r="A5" s="276"/>
      <c r="B5" s="278" t="s">
        <v>295</v>
      </c>
      <c r="C5" s="278"/>
      <c r="D5" s="278"/>
      <c r="E5" s="278"/>
      <c r="F5" s="278"/>
      <c r="G5" s="5"/>
    </row>
    <row r="6" spans="1:7" s="4" customFormat="1" ht="15.6" customHeight="1" x14ac:dyDescent="0.2">
      <c r="A6" s="276"/>
      <c r="B6" s="278" t="s">
        <v>296</v>
      </c>
      <c r="C6" s="278"/>
      <c r="D6" s="278"/>
      <c r="E6" s="278"/>
      <c r="F6" s="278"/>
      <c r="G6" s="5"/>
    </row>
    <row r="7" spans="1:7" s="4" customFormat="1" ht="16.5" customHeight="1" thickBot="1" x14ac:dyDescent="0.25">
      <c r="A7" s="276"/>
      <c r="B7" s="278"/>
      <c r="C7" s="278"/>
      <c r="D7" s="279"/>
      <c r="E7" s="279"/>
      <c r="F7" s="279"/>
      <c r="G7" s="5"/>
    </row>
    <row r="8" spans="1:7" s="7" customFormat="1" ht="18" x14ac:dyDescent="0.2">
      <c r="A8" s="361" t="s">
        <v>225</v>
      </c>
      <c r="B8" s="362"/>
      <c r="C8" s="362"/>
      <c r="D8" s="362"/>
      <c r="E8" s="362"/>
      <c r="F8" s="363"/>
      <c r="G8" s="34"/>
    </row>
    <row r="9" spans="1:7" s="7" customFormat="1" ht="21.75" customHeight="1" x14ac:dyDescent="0.2">
      <c r="A9" s="364" t="s">
        <v>42</v>
      </c>
      <c r="B9" s="365"/>
      <c r="C9" s="365"/>
      <c r="D9" s="365"/>
      <c r="E9" s="365"/>
      <c r="F9" s="366"/>
      <c r="G9" s="34"/>
    </row>
    <row r="10" spans="1:7" s="4" customFormat="1" ht="10.9" customHeight="1" thickBot="1" x14ac:dyDescent="0.25">
      <c r="A10" s="134"/>
      <c r="B10" s="135"/>
      <c r="C10" s="135"/>
      <c r="D10" s="136"/>
      <c r="E10" s="136"/>
      <c r="F10" s="137"/>
      <c r="G10" s="5"/>
    </row>
    <row r="11" spans="1:7" s="4" customFormat="1" ht="15.75" customHeight="1" thickBot="1" x14ac:dyDescent="0.25">
      <c r="A11" s="370" t="s">
        <v>202</v>
      </c>
      <c r="B11" s="371"/>
      <c r="C11" s="371"/>
      <c r="D11" s="371"/>
      <c r="E11" s="371"/>
      <c r="F11" s="372"/>
      <c r="G11" s="5"/>
    </row>
    <row r="12" spans="1:7" s="4" customFormat="1" ht="15.75" customHeight="1" x14ac:dyDescent="0.2">
      <c r="A12" s="59" t="s">
        <v>201</v>
      </c>
      <c r="B12" s="38"/>
      <c r="C12" s="38"/>
      <c r="D12" s="230"/>
      <c r="E12" s="105" t="s">
        <v>37</v>
      </c>
      <c r="F12" s="39" t="s">
        <v>2</v>
      </c>
      <c r="G12" s="5"/>
    </row>
    <row r="13" spans="1:7" s="10" customFormat="1" ht="15.75" customHeight="1" x14ac:dyDescent="0.2">
      <c r="A13" s="114" t="str">
        <f>A52</f>
        <v>1. Mão-de-obra</v>
      </c>
      <c r="B13" s="115"/>
      <c r="C13" s="116"/>
      <c r="D13" s="116"/>
      <c r="E13" s="227">
        <f>+F139</f>
        <v>79174.498104225873</v>
      </c>
      <c r="F13" s="117">
        <f>IFERROR(E13/$E$35,0)</f>
        <v>0.34044648898398738</v>
      </c>
      <c r="G13" s="42"/>
    </row>
    <row r="14" spans="1:7" s="4" customFormat="1" ht="15.75" customHeight="1" x14ac:dyDescent="0.2">
      <c r="A14" s="47" t="str">
        <f>A54</f>
        <v>1.1. Coletor Turno Dia e Gari para Limpeza Conteiner</v>
      </c>
      <c r="B14" s="43"/>
      <c r="C14" s="45"/>
      <c r="D14" s="45"/>
      <c r="E14" s="228">
        <f>F65</f>
        <v>41650.753130864119</v>
      </c>
      <c r="F14" s="53">
        <f>IFERROR(E14/$E$35,0)</f>
        <v>0.17909621161443992</v>
      </c>
      <c r="G14" s="5"/>
    </row>
    <row r="15" spans="1:7" s="4" customFormat="1" ht="15.75" customHeight="1" x14ac:dyDescent="0.2">
      <c r="A15" s="47" t="str">
        <f>A66</f>
        <v>1.2. Coletor Turno Noite</v>
      </c>
      <c r="B15" s="43"/>
      <c r="C15" s="45"/>
      <c r="D15" s="45"/>
      <c r="E15" s="228">
        <f>F83</f>
        <v>0</v>
      </c>
      <c r="F15" s="53">
        <f t="shared" ref="F15:F34" si="0">IFERROR(E15/$E$35,0)</f>
        <v>0</v>
      </c>
      <c r="G15" s="5"/>
    </row>
    <row r="16" spans="1:7" s="4" customFormat="1" ht="15.75" customHeight="1" x14ac:dyDescent="0.2">
      <c r="A16" s="47" t="str">
        <f>A85</f>
        <v>1.3. Motorista Turno do Dia - Caminhão Coletor e Caminhão Toco</v>
      </c>
      <c r="B16" s="43"/>
      <c r="C16" s="45"/>
      <c r="D16" s="45"/>
      <c r="E16" s="228">
        <f>F98</f>
        <v>28638.644973361756</v>
      </c>
      <c r="F16" s="53">
        <f t="shared" si="0"/>
        <v>0.12314477974467304</v>
      </c>
      <c r="G16" s="5"/>
    </row>
    <row r="17" spans="1:7" s="4" customFormat="1" ht="15.75" customHeight="1" x14ac:dyDescent="0.2">
      <c r="A17" s="47" t="str">
        <f>A100</f>
        <v>1.4. Motorista Turno Noite</v>
      </c>
      <c r="B17" s="43"/>
      <c r="C17" s="45"/>
      <c r="D17" s="45"/>
      <c r="E17" s="228">
        <f>F119</f>
        <v>0</v>
      </c>
      <c r="F17" s="53">
        <f t="shared" si="0"/>
        <v>0</v>
      </c>
      <c r="G17" s="5"/>
    </row>
    <row r="18" spans="1:7" s="4" customFormat="1" ht="15.75" customHeight="1" x14ac:dyDescent="0.2">
      <c r="A18" s="47" t="str">
        <f>A120</f>
        <v>1.5. Vale Transporte</v>
      </c>
      <c r="B18" s="43"/>
      <c r="C18" s="45"/>
      <c r="D18" s="45"/>
      <c r="E18" s="228">
        <f>F126</f>
        <v>1842.3999999999996</v>
      </c>
      <c r="F18" s="53">
        <f t="shared" si="0"/>
        <v>7.9222303433915918E-3</v>
      </c>
      <c r="G18" s="5"/>
    </row>
    <row r="19" spans="1:7" s="4" customFormat="1" ht="15.75" customHeight="1" x14ac:dyDescent="0.2">
      <c r="A19" s="47" t="str">
        <f>A128</f>
        <v>1.6. Vale-refeição (diário)</v>
      </c>
      <c r="B19" s="43"/>
      <c r="C19" s="45"/>
      <c r="D19" s="45"/>
      <c r="E19" s="228">
        <f>F132</f>
        <v>6787.5</v>
      </c>
      <c r="F19" s="53">
        <f t="shared" si="0"/>
        <v>2.9185919700266193E-2</v>
      </c>
      <c r="G19" s="5"/>
    </row>
    <row r="20" spans="1:7" s="4" customFormat="1" ht="15.75" customHeight="1" x14ac:dyDescent="0.2">
      <c r="A20" s="47" t="str">
        <f>A134</f>
        <v>1.7. Plano de Beneficio Social Familiar</v>
      </c>
      <c r="B20" s="43"/>
      <c r="C20" s="45"/>
      <c r="D20" s="45"/>
      <c r="E20" s="228">
        <f>F138</f>
        <v>255.2</v>
      </c>
      <c r="F20" s="53">
        <f t="shared" si="0"/>
        <v>1.0973475812166382E-3</v>
      </c>
      <c r="G20" s="5"/>
    </row>
    <row r="21" spans="1:7" s="10" customFormat="1" ht="15.75" customHeight="1" x14ac:dyDescent="0.2">
      <c r="A21" s="359" t="str">
        <f>A141</f>
        <v>2. Uniformes e Equipamentos de Proteção Individual</v>
      </c>
      <c r="B21" s="360"/>
      <c r="C21" s="360"/>
      <c r="D21" s="116"/>
      <c r="E21" s="227">
        <f>+F173</f>
        <v>3813.6933333333336</v>
      </c>
      <c r="F21" s="117">
        <f t="shared" si="0"/>
        <v>1.6398695747787431E-2</v>
      </c>
      <c r="G21" s="42"/>
    </row>
    <row r="22" spans="1:7" s="10" customFormat="1" ht="15.75" customHeight="1" x14ac:dyDescent="0.2">
      <c r="A22" s="124" t="str">
        <f>A175</f>
        <v>3. Veículos e Equipamentos</v>
      </c>
      <c r="B22" s="125"/>
      <c r="C22" s="116"/>
      <c r="D22" s="116"/>
      <c r="E22" s="227">
        <f>+F251</f>
        <v>64050.782492033461</v>
      </c>
      <c r="F22" s="117">
        <f t="shared" si="0"/>
        <v>0.27541524781608906</v>
      </c>
      <c r="G22" s="42"/>
    </row>
    <row r="23" spans="1:7" s="4" customFormat="1" ht="15.75" customHeight="1" x14ac:dyDescent="0.2">
      <c r="A23" s="60" t="str">
        <f>A177</f>
        <v>3.1. Veículos Truck Coletor Compactador mínimo 15 m³</v>
      </c>
      <c r="B23" s="44"/>
      <c r="C23" s="45"/>
      <c r="D23" s="45"/>
      <c r="E23" s="228">
        <f>SUM(E24:E29)</f>
        <v>64050.782492033461</v>
      </c>
      <c r="F23" s="129">
        <f t="shared" si="0"/>
        <v>0.27541524781608906</v>
      </c>
      <c r="G23" s="5"/>
    </row>
    <row r="24" spans="1:7" s="4" customFormat="1" ht="15.75" customHeight="1" x14ac:dyDescent="0.2">
      <c r="A24" s="60" t="str">
        <f>A179</f>
        <v>3.1.1. Depreciação</v>
      </c>
      <c r="B24" s="44"/>
      <c r="C24" s="45"/>
      <c r="D24" s="45"/>
      <c r="E24" s="228">
        <f>F193</f>
        <v>17321.1303936</v>
      </c>
      <c r="F24" s="129">
        <f t="shared" si="0"/>
        <v>7.4480017795278061E-2</v>
      </c>
      <c r="G24" s="5"/>
    </row>
    <row r="25" spans="1:7" s="4" customFormat="1" ht="15.75" customHeight="1" x14ac:dyDescent="0.2">
      <c r="A25" s="60" t="str">
        <f>A195</f>
        <v>3.1.2. Remuneração do Capital</v>
      </c>
      <c r="B25" s="44"/>
      <c r="C25" s="45"/>
      <c r="D25" s="45"/>
      <c r="E25" s="228">
        <f>F209</f>
        <v>17832.676133888002</v>
      </c>
      <c r="F25" s="129">
        <f t="shared" si="0"/>
        <v>7.6679639585194651E-2</v>
      </c>
      <c r="G25" s="5"/>
    </row>
    <row r="26" spans="1:7" s="4" customFormat="1" ht="15.75" customHeight="1" x14ac:dyDescent="0.2">
      <c r="A26" s="60" t="str">
        <f>A211</f>
        <v>3.1.3. Impostos e Seguros (2 veículos + 1 veículo reserva dedicação exclusiva)</v>
      </c>
      <c r="B26" s="44"/>
      <c r="C26" s="45"/>
      <c r="D26" s="45"/>
      <c r="E26" s="228">
        <f>F217</f>
        <v>5940.5360000000001</v>
      </c>
      <c r="F26" s="129">
        <f t="shared" si="0"/>
        <v>2.5544015716028073E-2</v>
      </c>
      <c r="G26" s="5"/>
    </row>
    <row r="27" spans="1:7" s="4" customFormat="1" ht="15.75" customHeight="1" x14ac:dyDescent="0.2">
      <c r="A27" s="60" t="str">
        <f>A218</f>
        <v>3.1.4. Consumos</v>
      </c>
      <c r="B27" s="44"/>
      <c r="C27" s="45"/>
      <c r="D27" s="45"/>
      <c r="E27" s="228">
        <f>F234</f>
        <v>14094.506364545456</v>
      </c>
      <c r="F27" s="129">
        <f t="shared" si="0"/>
        <v>6.0605691487368614E-2</v>
      </c>
      <c r="G27" s="5"/>
    </row>
    <row r="28" spans="1:7" s="4" customFormat="1" ht="15.75" customHeight="1" x14ac:dyDescent="0.2">
      <c r="A28" s="60" t="str">
        <f>A236</f>
        <v>3.1.5. Manutenção</v>
      </c>
      <c r="B28" s="44"/>
      <c r="C28" s="45"/>
      <c r="D28" s="45"/>
      <c r="E28" s="228">
        <f>F239</f>
        <v>4822.7400000000007</v>
      </c>
      <c r="F28" s="129">
        <f t="shared" si="0"/>
        <v>2.0737547311272458E-2</v>
      </c>
      <c r="G28" s="5"/>
    </row>
    <row r="29" spans="1:7" s="4" customFormat="1" ht="15.75" customHeight="1" x14ac:dyDescent="0.2">
      <c r="A29" s="60" t="str">
        <f>A241</f>
        <v>3.1.6. Pneus</v>
      </c>
      <c r="B29" s="44"/>
      <c r="C29" s="45"/>
      <c r="D29" s="45"/>
      <c r="E29" s="228">
        <f>F248</f>
        <v>4039.1936000000001</v>
      </c>
      <c r="F29" s="129">
        <f t="shared" si="0"/>
        <v>1.7368335920947203E-2</v>
      </c>
      <c r="G29" s="5"/>
    </row>
    <row r="30" spans="1:7" s="10" customFormat="1" ht="15.75" customHeight="1" x14ac:dyDescent="0.2">
      <c r="A30" s="124" t="str">
        <f>A253</f>
        <v>4. Ferramentas e Materiais de Consumo</v>
      </c>
      <c r="B30" s="125"/>
      <c r="C30" s="116"/>
      <c r="D30" s="116"/>
      <c r="E30" s="227">
        <f>+F263</f>
        <v>361.66666666666663</v>
      </c>
      <c r="F30" s="117">
        <f t="shared" si="0"/>
        <v>1.555149066901845E-3</v>
      </c>
      <c r="G30" s="42"/>
    </row>
    <row r="31" spans="1:7" s="10" customFormat="1" ht="15.75" customHeight="1" x14ac:dyDescent="0.2">
      <c r="A31" s="124" t="str">
        <f>A265</f>
        <v>5. Contêineres</v>
      </c>
      <c r="B31" s="125"/>
      <c r="C31" s="116"/>
      <c r="D31" s="116"/>
      <c r="E31" s="227">
        <f>+F290</f>
        <v>20920.191083333331</v>
      </c>
      <c r="F31" s="117">
        <f t="shared" si="0"/>
        <v>8.9955803620241831E-2</v>
      </c>
      <c r="G31" s="42"/>
    </row>
    <row r="32" spans="1:7" s="10" customFormat="1" ht="15.75" customHeight="1" x14ac:dyDescent="0.2">
      <c r="A32" s="124" t="s">
        <v>310</v>
      </c>
      <c r="B32" s="125"/>
      <c r="C32" s="116"/>
      <c r="D32" s="116"/>
      <c r="E32" s="301">
        <f>F301</f>
        <v>539.95000000000005</v>
      </c>
      <c r="F32" s="117">
        <f t="shared" si="0"/>
        <v>2.3217587244432755E-3</v>
      </c>
      <c r="G32" s="42"/>
    </row>
    <row r="33" spans="1:7" s="10" customFormat="1" ht="15.75" customHeight="1" x14ac:dyDescent="0.2">
      <c r="A33" s="124" t="s">
        <v>339</v>
      </c>
      <c r="B33" s="125"/>
      <c r="C33" s="116"/>
      <c r="D33" s="116"/>
      <c r="E33" s="301">
        <f>F385</f>
        <v>13012.035569729254</v>
      </c>
      <c r="F33" s="117">
        <f t="shared" ref="F33" si="1">IFERROR(E33/$E$35,0)</f>
        <v>5.5951119745874842E-2</v>
      </c>
      <c r="G33" s="42"/>
    </row>
    <row r="34" spans="1:7" s="10" customFormat="1" ht="15.75" customHeight="1" thickBot="1" x14ac:dyDescent="0.25">
      <c r="A34" s="124" t="str">
        <f>A389</f>
        <v>8. Benefícios e Despesas Indiretas - BDI</v>
      </c>
      <c r="B34" s="125"/>
      <c r="C34" s="116"/>
      <c r="D34" s="116"/>
      <c r="E34" s="229">
        <f>+F395</f>
        <v>50687.954167386022</v>
      </c>
      <c r="F34" s="117">
        <f t="shared" si="0"/>
        <v>0.21795573629467427</v>
      </c>
      <c r="G34" s="42"/>
    </row>
    <row r="35" spans="1:7" s="4" customFormat="1" ht="15.75" customHeight="1" thickBot="1" x14ac:dyDescent="0.25">
      <c r="A35" s="40" t="s">
        <v>243</v>
      </c>
      <c r="B35" s="41"/>
      <c r="C35" s="25"/>
      <c r="D35" s="25"/>
      <c r="E35" s="104">
        <f>E13+E21+E22+E30+E31+E32+E33+E34</f>
        <v>232560.77141670795</v>
      </c>
      <c r="F35" s="128">
        <f>F13+F21+F22+F30+F31+F32+F33+F34</f>
        <v>0.99999999999999978</v>
      </c>
      <c r="G35" s="5"/>
    </row>
    <row r="37" spans="1:7" ht="13.5" thickBot="1" x14ac:dyDescent="0.25"/>
    <row r="38" spans="1:7" s="4" customFormat="1" ht="15" customHeight="1" thickBot="1" x14ac:dyDescent="0.25">
      <c r="A38" s="370" t="s">
        <v>94</v>
      </c>
      <c r="B38" s="371"/>
      <c r="C38" s="371"/>
      <c r="D38" s="371"/>
      <c r="E38" s="372"/>
      <c r="F38" s="9"/>
      <c r="G38" s="5"/>
    </row>
    <row r="39" spans="1:7" s="4" customFormat="1" ht="15" customHeight="1" thickBot="1" x14ac:dyDescent="0.25">
      <c r="A39" s="367" t="s">
        <v>38</v>
      </c>
      <c r="B39" s="368"/>
      <c r="C39" s="368"/>
      <c r="D39" s="369"/>
      <c r="E39" s="46" t="s">
        <v>39</v>
      </c>
      <c r="F39" s="9"/>
      <c r="G39" s="5"/>
    </row>
    <row r="40" spans="1:7" s="4" customFormat="1" ht="15" customHeight="1" x14ac:dyDescent="0.2">
      <c r="A40" s="68" t="str">
        <f>+A54</f>
        <v>1.1. Coletor Turno Dia e Gari para Limpeza Conteiner</v>
      </c>
      <c r="B40" s="69"/>
      <c r="C40" s="69"/>
      <c r="D40" s="70"/>
      <c r="E40" s="71">
        <v>7</v>
      </c>
      <c r="F40" s="9"/>
      <c r="G40" s="5"/>
    </row>
    <row r="41" spans="1:7" s="4" customFormat="1" ht="15" customHeight="1" x14ac:dyDescent="0.2">
      <c r="A41" s="62" t="str">
        <f>+A66</f>
        <v>1.2. Coletor Turno Noite</v>
      </c>
      <c r="B41" s="61"/>
      <c r="C41" s="61"/>
      <c r="D41" s="72"/>
      <c r="E41" s="65">
        <f>C82</f>
        <v>0</v>
      </c>
      <c r="F41" s="9"/>
      <c r="G41" s="5"/>
    </row>
    <row r="42" spans="1:7" s="4" customFormat="1" ht="15" customHeight="1" x14ac:dyDescent="0.2">
      <c r="A42" s="62" t="str">
        <f>+A85</f>
        <v>1.3. Motorista Turno do Dia - Caminhão Coletor e Caminhão Toco</v>
      </c>
      <c r="B42" s="61"/>
      <c r="C42" s="61"/>
      <c r="D42" s="72"/>
      <c r="E42" s="65">
        <v>3</v>
      </c>
      <c r="F42" s="9"/>
      <c r="G42" s="5"/>
    </row>
    <row r="43" spans="1:7" s="4" customFormat="1" ht="15" customHeight="1" x14ac:dyDescent="0.2">
      <c r="A43" s="62" t="str">
        <f>+A100</f>
        <v>1.4. Motorista Turno Noite</v>
      </c>
      <c r="B43" s="61"/>
      <c r="C43" s="61"/>
      <c r="D43" s="72"/>
      <c r="E43" s="65">
        <f>C118</f>
        <v>0</v>
      </c>
      <c r="F43" s="9"/>
      <c r="G43" s="5"/>
    </row>
    <row r="44" spans="1:7" s="4" customFormat="1" ht="15" customHeight="1" thickBot="1" x14ac:dyDescent="0.25">
      <c r="A44" s="66" t="s">
        <v>57</v>
      </c>
      <c r="B44" s="67"/>
      <c r="C44" s="67"/>
      <c r="D44" s="73"/>
      <c r="E44" s="74">
        <f>SUM(E40:E43)</f>
        <v>10</v>
      </c>
      <c r="F44" s="9"/>
      <c r="G44" s="5"/>
    </row>
    <row r="45" spans="1:7" s="4" customFormat="1" ht="15" customHeight="1" thickBot="1" x14ac:dyDescent="0.25">
      <c r="A45" s="118"/>
      <c r="B45" s="119"/>
      <c r="C45" s="54"/>
      <c r="D45" s="54"/>
      <c r="E45" s="120"/>
      <c r="F45" s="9"/>
      <c r="G45" s="5"/>
    </row>
    <row r="46" spans="1:7" s="4" customFormat="1" ht="15" customHeight="1" x14ac:dyDescent="0.2">
      <c r="A46" s="357" t="s">
        <v>54</v>
      </c>
      <c r="B46" s="358"/>
      <c r="C46" s="358"/>
      <c r="D46" s="358"/>
      <c r="E46" s="46" t="s">
        <v>39</v>
      </c>
      <c r="F46" s="8"/>
      <c r="G46" s="5"/>
    </row>
    <row r="47" spans="1:7" s="4" customFormat="1" ht="15" customHeight="1" thickBot="1" x14ac:dyDescent="0.25">
      <c r="A47" s="121" t="str">
        <f>+A177</f>
        <v>3.1. Veículos Truck Coletor Compactador mínimo 15 m³</v>
      </c>
      <c r="B47" s="122"/>
      <c r="C47" s="122"/>
      <c r="D47" s="123"/>
      <c r="E47" s="303">
        <v>2</v>
      </c>
      <c r="F47" s="8"/>
      <c r="G47" s="5"/>
    </row>
    <row r="48" spans="1:7" s="4" customFormat="1" ht="15" customHeight="1" thickBot="1" x14ac:dyDescent="0.25">
      <c r="A48" s="304" t="s">
        <v>356</v>
      </c>
      <c r="B48" s="122"/>
      <c r="C48" s="122"/>
      <c r="D48" s="123"/>
      <c r="E48" s="303">
        <v>1</v>
      </c>
      <c r="F48" s="8"/>
      <c r="G48" s="5"/>
    </row>
    <row r="49" spans="1:7" s="4" customFormat="1" ht="13.5" thickBot="1" x14ac:dyDescent="0.25">
      <c r="A49" s="54"/>
      <c r="B49" s="54"/>
      <c r="C49" s="54"/>
      <c r="D49" s="8"/>
      <c r="E49" s="63"/>
      <c r="F49" s="8"/>
      <c r="G49" s="5"/>
    </row>
    <row r="50" spans="1:7" s="10" customFormat="1" ht="15.75" customHeight="1" thickBot="1" x14ac:dyDescent="0.25">
      <c r="A50" s="231" t="s">
        <v>197</v>
      </c>
      <c r="B50" s="232">
        <v>1</v>
      </c>
      <c r="C50" s="33"/>
      <c r="E50" s="138"/>
      <c r="G50" s="42"/>
    </row>
    <row r="51" spans="1:7" s="4" customFormat="1" ht="15.75" customHeight="1" x14ac:dyDescent="0.2">
      <c r="A51" s="54"/>
      <c r="B51" s="54"/>
      <c r="C51" s="54"/>
      <c r="D51" s="8"/>
      <c r="E51" s="63"/>
      <c r="F51" s="8"/>
      <c r="G51" s="5"/>
    </row>
    <row r="52" spans="1:7" ht="13.15" customHeight="1" x14ac:dyDescent="0.2">
      <c r="A52" s="10" t="s">
        <v>46</v>
      </c>
    </row>
    <row r="53" spans="1:7" ht="11.25" customHeight="1" x14ac:dyDescent="0.2"/>
    <row r="54" spans="1:7" ht="13.9" customHeight="1" thickBot="1" x14ac:dyDescent="0.25">
      <c r="A54" s="6" t="s">
        <v>324</v>
      </c>
    </row>
    <row r="55" spans="1:7" ht="13.9" customHeight="1" thickBot="1" x14ac:dyDescent="0.25">
      <c r="A55" s="55" t="s">
        <v>61</v>
      </c>
      <c r="B55" s="56" t="s">
        <v>62</v>
      </c>
      <c r="C55" s="56" t="s">
        <v>39</v>
      </c>
      <c r="D55" s="57" t="s">
        <v>239</v>
      </c>
      <c r="E55" s="57" t="s">
        <v>63</v>
      </c>
      <c r="F55" s="58" t="s">
        <v>64</v>
      </c>
    </row>
    <row r="56" spans="1:7" ht="13.15" customHeight="1" x14ac:dyDescent="0.2">
      <c r="A56" s="270" t="s">
        <v>302</v>
      </c>
      <c r="B56" s="13" t="s">
        <v>8</v>
      </c>
      <c r="C56" s="13">
        <v>1</v>
      </c>
      <c r="D56" s="78">
        <v>2082.31</v>
      </c>
      <c r="E56" s="14">
        <f>C56*D56</f>
        <v>2082.31</v>
      </c>
    </row>
    <row r="57" spans="1:7" x14ac:dyDescent="0.2">
      <c r="A57" s="15" t="s">
        <v>34</v>
      </c>
      <c r="B57" s="16" t="s">
        <v>0</v>
      </c>
      <c r="C57" s="79">
        <f>C89</f>
        <v>8.6666666666666661</v>
      </c>
      <c r="D57" s="17">
        <f>D56/220*2</f>
        <v>18.930090909090907</v>
      </c>
      <c r="E57" s="17">
        <f>C57*D57</f>
        <v>164.06078787878786</v>
      </c>
      <c r="G57" s="9" t="s">
        <v>253</v>
      </c>
    </row>
    <row r="58" spans="1:7" ht="13.15" customHeight="1" x14ac:dyDescent="0.2">
      <c r="A58" s="15" t="s">
        <v>35</v>
      </c>
      <c r="B58" s="16" t="s">
        <v>0</v>
      </c>
      <c r="C58" s="79">
        <f>C90</f>
        <v>8.6666666666666661</v>
      </c>
      <c r="D58" s="17">
        <f>D56/220*1.5</f>
        <v>14.19756818181818</v>
      </c>
      <c r="E58" s="17">
        <f>C58*D58</f>
        <v>123.04559090909089</v>
      </c>
      <c r="G58" s="9" t="s">
        <v>255</v>
      </c>
    </row>
    <row r="59" spans="1:7" ht="13.15" customHeight="1" x14ac:dyDescent="0.2">
      <c r="A59" s="15" t="s">
        <v>222</v>
      </c>
      <c r="B59" s="16" t="s">
        <v>33</v>
      </c>
      <c r="D59" s="17">
        <f>63/302*(SUM(E57:E58))</f>
        <v>59.893052528597224</v>
      </c>
      <c r="E59" s="17">
        <f>D59</f>
        <v>59.893052528597224</v>
      </c>
      <c r="G59" s="9" t="s">
        <v>221</v>
      </c>
    </row>
    <row r="60" spans="1:7" x14ac:dyDescent="0.2">
      <c r="A60" s="15" t="s">
        <v>1</v>
      </c>
      <c r="B60" s="16" t="s">
        <v>2</v>
      </c>
      <c r="C60" s="16">
        <v>40</v>
      </c>
      <c r="D60" s="75">
        <f>SUM(E56:E59)</f>
        <v>2429.3094313164761</v>
      </c>
      <c r="E60" s="17">
        <f>C60*D60/100</f>
        <v>971.72377252659044</v>
      </c>
    </row>
    <row r="61" spans="1:7" x14ac:dyDescent="0.2">
      <c r="A61" s="106" t="s">
        <v>3</v>
      </c>
      <c r="B61" s="107"/>
      <c r="C61" s="107"/>
      <c r="D61" s="108"/>
      <c r="E61" s="109">
        <f>SUM(E56:E60)</f>
        <v>3401.0332038430665</v>
      </c>
    </row>
    <row r="62" spans="1:7" x14ac:dyDescent="0.2">
      <c r="A62" s="15" t="s">
        <v>4</v>
      </c>
      <c r="B62" s="16" t="s">
        <v>2</v>
      </c>
      <c r="C62" s="126">
        <f>'2.Encargos Sociais'!$C$34*100</f>
        <v>74.95</v>
      </c>
      <c r="D62" s="17">
        <f>E61</f>
        <v>3401.0332038430665</v>
      </c>
      <c r="E62" s="17">
        <f>D62*C62/100</f>
        <v>2549.0743862803783</v>
      </c>
    </row>
    <row r="63" spans="1:7" x14ac:dyDescent="0.2">
      <c r="A63" s="106" t="s">
        <v>71</v>
      </c>
      <c r="B63" s="107"/>
      <c r="C63" s="107"/>
      <c r="D63" s="108"/>
      <c r="E63" s="109">
        <f>E61+E62</f>
        <v>5950.1075901234453</v>
      </c>
    </row>
    <row r="64" spans="1:7" ht="13.5" thickBot="1" x14ac:dyDescent="0.25">
      <c r="A64" s="15" t="s">
        <v>5</v>
      </c>
      <c r="B64" s="16" t="s">
        <v>6</v>
      </c>
      <c r="C64" s="77">
        <v>7</v>
      </c>
      <c r="D64" s="17">
        <f>E63</f>
        <v>5950.1075901234453</v>
      </c>
      <c r="E64" s="17">
        <f>C64*D64</f>
        <v>41650.753130864119</v>
      </c>
      <c r="G64" s="5"/>
    </row>
    <row r="65" spans="1:7" ht="13.9" customHeight="1" thickBot="1" x14ac:dyDescent="0.25">
      <c r="D65" s="112" t="s">
        <v>196</v>
      </c>
      <c r="E65" s="48">
        <f>$B$50</f>
        <v>1</v>
      </c>
      <c r="F65" s="113">
        <f>E64*E65</f>
        <v>41650.753130864119</v>
      </c>
      <c r="G65" s="5"/>
    </row>
    <row r="66" spans="1:7" hidden="1" x14ac:dyDescent="0.2">
      <c r="A66" s="8" t="s">
        <v>88</v>
      </c>
    </row>
    <row r="67" spans="1:7" ht="13.5" hidden="1" thickBot="1" x14ac:dyDescent="0.25">
      <c r="A67" s="55" t="s">
        <v>61</v>
      </c>
      <c r="B67" s="56" t="s">
        <v>62</v>
      </c>
      <c r="C67" s="56" t="s">
        <v>39</v>
      </c>
      <c r="D67" s="57" t="s">
        <v>239</v>
      </c>
      <c r="E67" s="57" t="s">
        <v>63</v>
      </c>
      <c r="F67" s="58" t="s">
        <v>64</v>
      </c>
    </row>
    <row r="68" spans="1:7" hidden="1" x14ac:dyDescent="0.2">
      <c r="A68" s="12" t="s">
        <v>216</v>
      </c>
      <c r="B68" s="13" t="s">
        <v>8</v>
      </c>
      <c r="C68" s="13">
        <v>1</v>
      </c>
      <c r="D68" s="14">
        <f>D56</f>
        <v>2082.31</v>
      </c>
      <c r="E68" s="14">
        <f>C68*D68</f>
        <v>2082.31</v>
      </c>
    </row>
    <row r="69" spans="1:7" hidden="1" x14ac:dyDescent="0.2">
      <c r="A69" s="15" t="s">
        <v>7</v>
      </c>
      <c r="B69" s="16" t="s">
        <v>95</v>
      </c>
      <c r="C69" s="79"/>
      <c r="D69" s="17"/>
      <c r="E69" s="17"/>
    </row>
    <row r="70" spans="1:7" hidden="1" x14ac:dyDescent="0.2">
      <c r="A70" s="15"/>
      <c r="B70" s="16" t="s">
        <v>98</v>
      </c>
      <c r="C70" s="110">
        <f>C69*8/7</f>
        <v>0</v>
      </c>
      <c r="D70" s="17">
        <f>D68/220*0.2</f>
        <v>1.8930090909090909</v>
      </c>
      <c r="E70" s="17">
        <f>C69*D70</f>
        <v>0</v>
      </c>
    </row>
    <row r="71" spans="1:7" hidden="1" x14ac:dyDescent="0.2">
      <c r="A71" s="15" t="s">
        <v>34</v>
      </c>
      <c r="B71" s="16" t="s">
        <v>0</v>
      </c>
      <c r="C71" s="79"/>
      <c r="D71" s="17">
        <f>D68/220*2</f>
        <v>18.930090909090907</v>
      </c>
      <c r="E71" s="17">
        <f>C71*D71</f>
        <v>0</v>
      </c>
      <c r="G71" s="9" t="s">
        <v>253</v>
      </c>
    </row>
    <row r="72" spans="1:7" hidden="1" x14ac:dyDescent="0.2">
      <c r="A72" s="15" t="s">
        <v>96</v>
      </c>
      <c r="B72" s="16" t="s">
        <v>95</v>
      </c>
      <c r="C72" s="79"/>
      <c r="D72" s="17"/>
      <c r="E72" s="17"/>
      <c r="G72" s="9" t="s">
        <v>254</v>
      </c>
    </row>
    <row r="73" spans="1:7" hidden="1" x14ac:dyDescent="0.2">
      <c r="A73" s="15"/>
      <c r="B73" s="16" t="s">
        <v>98</v>
      </c>
      <c r="C73" s="110">
        <f>C72*8/7</f>
        <v>0</v>
      </c>
      <c r="D73" s="17">
        <f>D68/220*2*1.2</f>
        <v>22.716109090909089</v>
      </c>
      <c r="E73" s="17">
        <f>C73*D73</f>
        <v>0</v>
      </c>
      <c r="G73" s="9" t="s">
        <v>254</v>
      </c>
    </row>
    <row r="74" spans="1:7" hidden="1" x14ac:dyDescent="0.2">
      <c r="A74" s="15" t="s">
        <v>35</v>
      </c>
      <c r="B74" s="16" t="s">
        <v>0</v>
      </c>
      <c r="C74" s="79"/>
      <c r="D74" s="17">
        <f>D68/220*1.5</f>
        <v>14.19756818181818</v>
      </c>
      <c r="E74" s="17">
        <f>C74*D74</f>
        <v>0</v>
      </c>
      <c r="G74" s="9" t="s">
        <v>255</v>
      </c>
    </row>
    <row r="75" spans="1:7" hidden="1" x14ac:dyDescent="0.2">
      <c r="A75" s="15" t="s">
        <v>220</v>
      </c>
      <c r="B75" s="16" t="s">
        <v>95</v>
      </c>
      <c r="C75" s="79"/>
      <c r="D75" s="17"/>
      <c r="E75" s="17"/>
      <c r="G75" s="9" t="s">
        <v>256</v>
      </c>
    </row>
    <row r="76" spans="1:7" hidden="1" x14ac:dyDescent="0.2">
      <c r="A76" s="15"/>
      <c r="B76" s="16" t="s">
        <v>98</v>
      </c>
      <c r="C76" s="17">
        <f>C75*8/7</f>
        <v>0</v>
      </c>
      <c r="D76" s="17">
        <f>D68/220*1.5*1.2</f>
        <v>17.037081818181814</v>
      </c>
      <c r="E76" s="17">
        <f>C76*D76</f>
        <v>0</v>
      </c>
      <c r="G76" s="9" t="s">
        <v>256</v>
      </c>
    </row>
    <row r="77" spans="1:7" ht="12.75" hidden="1" customHeight="1" x14ac:dyDescent="0.2">
      <c r="A77" s="15" t="s">
        <v>222</v>
      </c>
      <c r="B77" s="16" t="s">
        <v>33</v>
      </c>
      <c r="D77" s="17">
        <f>63/302*(SUM(E71:E76))</f>
        <v>0</v>
      </c>
      <c r="E77" s="17">
        <f>D77</f>
        <v>0</v>
      </c>
      <c r="G77" s="9" t="s">
        <v>221</v>
      </c>
    </row>
    <row r="78" spans="1:7" hidden="1" x14ac:dyDescent="0.2">
      <c r="A78" s="15" t="s">
        <v>1</v>
      </c>
      <c r="B78" s="16" t="s">
        <v>2</v>
      </c>
      <c r="C78" s="16">
        <f>+C60</f>
        <v>40</v>
      </c>
      <c r="D78" s="75">
        <f>SUM(E68:E77)</f>
        <v>2082.31</v>
      </c>
      <c r="E78" s="17">
        <f>C78*D78/100</f>
        <v>832.92399999999998</v>
      </c>
    </row>
    <row r="79" spans="1:7" hidden="1" x14ac:dyDescent="0.2">
      <c r="A79" s="106" t="s">
        <v>3</v>
      </c>
      <c r="B79" s="107"/>
      <c r="C79" s="107"/>
      <c r="D79" s="108"/>
      <c r="E79" s="109">
        <f>SUM(E68:E78)</f>
        <v>2915.2339999999999</v>
      </c>
    </row>
    <row r="80" spans="1:7" hidden="1" x14ac:dyDescent="0.2">
      <c r="A80" s="15" t="s">
        <v>4</v>
      </c>
      <c r="B80" s="16" t="s">
        <v>2</v>
      </c>
      <c r="C80" s="126">
        <f>'2.Encargos Sociais'!$C$34*100</f>
        <v>74.95</v>
      </c>
      <c r="D80" s="17">
        <f>E79</f>
        <v>2915.2339999999999</v>
      </c>
      <c r="E80" s="17">
        <f>D80*C80/100</f>
        <v>2184.9678830000003</v>
      </c>
    </row>
    <row r="81" spans="1:7" hidden="1" x14ac:dyDescent="0.2">
      <c r="A81" s="106" t="s">
        <v>71</v>
      </c>
      <c r="B81" s="107"/>
      <c r="C81" s="107"/>
      <c r="D81" s="108"/>
      <c r="E81" s="109">
        <f>E79+E80</f>
        <v>5100.2018829999997</v>
      </c>
    </row>
    <row r="82" spans="1:7" hidden="1" x14ac:dyDescent="0.2">
      <c r="A82" s="15" t="s">
        <v>5</v>
      </c>
      <c r="B82" s="16" t="s">
        <v>6</v>
      </c>
      <c r="C82" s="77"/>
      <c r="D82" s="17">
        <f>E81</f>
        <v>5100.2018829999997</v>
      </c>
      <c r="E82" s="17">
        <f>C82*D82</f>
        <v>0</v>
      </c>
    </row>
    <row r="83" spans="1:7" ht="13.5" hidden="1" thickBot="1" x14ac:dyDescent="0.25">
      <c r="D83" s="112" t="s">
        <v>196</v>
      </c>
      <c r="E83" s="48">
        <f>$B$50</f>
        <v>1</v>
      </c>
      <c r="F83" s="113">
        <f>E82*E83</f>
        <v>0</v>
      </c>
    </row>
    <row r="84" spans="1:7" ht="11.25" customHeight="1" x14ac:dyDescent="0.2"/>
    <row r="85" spans="1:7" ht="13.5" thickBot="1" x14ac:dyDescent="0.25">
      <c r="A85" s="6" t="s">
        <v>325</v>
      </c>
    </row>
    <row r="86" spans="1:7" s="11" customFormat="1" ht="13.15" customHeight="1" thickBot="1" x14ac:dyDescent="0.25">
      <c r="A86" s="55" t="s">
        <v>61</v>
      </c>
      <c r="B86" s="56" t="s">
        <v>62</v>
      </c>
      <c r="C86" s="56" t="s">
        <v>39</v>
      </c>
      <c r="D86" s="57" t="s">
        <v>239</v>
      </c>
      <c r="E86" s="57" t="s">
        <v>63</v>
      </c>
      <c r="F86" s="58" t="s">
        <v>64</v>
      </c>
      <c r="G86" s="9"/>
    </row>
    <row r="87" spans="1:7" x14ac:dyDescent="0.2">
      <c r="A87" s="270" t="s">
        <v>303</v>
      </c>
      <c r="B87" s="13" t="s">
        <v>8</v>
      </c>
      <c r="C87" s="13">
        <v>1</v>
      </c>
      <c r="D87" s="78">
        <v>3340.81</v>
      </c>
      <c r="E87" s="14">
        <f>C87*D87</f>
        <v>3340.81</v>
      </c>
    </row>
    <row r="88" spans="1:7" x14ac:dyDescent="0.2">
      <c r="A88" s="12" t="s">
        <v>219</v>
      </c>
      <c r="B88" s="13" t="s">
        <v>8</v>
      </c>
      <c r="C88" s="13">
        <v>1</v>
      </c>
      <c r="D88" s="78"/>
      <c r="E88" s="14"/>
    </row>
    <row r="89" spans="1:7" x14ac:dyDescent="0.2">
      <c r="A89" s="15" t="s">
        <v>34</v>
      </c>
      <c r="B89" s="16" t="s">
        <v>0</v>
      </c>
      <c r="C89" s="79">
        <f>52/12*2</f>
        <v>8.6666666666666661</v>
      </c>
      <c r="D89" s="17">
        <f>D87/220*2</f>
        <v>30.370999999999999</v>
      </c>
      <c r="E89" s="17">
        <f>C89*D89</f>
        <v>263.21533333333332</v>
      </c>
      <c r="G89" s="9" t="s">
        <v>253</v>
      </c>
    </row>
    <row r="90" spans="1:7" x14ac:dyDescent="0.2">
      <c r="A90" s="15" t="s">
        <v>35</v>
      </c>
      <c r="B90" s="16" t="s">
        <v>0</v>
      </c>
      <c r="C90" s="79">
        <f>52/12*2</f>
        <v>8.6666666666666661</v>
      </c>
      <c r="D90" s="17">
        <f>D87/220*1.5</f>
        <v>22.77825</v>
      </c>
      <c r="E90" s="17">
        <f>C90*D90</f>
        <v>197.41149999999999</v>
      </c>
      <c r="G90" s="9" t="s">
        <v>255</v>
      </c>
    </row>
    <row r="91" spans="1:7" ht="13.15" customHeight="1" x14ac:dyDescent="0.2">
      <c r="A91" s="15" t="s">
        <v>222</v>
      </c>
      <c r="B91" s="16" t="s">
        <v>33</v>
      </c>
      <c r="C91" s="6" t="s">
        <v>132</v>
      </c>
      <c r="D91" s="17">
        <f>63/302*(SUM(E89:E90))</f>
        <v>96.091028145695361</v>
      </c>
      <c r="E91" s="17">
        <f>D91</f>
        <v>96.091028145695361</v>
      </c>
      <c r="G91" s="9" t="s">
        <v>221</v>
      </c>
    </row>
    <row r="92" spans="1:7" x14ac:dyDescent="0.2">
      <c r="A92" s="15" t="s">
        <v>218</v>
      </c>
      <c r="B92" s="16"/>
      <c r="C92" s="81">
        <v>2</v>
      </c>
      <c r="D92" s="17"/>
      <c r="E92" s="17"/>
    </row>
    <row r="93" spans="1:7" x14ac:dyDescent="0.2">
      <c r="A93" s="15" t="s">
        <v>1</v>
      </c>
      <c r="B93" s="16" t="s">
        <v>2</v>
      </c>
      <c r="C93" s="77">
        <v>40</v>
      </c>
      <c r="D93" s="75">
        <f>IF(C92=2,SUM(E87:E91),IF(C92=1,(SUM(E87:E91))*D88/D87,0))</f>
        <v>3897.5278614790286</v>
      </c>
      <c r="E93" s="17">
        <f>C93*D93/100</f>
        <v>1559.0111445916116</v>
      </c>
    </row>
    <row r="94" spans="1:7" s="10" customFormat="1" x14ac:dyDescent="0.2">
      <c r="A94" s="93" t="s">
        <v>3</v>
      </c>
      <c r="B94" s="107"/>
      <c r="C94" s="107"/>
      <c r="D94" s="108"/>
      <c r="E94" s="95">
        <f>SUM(E87:E93)</f>
        <v>5456.5390060706404</v>
      </c>
      <c r="F94" s="42"/>
      <c r="G94" s="42"/>
    </row>
    <row r="95" spans="1:7" x14ac:dyDescent="0.2">
      <c r="A95" s="15" t="s">
        <v>4</v>
      </c>
      <c r="B95" s="16" t="s">
        <v>2</v>
      </c>
      <c r="C95" s="126">
        <f>'2.Encargos Sociais'!$C$34*100</f>
        <v>74.95</v>
      </c>
      <c r="D95" s="17">
        <f>E94</f>
        <v>5456.5390060706404</v>
      </c>
      <c r="E95" s="17">
        <f>D95*C95/100</f>
        <v>4089.6759850499452</v>
      </c>
    </row>
    <row r="96" spans="1:7" s="10" customFormat="1" x14ac:dyDescent="0.2">
      <c r="A96" s="93" t="s">
        <v>257</v>
      </c>
      <c r="B96" s="238"/>
      <c r="C96" s="238"/>
      <c r="D96" s="239"/>
      <c r="E96" s="95">
        <f>E94+E95</f>
        <v>9546.2149911205852</v>
      </c>
      <c r="F96" s="42"/>
      <c r="G96" s="42"/>
    </row>
    <row r="97" spans="1:7" ht="13.5" thickBot="1" x14ac:dyDescent="0.25">
      <c r="A97" s="15" t="s">
        <v>5</v>
      </c>
      <c r="B97" s="16" t="s">
        <v>6</v>
      </c>
      <c r="C97" s="77">
        <v>3</v>
      </c>
      <c r="D97" s="17">
        <f>E96</f>
        <v>9546.2149911205852</v>
      </c>
      <c r="E97" s="17">
        <f>C97*D97</f>
        <v>28638.644973361756</v>
      </c>
    </row>
    <row r="98" spans="1:7" ht="13.5" thickBot="1" x14ac:dyDescent="0.25">
      <c r="D98" s="112" t="s">
        <v>196</v>
      </c>
      <c r="E98" s="48">
        <f>$B$50</f>
        <v>1</v>
      </c>
      <c r="F98" s="113">
        <f>E97*E98</f>
        <v>28638.644973361756</v>
      </c>
    </row>
    <row r="99" spans="1:7" ht="10.5" customHeight="1" x14ac:dyDescent="0.2"/>
    <row r="100" spans="1:7" hidden="1" x14ac:dyDescent="0.2">
      <c r="A100" s="8" t="s">
        <v>97</v>
      </c>
    </row>
    <row r="101" spans="1:7" ht="13.5" hidden="1" thickBot="1" x14ac:dyDescent="0.25">
      <c r="A101" s="55" t="s">
        <v>61</v>
      </c>
      <c r="B101" s="56" t="s">
        <v>62</v>
      </c>
      <c r="C101" s="56" t="s">
        <v>39</v>
      </c>
      <c r="D101" s="57" t="s">
        <v>239</v>
      </c>
      <c r="E101" s="57" t="s">
        <v>63</v>
      </c>
      <c r="F101" s="58" t="s">
        <v>64</v>
      </c>
    </row>
    <row r="102" spans="1:7" hidden="1" x14ac:dyDescent="0.2">
      <c r="A102" s="12" t="s">
        <v>216</v>
      </c>
      <c r="B102" s="13" t="s">
        <v>8</v>
      </c>
      <c r="C102" s="13">
        <v>1</v>
      </c>
      <c r="D102" s="14">
        <f>D87</f>
        <v>3340.81</v>
      </c>
      <c r="E102" s="14">
        <f>C102*D102</f>
        <v>3340.81</v>
      </c>
    </row>
    <row r="103" spans="1:7" hidden="1" x14ac:dyDescent="0.2">
      <c r="A103" s="12" t="s">
        <v>217</v>
      </c>
      <c r="B103" s="13" t="s">
        <v>8</v>
      </c>
      <c r="C103" s="13">
        <v>1</v>
      </c>
      <c r="D103" s="17">
        <f>D88</f>
        <v>0</v>
      </c>
      <c r="E103" s="17"/>
    </row>
    <row r="104" spans="1:7" hidden="1" x14ac:dyDescent="0.2">
      <c r="A104" s="15" t="s">
        <v>7</v>
      </c>
      <c r="B104" s="16" t="s">
        <v>95</v>
      </c>
      <c r="C104" s="79"/>
      <c r="D104" s="15"/>
      <c r="E104" s="15"/>
    </row>
    <row r="105" spans="1:7" hidden="1" x14ac:dyDescent="0.2">
      <c r="A105" s="15"/>
      <c r="B105" s="16" t="s">
        <v>98</v>
      </c>
      <c r="C105" s="17">
        <f>C104*8/7</f>
        <v>0</v>
      </c>
      <c r="D105" s="17">
        <f>D102/220*0.2</f>
        <v>3.0371000000000001</v>
      </c>
      <c r="E105" s="17">
        <f>C104*D105</f>
        <v>0</v>
      </c>
    </row>
    <row r="106" spans="1:7" hidden="1" x14ac:dyDescent="0.2">
      <c r="A106" s="15" t="s">
        <v>34</v>
      </c>
      <c r="B106" s="16" t="s">
        <v>0</v>
      </c>
      <c r="C106" s="79"/>
      <c r="D106" s="17">
        <f>D102/220*2</f>
        <v>30.370999999999999</v>
      </c>
      <c r="E106" s="17">
        <f>C106*D106</f>
        <v>0</v>
      </c>
      <c r="G106" s="9" t="s">
        <v>253</v>
      </c>
    </row>
    <row r="107" spans="1:7" hidden="1" x14ac:dyDescent="0.2">
      <c r="A107" s="15" t="s">
        <v>96</v>
      </c>
      <c r="B107" s="16" t="s">
        <v>95</v>
      </c>
      <c r="C107" s="79"/>
      <c r="D107" s="17"/>
      <c r="E107" s="17"/>
      <c r="G107" s="9" t="s">
        <v>254</v>
      </c>
    </row>
    <row r="108" spans="1:7" hidden="1" x14ac:dyDescent="0.2">
      <c r="A108" s="15"/>
      <c r="B108" s="16" t="s">
        <v>98</v>
      </c>
      <c r="C108" s="17">
        <f>C107*8/7</f>
        <v>0</v>
      </c>
      <c r="D108" s="17">
        <f>D102/220*2*1.2</f>
        <v>36.4452</v>
      </c>
      <c r="E108" s="17">
        <f>C108*D108</f>
        <v>0</v>
      </c>
      <c r="G108" s="9" t="s">
        <v>254</v>
      </c>
    </row>
    <row r="109" spans="1:7" hidden="1" x14ac:dyDescent="0.2">
      <c r="A109" s="15" t="s">
        <v>35</v>
      </c>
      <c r="B109" s="16" t="s">
        <v>0</v>
      </c>
      <c r="C109" s="79"/>
      <c r="D109" s="17">
        <f>D102/220*1.5</f>
        <v>22.77825</v>
      </c>
      <c r="E109" s="17">
        <f>C109*D109</f>
        <v>0</v>
      </c>
      <c r="G109" s="9" t="s">
        <v>255</v>
      </c>
    </row>
    <row r="110" spans="1:7" hidden="1" x14ac:dyDescent="0.2">
      <c r="A110" s="15" t="s">
        <v>220</v>
      </c>
      <c r="B110" s="16" t="s">
        <v>95</v>
      </c>
      <c r="C110" s="79"/>
      <c r="D110" s="17"/>
      <c r="E110" s="17"/>
      <c r="G110" s="9" t="s">
        <v>256</v>
      </c>
    </row>
    <row r="111" spans="1:7" hidden="1" x14ac:dyDescent="0.2">
      <c r="A111" s="15"/>
      <c r="B111" s="16" t="s">
        <v>98</v>
      </c>
      <c r="C111" s="17">
        <f>C110*8/7</f>
        <v>0</v>
      </c>
      <c r="D111" s="17">
        <f>D102/220*1.5*1.2</f>
        <v>27.3339</v>
      </c>
      <c r="E111" s="17">
        <f>C111*D111</f>
        <v>0</v>
      </c>
      <c r="G111" s="9" t="s">
        <v>256</v>
      </c>
    </row>
    <row r="112" spans="1:7" ht="12.75" hidden="1" customHeight="1" x14ac:dyDescent="0.2">
      <c r="A112" s="15" t="s">
        <v>222</v>
      </c>
      <c r="B112" s="16" t="s">
        <v>33</v>
      </c>
      <c r="D112" s="17">
        <f>63/302*(SUM(E106:E111))</f>
        <v>0</v>
      </c>
      <c r="E112" s="17">
        <f>D112</f>
        <v>0</v>
      </c>
      <c r="G112" s="9" t="s">
        <v>221</v>
      </c>
    </row>
    <row r="113" spans="1:7" hidden="1" x14ac:dyDescent="0.2">
      <c r="A113" s="15" t="s">
        <v>218</v>
      </c>
      <c r="B113" s="16"/>
      <c r="C113" s="81"/>
      <c r="D113" s="17"/>
      <c r="E113" s="17"/>
    </row>
    <row r="114" spans="1:7" hidden="1" x14ac:dyDescent="0.2">
      <c r="A114" s="15" t="s">
        <v>1</v>
      </c>
      <c r="B114" s="16" t="s">
        <v>2</v>
      </c>
      <c r="C114" s="75">
        <f>+C93</f>
        <v>40</v>
      </c>
      <c r="D114" s="75">
        <f>IF(C113=2,SUM(E102:E112),IF(C113=1,SUM(E102:E112)*D103/D102,0))</f>
        <v>0</v>
      </c>
      <c r="E114" s="17">
        <f>C114*D114/100</f>
        <v>0</v>
      </c>
    </row>
    <row r="115" spans="1:7" s="10" customFormat="1" hidden="1" x14ac:dyDescent="0.2">
      <c r="A115" s="106" t="s">
        <v>3</v>
      </c>
      <c r="B115" s="107"/>
      <c r="C115" s="107"/>
      <c r="D115" s="108"/>
      <c r="E115" s="109">
        <f>SUM(E102:E114)</f>
        <v>3340.81</v>
      </c>
      <c r="F115" s="42"/>
      <c r="G115" s="42"/>
    </row>
    <row r="116" spans="1:7" hidden="1" x14ac:dyDescent="0.2">
      <c r="A116" s="15" t="s">
        <v>4</v>
      </c>
      <c r="B116" s="16" t="s">
        <v>2</v>
      </c>
      <c r="C116" s="126">
        <f>'2.Encargos Sociais'!$C$34*100</f>
        <v>74.95</v>
      </c>
      <c r="D116" s="17">
        <f>E115</f>
        <v>3340.81</v>
      </c>
      <c r="E116" s="17">
        <f>D116*C116/100</f>
        <v>2503.9370949999998</v>
      </c>
    </row>
    <row r="117" spans="1:7" s="10" customFormat="1" hidden="1" x14ac:dyDescent="0.2">
      <c r="A117" s="106" t="s">
        <v>257</v>
      </c>
      <c r="B117" s="107"/>
      <c r="C117" s="107"/>
      <c r="D117" s="108"/>
      <c r="E117" s="109">
        <f>E115+E116</f>
        <v>5844.7470949999997</v>
      </c>
      <c r="F117" s="42"/>
      <c r="G117" s="42"/>
    </row>
    <row r="118" spans="1:7" hidden="1" x14ac:dyDescent="0.2">
      <c r="A118" s="15" t="s">
        <v>5</v>
      </c>
      <c r="B118" s="16" t="s">
        <v>6</v>
      </c>
      <c r="C118" s="77"/>
      <c r="D118" s="17">
        <f>E117</f>
        <v>5844.7470949999997</v>
      </c>
      <c r="E118" s="17">
        <f>C118*D118</f>
        <v>0</v>
      </c>
    </row>
    <row r="119" spans="1:7" ht="16.5" hidden="1" customHeight="1" thickBot="1" x14ac:dyDescent="0.25">
      <c r="D119" s="112" t="s">
        <v>196</v>
      </c>
      <c r="E119" s="48">
        <f>$B$50</f>
        <v>1</v>
      </c>
      <c r="F119" s="113">
        <f>E118*E119</f>
        <v>0</v>
      </c>
    </row>
    <row r="120" spans="1:7" ht="13.5" thickBot="1" x14ac:dyDescent="0.25">
      <c r="A120" s="8" t="s">
        <v>99</v>
      </c>
      <c r="B120" s="84"/>
      <c r="D120" s="8"/>
      <c r="E120" s="8"/>
      <c r="G120" s="8"/>
    </row>
    <row r="121" spans="1:7" ht="13.5" thickBot="1" x14ac:dyDescent="0.25">
      <c r="A121" s="55" t="s">
        <v>61</v>
      </c>
      <c r="B121" s="56" t="s">
        <v>62</v>
      </c>
      <c r="C121" s="56" t="s">
        <v>39</v>
      </c>
      <c r="D121" s="57" t="s">
        <v>239</v>
      </c>
      <c r="E121" s="57" t="s">
        <v>63</v>
      </c>
      <c r="F121" s="58" t="s">
        <v>64</v>
      </c>
      <c r="G121" s="8"/>
    </row>
    <row r="122" spans="1:7" x14ac:dyDescent="0.2">
      <c r="A122" s="15" t="s">
        <v>89</v>
      </c>
      <c r="B122" s="16" t="s">
        <v>33</v>
      </c>
      <c r="C122" s="85">
        <v>1</v>
      </c>
      <c r="D122" s="83">
        <v>3.92</v>
      </c>
      <c r="E122" s="17"/>
      <c r="G122" s="8"/>
    </row>
    <row r="123" spans="1:7" x14ac:dyDescent="0.2">
      <c r="A123" s="15" t="s">
        <v>90</v>
      </c>
      <c r="B123" s="16" t="s">
        <v>91</v>
      </c>
      <c r="C123" s="82">
        <v>25</v>
      </c>
      <c r="D123" s="17"/>
      <c r="E123" s="17"/>
      <c r="G123" s="8"/>
    </row>
    <row r="124" spans="1:7" x14ac:dyDescent="0.2">
      <c r="A124" s="15" t="s">
        <v>72</v>
      </c>
      <c r="B124" s="16" t="s">
        <v>9</v>
      </c>
      <c r="C124" s="35">
        <f>$C$123*2*(C64)</f>
        <v>350</v>
      </c>
      <c r="D124" s="14">
        <f>D122*0.94</f>
        <v>3.6847999999999996</v>
      </c>
      <c r="E124" s="17">
        <f>IFERROR(C124*D124,"-")</f>
        <v>1289.6799999999998</v>
      </c>
      <c r="G124" s="8"/>
    </row>
    <row r="125" spans="1:7" ht="13.5" thickBot="1" x14ac:dyDescent="0.25">
      <c r="A125" s="12" t="s">
        <v>43</v>
      </c>
      <c r="B125" s="13" t="s">
        <v>9</v>
      </c>
      <c r="C125" s="35">
        <f>$C$123*2*(C97)</f>
        <v>150</v>
      </c>
      <c r="D125" s="14">
        <f>D122*0.94</f>
        <v>3.6847999999999996</v>
      </c>
      <c r="E125" s="14">
        <f>IFERROR(C125*D125,"-")</f>
        <v>552.71999999999991</v>
      </c>
      <c r="G125" s="8"/>
    </row>
    <row r="126" spans="1:7" ht="13.5" thickBot="1" x14ac:dyDescent="0.25">
      <c r="F126" s="21">
        <f>SUM(E124:E125)</f>
        <v>1842.3999999999996</v>
      </c>
      <c r="G126" s="8"/>
    </row>
    <row r="127" spans="1:7" ht="11.25" customHeight="1" x14ac:dyDescent="0.2">
      <c r="G127" s="8"/>
    </row>
    <row r="128" spans="1:7" ht="13.5" thickBot="1" x14ac:dyDescent="0.25">
      <c r="A128" s="8" t="s">
        <v>120</v>
      </c>
      <c r="F128" s="22"/>
      <c r="G128" s="8"/>
    </row>
    <row r="129" spans="1:7" ht="13.5" thickBot="1" x14ac:dyDescent="0.25">
      <c r="A129" s="55" t="s">
        <v>61</v>
      </c>
      <c r="B129" s="56" t="s">
        <v>62</v>
      </c>
      <c r="C129" s="56" t="s">
        <v>39</v>
      </c>
      <c r="D129" s="57" t="s">
        <v>239</v>
      </c>
      <c r="E129" s="57" t="s">
        <v>63</v>
      </c>
      <c r="F129" s="58" t="s">
        <v>64</v>
      </c>
      <c r="G129" s="8"/>
    </row>
    <row r="130" spans="1:7" x14ac:dyDescent="0.2">
      <c r="A130" s="15" t="str">
        <f>+A124</f>
        <v>Coletor</v>
      </c>
      <c r="B130" s="16" t="s">
        <v>10</v>
      </c>
      <c r="C130" s="92">
        <f>C123*(C64)</f>
        <v>175</v>
      </c>
      <c r="D130" s="80">
        <v>27.15</v>
      </c>
      <c r="E130" s="48">
        <f>C130*D130</f>
        <v>4751.25</v>
      </c>
      <c r="F130" s="22"/>
      <c r="G130" s="8"/>
    </row>
    <row r="131" spans="1:7" ht="13.5" thickBot="1" x14ac:dyDescent="0.25">
      <c r="A131" s="15" t="str">
        <f>+A125</f>
        <v>Motorista</v>
      </c>
      <c r="B131" s="16" t="s">
        <v>10</v>
      </c>
      <c r="C131" s="92">
        <f>C123*(C97)</f>
        <v>75</v>
      </c>
      <c r="D131" s="80">
        <f>D130</f>
        <v>27.15</v>
      </c>
      <c r="E131" s="48">
        <f>C131*D131</f>
        <v>2036.25</v>
      </c>
      <c r="F131" s="22"/>
      <c r="G131" s="8"/>
    </row>
    <row r="132" spans="1:7" ht="13.5" thickBot="1" x14ac:dyDescent="0.25">
      <c r="F132" s="21">
        <f>SUM(E130:E131)</f>
        <v>6787.5</v>
      </c>
      <c r="G132" s="8"/>
    </row>
    <row r="133" spans="1:7" ht="12" customHeight="1" x14ac:dyDescent="0.2">
      <c r="G133" s="8"/>
    </row>
    <row r="134" spans="1:7" ht="13.5" thickBot="1" x14ac:dyDescent="0.25">
      <c r="A134" s="6" t="s">
        <v>307</v>
      </c>
      <c r="F134" s="22"/>
      <c r="G134" s="8"/>
    </row>
    <row r="135" spans="1:7" ht="13.5" thickBot="1" x14ac:dyDescent="0.25">
      <c r="A135" s="55" t="s">
        <v>61</v>
      </c>
      <c r="B135" s="56" t="s">
        <v>62</v>
      </c>
      <c r="C135" s="56" t="s">
        <v>39</v>
      </c>
      <c r="D135" s="57" t="s">
        <v>239</v>
      </c>
      <c r="E135" s="57" t="s">
        <v>63</v>
      </c>
      <c r="F135" s="58" t="s">
        <v>64</v>
      </c>
      <c r="G135" s="8"/>
    </row>
    <row r="136" spans="1:7" x14ac:dyDescent="0.2">
      <c r="A136" s="15" t="str">
        <f>+A130</f>
        <v>Coletor</v>
      </c>
      <c r="B136" s="16" t="s">
        <v>10</v>
      </c>
      <c r="C136" s="92">
        <f>E40+E41</f>
        <v>7</v>
      </c>
      <c r="D136" s="80">
        <v>25.52</v>
      </c>
      <c r="E136" s="48">
        <f>C136*D136</f>
        <v>178.64</v>
      </c>
      <c r="F136" s="22"/>
      <c r="G136" s="8"/>
    </row>
    <row r="137" spans="1:7" ht="13.5" thickBot="1" x14ac:dyDescent="0.25">
      <c r="A137" s="15" t="str">
        <f>+A131</f>
        <v>Motorista</v>
      </c>
      <c r="B137" s="16" t="s">
        <v>10</v>
      </c>
      <c r="C137" s="92">
        <f>E42+E43</f>
        <v>3</v>
      </c>
      <c r="D137" s="80">
        <f>D136</f>
        <v>25.52</v>
      </c>
      <c r="E137" s="48">
        <f>C137*D137</f>
        <v>76.56</v>
      </c>
      <c r="F137" s="22"/>
      <c r="G137" s="8"/>
    </row>
    <row r="138" spans="1:7" ht="13.5" thickBot="1" x14ac:dyDescent="0.25">
      <c r="D138" s="112" t="s">
        <v>196</v>
      </c>
      <c r="E138" s="48">
        <f>$B$50</f>
        <v>1</v>
      </c>
      <c r="F138" s="21">
        <f>SUM(E136:E137)*E138</f>
        <v>255.2</v>
      </c>
      <c r="G138" s="8"/>
    </row>
    <row r="139" spans="1:7" ht="13.5" thickBot="1" x14ac:dyDescent="0.25">
      <c r="A139" s="23" t="s">
        <v>92</v>
      </c>
      <c r="B139" s="24"/>
      <c r="C139" s="24"/>
      <c r="D139" s="25"/>
      <c r="E139" s="26"/>
      <c r="F139" s="21">
        <f>F138+F132+F126+F119+F98+F83+F65</f>
        <v>79174.498104225873</v>
      </c>
      <c r="G139" s="8"/>
    </row>
    <row r="141" spans="1:7" x14ac:dyDescent="0.2">
      <c r="A141" s="10" t="s">
        <v>44</v>
      </c>
      <c r="G141" s="8"/>
    </row>
    <row r="142" spans="1:7" ht="11.25" customHeight="1" x14ac:dyDescent="0.2">
      <c r="G142" s="8"/>
    </row>
    <row r="143" spans="1:7" ht="13.9" customHeight="1" x14ac:dyDescent="0.2">
      <c r="A143" s="6" t="s">
        <v>344</v>
      </c>
      <c r="G143" s="8"/>
    </row>
    <row r="144" spans="1:7" ht="11.25" customHeight="1" thickBot="1" x14ac:dyDescent="0.25">
      <c r="G144" s="8"/>
    </row>
    <row r="145" spans="1:7" ht="27.75" customHeight="1" thickBot="1" x14ac:dyDescent="0.25">
      <c r="A145" s="55" t="s">
        <v>61</v>
      </c>
      <c r="B145" s="56" t="s">
        <v>62</v>
      </c>
      <c r="C145" s="240" t="s">
        <v>259</v>
      </c>
      <c r="D145" s="57" t="s">
        <v>239</v>
      </c>
      <c r="E145" s="57" t="s">
        <v>63</v>
      </c>
      <c r="F145" s="58" t="s">
        <v>64</v>
      </c>
      <c r="G145" s="8"/>
    </row>
    <row r="146" spans="1:7" x14ac:dyDescent="0.2">
      <c r="A146" s="270" t="s">
        <v>65</v>
      </c>
      <c r="B146" s="13" t="s">
        <v>10</v>
      </c>
      <c r="C146" s="91">
        <v>6</v>
      </c>
      <c r="D146" s="78">
        <v>145</v>
      </c>
      <c r="E146" s="14">
        <f>IFERROR(D146/C146,0)</f>
        <v>24.166666666666668</v>
      </c>
      <c r="G146" s="8"/>
    </row>
    <row r="147" spans="1:7" ht="13.15" customHeight="1" x14ac:dyDescent="0.2">
      <c r="A147" s="270" t="s">
        <v>354</v>
      </c>
      <c r="B147" s="16" t="s">
        <v>10</v>
      </c>
      <c r="C147" s="91">
        <v>2</v>
      </c>
      <c r="D147" s="78">
        <v>39.9</v>
      </c>
      <c r="E147" s="14">
        <f t="shared" ref="E147:E156" si="2">IFERROR(D147/C147,0)</f>
        <v>19.95</v>
      </c>
      <c r="G147" s="8"/>
    </row>
    <row r="148" spans="1:7" x14ac:dyDescent="0.2">
      <c r="A148" s="15" t="s">
        <v>30</v>
      </c>
      <c r="B148" s="16" t="s">
        <v>10</v>
      </c>
      <c r="C148" s="91">
        <v>2</v>
      </c>
      <c r="D148" s="78">
        <v>29.99</v>
      </c>
      <c r="E148" s="14">
        <f t="shared" si="2"/>
        <v>14.994999999999999</v>
      </c>
      <c r="G148" s="8"/>
    </row>
    <row r="149" spans="1:7" ht="13.15" customHeight="1" x14ac:dyDescent="0.2">
      <c r="A149" s="271" t="s">
        <v>345</v>
      </c>
      <c r="B149" s="16" t="s">
        <v>10</v>
      </c>
      <c r="C149" s="91">
        <v>6</v>
      </c>
      <c r="D149" s="78">
        <f>19.85*1.5</f>
        <v>29.775000000000002</v>
      </c>
      <c r="E149" s="14">
        <f t="shared" si="2"/>
        <v>4.9625000000000004</v>
      </c>
      <c r="G149" s="8"/>
    </row>
    <row r="150" spans="1:7" ht="13.9" customHeight="1" x14ac:dyDescent="0.2">
      <c r="A150" s="15" t="s">
        <v>67</v>
      </c>
      <c r="B150" s="16" t="s">
        <v>47</v>
      </c>
      <c r="C150" s="91">
        <v>4</v>
      </c>
      <c r="D150" s="78">
        <v>125</v>
      </c>
      <c r="E150" s="14">
        <f t="shared" si="2"/>
        <v>31.25</v>
      </c>
      <c r="G150" s="8"/>
    </row>
    <row r="151" spans="1:7" ht="13.15" customHeight="1" x14ac:dyDescent="0.2">
      <c r="A151" s="15" t="s">
        <v>93</v>
      </c>
      <c r="B151" s="16" t="s">
        <v>47</v>
      </c>
      <c r="C151" s="91">
        <v>2</v>
      </c>
      <c r="D151" s="78">
        <v>9.9</v>
      </c>
      <c r="E151" s="14">
        <f t="shared" si="2"/>
        <v>4.95</v>
      </c>
    </row>
    <row r="152" spans="1:7" x14ac:dyDescent="0.2">
      <c r="A152" s="15" t="s">
        <v>66</v>
      </c>
      <c r="B152" s="16" t="s">
        <v>10</v>
      </c>
      <c r="C152" s="91">
        <v>6</v>
      </c>
      <c r="D152" s="78">
        <v>64.349999999999994</v>
      </c>
      <c r="E152" s="14">
        <f t="shared" si="2"/>
        <v>10.725</v>
      </c>
    </row>
    <row r="153" spans="1:7" x14ac:dyDescent="0.2">
      <c r="A153" s="271" t="s">
        <v>343</v>
      </c>
      <c r="B153" s="16" t="s">
        <v>10</v>
      </c>
      <c r="C153" s="91">
        <v>12</v>
      </c>
      <c r="D153" s="78">
        <v>21.31</v>
      </c>
      <c r="E153" s="14">
        <f t="shared" ref="E153" si="3">IFERROR(D153/C153,0)</f>
        <v>1.7758333333333332</v>
      </c>
    </row>
    <row r="154" spans="1:7" s="1" customFormat="1" x14ac:dyDescent="0.2">
      <c r="A154" s="2" t="s">
        <v>11</v>
      </c>
      <c r="B154" s="3" t="s">
        <v>10</v>
      </c>
      <c r="C154" s="91">
        <v>6</v>
      </c>
      <c r="D154" s="78">
        <v>25</v>
      </c>
      <c r="E154" s="14">
        <f t="shared" si="2"/>
        <v>4.166666666666667</v>
      </c>
      <c r="F154" s="36"/>
      <c r="G154" s="36"/>
    </row>
    <row r="155" spans="1:7" x14ac:dyDescent="0.2">
      <c r="A155" s="15" t="s">
        <v>31</v>
      </c>
      <c r="B155" s="16" t="s">
        <v>47</v>
      </c>
      <c r="C155" s="91">
        <v>0.3</v>
      </c>
      <c r="D155" s="78">
        <v>8.09</v>
      </c>
      <c r="E155" s="14">
        <f t="shared" si="2"/>
        <v>26.966666666666669</v>
      </c>
    </row>
    <row r="156" spans="1:7" ht="13.15" customHeight="1" x14ac:dyDescent="0.2">
      <c r="A156" s="15" t="s">
        <v>60</v>
      </c>
      <c r="B156" s="16" t="s">
        <v>48</v>
      </c>
      <c r="C156" s="91">
        <v>3</v>
      </c>
      <c r="D156" s="78">
        <v>15.99</v>
      </c>
      <c r="E156" s="14">
        <f t="shared" si="2"/>
        <v>5.33</v>
      </c>
    </row>
    <row r="157" spans="1:7" x14ac:dyDescent="0.2">
      <c r="A157" s="15" t="s">
        <v>198</v>
      </c>
      <c r="B157" s="16" t="s">
        <v>121</v>
      </c>
      <c r="C157" s="64">
        <v>7</v>
      </c>
      <c r="D157" s="78">
        <v>42.84</v>
      </c>
      <c r="E157" s="17">
        <f t="shared" ref="E157:E158" si="4">C157*D157</f>
        <v>299.88</v>
      </c>
    </row>
    <row r="158" spans="1:7" ht="13.5" thickBot="1" x14ac:dyDescent="0.25">
      <c r="A158" s="15" t="s">
        <v>5</v>
      </c>
      <c r="B158" s="16" t="s">
        <v>6</v>
      </c>
      <c r="C158" s="64">
        <v>7</v>
      </c>
      <c r="D158" s="17">
        <f>+SUM(E146:E157)</f>
        <v>449.11833333333334</v>
      </c>
      <c r="E158" s="17">
        <f t="shared" si="4"/>
        <v>3143.8283333333334</v>
      </c>
    </row>
    <row r="159" spans="1:7" ht="13.5" thickBot="1" x14ac:dyDescent="0.25">
      <c r="D159" s="112" t="s">
        <v>196</v>
      </c>
      <c r="E159" s="48">
        <f>$B$50</f>
        <v>1</v>
      </c>
      <c r="F159" s="113">
        <f>E158*E159</f>
        <v>3143.8283333333334</v>
      </c>
    </row>
    <row r="160" spans="1:7" ht="13.9" customHeight="1" x14ac:dyDescent="0.2">
      <c r="A160" s="8" t="s">
        <v>199</v>
      </c>
    </row>
    <row r="161" spans="1:7" ht="11.25" customHeight="1" thickBot="1" x14ac:dyDescent="0.25"/>
    <row r="162" spans="1:7" ht="24.75" thickBot="1" x14ac:dyDescent="0.25">
      <c r="A162" s="55" t="s">
        <v>61</v>
      </c>
      <c r="B162" s="56" t="s">
        <v>62</v>
      </c>
      <c r="C162" s="240" t="s">
        <v>259</v>
      </c>
      <c r="D162" s="57" t="s">
        <v>239</v>
      </c>
      <c r="E162" s="57" t="s">
        <v>63</v>
      </c>
      <c r="F162" s="58" t="s">
        <v>64</v>
      </c>
    </row>
    <row r="163" spans="1:7" x14ac:dyDescent="0.2">
      <c r="A163" s="12" t="s">
        <v>65</v>
      </c>
      <c r="B163" s="13" t="s">
        <v>10</v>
      </c>
      <c r="C163" s="91">
        <v>6</v>
      </c>
      <c r="D163" s="14">
        <f>+D146</f>
        <v>145</v>
      </c>
      <c r="E163" s="14">
        <f>IFERROR(D163/C163,0)</f>
        <v>24.166666666666668</v>
      </c>
    </row>
    <row r="164" spans="1:7" x14ac:dyDescent="0.2">
      <c r="A164" s="15" t="s">
        <v>29</v>
      </c>
      <c r="B164" s="16" t="s">
        <v>10</v>
      </c>
      <c r="C164" s="91">
        <v>3</v>
      </c>
      <c r="D164" s="17">
        <f>+D147</f>
        <v>39.9</v>
      </c>
      <c r="E164" s="14">
        <f t="shared" ref="E164:E168" si="5">IFERROR(D164/C164,0)</f>
        <v>13.299999999999999</v>
      </c>
    </row>
    <row r="165" spans="1:7" x14ac:dyDescent="0.2">
      <c r="A165" s="15" t="s">
        <v>30</v>
      </c>
      <c r="B165" s="16" t="s">
        <v>10</v>
      </c>
      <c r="C165" s="91">
        <v>3</v>
      </c>
      <c r="D165" s="17">
        <f>+D148</f>
        <v>29.99</v>
      </c>
      <c r="E165" s="14">
        <f t="shared" si="5"/>
        <v>9.9966666666666661</v>
      </c>
    </row>
    <row r="166" spans="1:7" x14ac:dyDescent="0.2">
      <c r="A166" s="15" t="s">
        <v>67</v>
      </c>
      <c r="B166" s="16" t="s">
        <v>47</v>
      </c>
      <c r="C166" s="91">
        <v>4</v>
      </c>
      <c r="D166" s="17">
        <f>+D150</f>
        <v>125</v>
      </c>
      <c r="E166" s="14">
        <f t="shared" si="5"/>
        <v>31.25</v>
      </c>
    </row>
    <row r="167" spans="1:7" x14ac:dyDescent="0.2">
      <c r="A167" s="15" t="s">
        <v>66</v>
      </c>
      <c r="B167" s="16" t="s">
        <v>10</v>
      </c>
      <c r="C167" s="91">
        <v>6</v>
      </c>
      <c r="D167" s="17">
        <f>+D152</f>
        <v>64.349999999999994</v>
      </c>
      <c r="E167" s="14">
        <f t="shared" si="5"/>
        <v>10.725</v>
      </c>
      <c r="G167" s="8"/>
    </row>
    <row r="168" spans="1:7" x14ac:dyDescent="0.2">
      <c r="A168" s="15" t="s">
        <v>60</v>
      </c>
      <c r="B168" s="16" t="s">
        <v>48</v>
      </c>
      <c r="C168" s="91">
        <v>3</v>
      </c>
      <c r="D168" s="17">
        <f>+D156</f>
        <v>15.99</v>
      </c>
      <c r="E168" s="14">
        <f t="shared" si="5"/>
        <v>5.33</v>
      </c>
      <c r="G168" s="8"/>
    </row>
    <row r="169" spans="1:7" x14ac:dyDescent="0.2">
      <c r="A169" s="15" t="s">
        <v>198</v>
      </c>
      <c r="B169" s="16" t="s">
        <v>121</v>
      </c>
      <c r="C169" s="64">
        <v>3</v>
      </c>
      <c r="D169" s="78">
        <v>42.84</v>
      </c>
      <c r="E169" s="17">
        <f t="shared" ref="E169:E170" si="6">C169*D169</f>
        <v>128.52000000000001</v>
      </c>
      <c r="G169" s="8"/>
    </row>
    <row r="170" spans="1:7" ht="13.5" thickBot="1" x14ac:dyDescent="0.25">
      <c r="A170" s="15" t="s">
        <v>5</v>
      </c>
      <c r="B170" s="16" t="s">
        <v>6</v>
      </c>
      <c r="C170" s="64">
        <v>3</v>
      </c>
      <c r="D170" s="17">
        <f>+SUM(E163:E169)</f>
        <v>223.28833333333336</v>
      </c>
      <c r="E170" s="17">
        <f t="shared" si="6"/>
        <v>669.86500000000001</v>
      </c>
      <c r="G170" s="8"/>
    </row>
    <row r="171" spans="1:7" ht="13.5" thickBot="1" x14ac:dyDescent="0.25">
      <c r="D171" s="112" t="s">
        <v>196</v>
      </c>
      <c r="E171" s="48">
        <f>$B$50</f>
        <v>1</v>
      </c>
      <c r="F171" s="113">
        <f>E170*E171</f>
        <v>669.86500000000001</v>
      </c>
      <c r="G171" s="8"/>
    </row>
    <row r="172" spans="1:7" ht="11.25" customHeight="1" thickBot="1" x14ac:dyDescent="0.25">
      <c r="G172" s="8"/>
    </row>
    <row r="173" spans="1:7" ht="13.5" thickBot="1" x14ac:dyDescent="0.25">
      <c r="A173" s="23" t="s">
        <v>200</v>
      </c>
      <c r="B173" s="27"/>
      <c r="C173" s="27"/>
      <c r="D173" s="28"/>
      <c r="E173" s="29"/>
      <c r="F173" s="20">
        <f>+F159+F171</f>
        <v>3813.6933333333336</v>
      </c>
      <c r="G173" s="8"/>
    </row>
    <row r="174" spans="1:7" ht="11.25" customHeight="1" x14ac:dyDescent="0.2">
      <c r="G174" s="8"/>
    </row>
    <row r="175" spans="1:7" x14ac:dyDescent="0.2">
      <c r="A175" s="10" t="s">
        <v>52</v>
      </c>
      <c r="G175" s="8"/>
    </row>
    <row r="176" spans="1:7" ht="11.25" customHeight="1" x14ac:dyDescent="0.2">
      <c r="B176" s="97"/>
      <c r="G176" s="8"/>
    </row>
    <row r="177" spans="1:10" x14ac:dyDescent="0.2">
      <c r="A177" s="6" t="s">
        <v>355</v>
      </c>
      <c r="G177" s="8"/>
    </row>
    <row r="178" spans="1:10" ht="11.25" customHeight="1" x14ac:dyDescent="0.2">
      <c r="G178" s="8"/>
    </row>
    <row r="179" spans="1:10" ht="13.5" thickBot="1" x14ac:dyDescent="0.25">
      <c r="A179" s="97" t="s">
        <v>45</v>
      </c>
      <c r="G179" s="8"/>
    </row>
    <row r="180" spans="1:10" ht="13.5" thickBot="1" x14ac:dyDescent="0.25">
      <c r="A180" s="55" t="s">
        <v>61</v>
      </c>
      <c r="B180" s="56" t="s">
        <v>62</v>
      </c>
      <c r="C180" s="56" t="s">
        <v>39</v>
      </c>
      <c r="D180" s="57" t="s">
        <v>239</v>
      </c>
      <c r="E180" s="57" t="s">
        <v>63</v>
      </c>
      <c r="F180" s="58" t="s">
        <v>64</v>
      </c>
      <c r="G180" s="8"/>
    </row>
    <row r="181" spans="1:10" x14ac:dyDescent="0.2">
      <c r="A181" s="270" t="s">
        <v>346</v>
      </c>
      <c r="B181" s="13" t="s">
        <v>10</v>
      </c>
      <c r="C181" s="13">
        <v>1</v>
      </c>
      <c r="D181" s="78">
        <v>582209.6</v>
      </c>
      <c r="E181" s="14">
        <f>C181*D181</f>
        <v>582209.6</v>
      </c>
      <c r="G181" s="6" t="s">
        <v>306</v>
      </c>
    </row>
    <row r="182" spans="1:10" x14ac:dyDescent="0.2">
      <c r="A182" s="15" t="s">
        <v>100</v>
      </c>
      <c r="B182" s="16" t="s">
        <v>101</v>
      </c>
      <c r="C182" s="77">
        <v>5</v>
      </c>
      <c r="D182" s="75"/>
      <c r="E182" s="17"/>
      <c r="G182" s="8"/>
    </row>
    <row r="183" spans="1:10" x14ac:dyDescent="0.2">
      <c r="A183" s="15" t="s">
        <v>211</v>
      </c>
      <c r="B183" s="16" t="s">
        <v>101</v>
      </c>
      <c r="C183" s="77">
        <v>0</v>
      </c>
      <c r="D183" s="17"/>
      <c r="E183" s="17"/>
      <c r="F183" s="19"/>
      <c r="I183" s="76"/>
      <c r="J183" s="76"/>
    </row>
    <row r="184" spans="1:10" x14ac:dyDescent="0.2">
      <c r="A184" s="15" t="s">
        <v>104</v>
      </c>
      <c r="B184" s="16" t="s">
        <v>2</v>
      </c>
      <c r="C184" s="126">
        <f>IFERROR(VLOOKUP(C182,'4. Depreciação'!A3:B17,2,FALSE),0)</f>
        <v>55.679999999999993</v>
      </c>
      <c r="D184" s="17">
        <f>E181</f>
        <v>582209.6</v>
      </c>
      <c r="E184" s="17">
        <f>C184*D184/100</f>
        <v>324174.30527999991</v>
      </c>
    </row>
    <row r="185" spans="1:10" ht="13.5" thickBot="1" x14ac:dyDescent="0.25">
      <c r="A185" s="250" t="s">
        <v>49</v>
      </c>
      <c r="B185" s="251" t="s">
        <v>8</v>
      </c>
      <c r="C185" s="251">
        <f>C182*12</f>
        <v>60</v>
      </c>
      <c r="D185" s="252">
        <f>IF(C183&lt;=C182,E184,0)</f>
        <v>324174.30527999991</v>
      </c>
      <c r="E185" s="252">
        <f>IFERROR(D185/C185,0)</f>
        <v>5402.9050879999986</v>
      </c>
    </row>
    <row r="186" spans="1:10" ht="13.5" thickTop="1" x14ac:dyDescent="0.2">
      <c r="A186" s="348" t="s">
        <v>347</v>
      </c>
      <c r="B186" s="13" t="s">
        <v>10</v>
      </c>
      <c r="C186" s="13">
        <f>C181</f>
        <v>1</v>
      </c>
      <c r="D186" s="78">
        <f>266200</f>
        <v>266200</v>
      </c>
      <c r="E186" s="14">
        <f>C186*D186</f>
        <v>266200</v>
      </c>
      <c r="G186" s="6" t="s">
        <v>301</v>
      </c>
    </row>
    <row r="187" spans="1:10" x14ac:dyDescent="0.2">
      <c r="A187" s="15" t="s">
        <v>102</v>
      </c>
      <c r="B187" s="16" t="s">
        <v>101</v>
      </c>
      <c r="C187" s="77">
        <v>5</v>
      </c>
      <c r="D187" s="17"/>
      <c r="E187" s="17"/>
    </row>
    <row r="188" spans="1:10" x14ac:dyDescent="0.2">
      <c r="A188" s="15" t="s">
        <v>212</v>
      </c>
      <c r="B188" s="16" t="s">
        <v>101</v>
      </c>
      <c r="C188" s="77">
        <v>0</v>
      </c>
      <c r="D188" s="17"/>
      <c r="E188" s="17"/>
      <c r="F188" s="19"/>
      <c r="I188" s="76"/>
      <c r="J188" s="76"/>
    </row>
    <row r="189" spans="1:10" x14ac:dyDescent="0.2">
      <c r="A189" s="15" t="s">
        <v>103</v>
      </c>
      <c r="B189" s="16" t="s">
        <v>2</v>
      </c>
      <c r="C189" s="127">
        <f>IFERROR(VLOOKUP(C187,'4. Depreciação'!A3:B17,2,FALSE),0)</f>
        <v>55.679999999999993</v>
      </c>
      <c r="D189" s="17">
        <f>E186</f>
        <v>266200</v>
      </c>
      <c r="E189" s="17">
        <f>C189*D189/100</f>
        <v>148220.15999999997</v>
      </c>
    </row>
    <row r="190" spans="1:10" x14ac:dyDescent="0.2">
      <c r="A190" s="93" t="s">
        <v>105</v>
      </c>
      <c r="B190" s="94" t="s">
        <v>8</v>
      </c>
      <c r="C190" s="94">
        <f>C187*12</f>
        <v>60</v>
      </c>
      <c r="D190" s="95">
        <f>IF(C188&lt;=C187,E189,0)</f>
        <v>148220.15999999997</v>
      </c>
      <c r="E190" s="95">
        <f>IFERROR(D190/C190,0)</f>
        <v>2470.3359999999998</v>
      </c>
    </row>
    <row r="191" spans="1:10" x14ac:dyDescent="0.2">
      <c r="A191" s="106" t="s">
        <v>262</v>
      </c>
      <c r="B191" s="107"/>
      <c r="C191" s="107"/>
      <c r="D191" s="108"/>
      <c r="E191" s="109">
        <f>E185+E190</f>
        <v>7873.2410879999989</v>
      </c>
    </row>
    <row r="192" spans="1:10" ht="13.5" thickBot="1" x14ac:dyDescent="0.25">
      <c r="A192" s="93" t="s">
        <v>263</v>
      </c>
      <c r="B192" s="94" t="s">
        <v>10</v>
      </c>
      <c r="C192" s="77">
        <v>2</v>
      </c>
      <c r="D192" s="95">
        <f>E191</f>
        <v>7873.2410879999989</v>
      </c>
      <c r="E192" s="109">
        <f>C192*D192</f>
        <v>15746.482175999998</v>
      </c>
    </row>
    <row r="193" spans="1:10" ht="13.5" thickBot="1" x14ac:dyDescent="0.25">
      <c r="A193" s="245"/>
      <c r="B193" s="245"/>
      <c r="C193" s="305"/>
      <c r="D193" s="306" t="s">
        <v>196</v>
      </c>
      <c r="E193" s="307">
        <f>1+(1*10%)</f>
        <v>1.1000000000000001</v>
      </c>
      <c r="F193" s="20">
        <f>E192*E193</f>
        <v>17321.1303936</v>
      </c>
    </row>
    <row r="194" spans="1:10" ht="11.25" customHeight="1" thickBot="1" x14ac:dyDescent="0.25">
      <c r="C194" s="373" t="s">
        <v>300</v>
      </c>
      <c r="D194" s="374"/>
    </row>
    <row r="195" spans="1:10" ht="13.5" thickBot="1" x14ac:dyDescent="0.25">
      <c r="A195" s="97" t="s">
        <v>110</v>
      </c>
    </row>
    <row r="196" spans="1:10" ht="13.5" thickBot="1" x14ac:dyDescent="0.25">
      <c r="A196" s="99" t="s">
        <v>61</v>
      </c>
      <c r="B196" s="100" t="s">
        <v>62</v>
      </c>
      <c r="C196" s="100" t="s">
        <v>39</v>
      </c>
      <c r="D196" s="57" t="s">
        <v>239</v>
      </c>
      <c r="E196" s="101" t="s">
        <v>63</v>
      </c>
      <c r="F196" s="58" t="s">
        <v>64</v>
      </c>
      <c r="I196" s="76"/>
      <c r="J196" s="76"/>
    </row>
    <row r="197" spans="1:10" x14ac:dyDescent="0.2">
      <c r="A197" s="15" t="s">
        <v>108</v>
      </c>
      <c r="B197" s="16" t="s">
        <v>10</v>
      </c>
      <c r="C197" s="13">
        <v>1</v>
      </c>
      <c r="D197" s="17">
        <f>D181</f>
        <v>582209.6</v>
      </c>
      <c r="E197" s="17">
        <f>C197*D197</f>
        <v>582209.6</v>
      </c>
      <c r="F197" s="19"/>
      <c r="I197" s="76"/>
      <c r="J197" s="76"/>
    </row>
    <row r="198" spans="1:10" x14ac:dyDescent="0.2">
      <c r="A198" s="271" t="s">
        <v>326</v>
      </c>
      <c r="B198" s="16" t="s">
        <v>2</v>
      </c>
      <c r="C198" s="77">
        <v>14.75</v>
      </c>
      <c r="D198" s="17"/>
      <c r="E198" s="17"/>
      <c r="F198" s="19"/>
      <c r="I198" s="76"/>
      <c r="J198" s="76"/>
    </row>
    <row r="199" spans="1:10" x14ac:dyDescent="0.2">
      <c r="A199" s="15" t="s">
        <v>213</v>
      </c>
      <c r="B199" s="16" t="s">
        <v>33</v>
      </c>
      <c r="C199" s="132">
        <f>IFERROR(IF(C183&lt;=C182,E181-(C184/(100*C182)*C183)*E181,E181-E184),0)</f>
        <v>582209.6</v>
      </c>
      <c r="D199" s="17"/>
      <c r="E199" s="17"/>
      <c r="F199" s="19"/>
      <c r="I199" s="76"/>
      <c r="J199" s="76"/>
    </row>
    <row r="200" spans="1:10" x14ac:dyDescent="0.2">
      <c r="A200" s="15" t="s">
        <v>113</v>
      </c>
      <c r="B200" s="16" t="s">
        <v>33</v>
      </c>
      <c r="C200" s="75">
        <f>IFERROR(IF(C183&gt;=C182,C199,((((C199)-(E181-E184))*(((C182-C183)+1)/(2*(C182-C183))))+(E181-E184))),0)</f>
        <v>452539.87788799999</v>
      </c>
      <c r="D200" s="17"/>
      <c r="E200" s="17"/>
      <c r="F200" s="19"/>
      <c r="I200" s="76"/>
      <c r="J200" s="76"/>
    </row>
    <row r="201" spans="1:10" ht="13.5" thickBot="1" x14ac:dyDescent="0.25">
      <c r="A201" s="250" t="s">
        <v>114</v>
      </c>
      <c r="B201" s="251" t="s">
        <v>33</v>
      </c>
      <c r="C201" s="251"/>
      <c r="D201" s="253">
        <f>C198*C200/12/100</f>
        <v>5562.4693323733336</v>
      </c>
      <c r="E201" s="252">
        <f>D201</f>
        <v>5562.4693323733336</v>
      </c>
      <c r="F201" s="19"/>
      <c r="I201" s="76"/>
      <c r="J201" s="76"/>
    </row>
    <row r="202" spans="1:10" ht="13.5" thickTop="1" x14ac:dyDescent="0.2">
      <c r="A202" s="12" t="s">
        <v>109</v>
      </c>
      <c r="B202" s="13" t="s">
        <v>10</v>
      </c>
      <c r="C202" s="13">
        <f>C186</f>
        <v>1</v>
      </c>
      <c r="D202" s="14">
        <f>D186</f>
        <v>266200</v>
      </c>
      <c r="E202" s="14">
        <f>C202*D202</f>
        <v>266200</v>
      </c>
      <c r="F202" s="19"/>
      <c r="I202" s="76"/>
      <c r="J202" s="76"/>
    </row>
    <row r="203" spans="1:10" x14ac:dyDescent="0.2">
      <c r="A203" s="15" t="s">
        <v>215</v>
      </c>
      <c r="B203" s="16" t="s">
        <v>2</v>
      </c>
      <c r="C203" s="16">
        <f>C198</f>
        <v>14.75</v>
      </c>
      <c r="D203" s="17"/>
      <c r="E203" s="17"/>
      <c r="F203" s="19"/>
      <c r="I203" s="76"/>
      <c r="J203" s="76"/>
    </row>
    <row r="204" spans="1:10" x14ac:dyDescent="0.2">
      <c r="A204" s="15" t="s">
        <v>214</v>
      </c>
      <c r="B204" s="16" t="s">
        <v>33</v>
      </c>
      <c r="C204" s="132">
        <f>IFERROR(IF(C188&lt;=C187,E186-(C189/(100*C187)*C188)*E186,E186-E189),0)</f>
        <v>266200</v>
      </c>
      <c r="D204" s="17"/>
      <c r="E204" s="17"/>
      <c r="F204" s="19"/>
      <c r="I204" s="76"/>
      <c r="J204" s="76"/>
    </row>
    <row r="205" spans="1:10" x14ac:dyDescent="0.2">
      <c r="A205" s="15" t="s">
        <v>115</v>
      </c>
      <c r="B205" s="16" t="s">
        <v>33</v>
      </c>
      <c r="C205" s="75">
        <f>IFERROR(IF(C188&gt;=C187,C204,((((C204)-(E186-E189))*(((C187-C188)+1)/(2*(C187-C188))))+(E186-E189))),0)</f>
        <v>206911.93599999999</v>
      </c>
      <c r="D205" s="17"/>
      <c r="E205" s="17"/>
      <c r="F205" s="19"/>
      <c r="I205" s="76"/>
      <c r="J205" s="76"/>
    </row>
    <row r="206" spans="1:10" x14ac:dyDescent="0.2">
      <c r="A206" s="93" t="s">
        <v>112</v>
      </c>
      <c r="B206" s="94" t="s">
        <v>33</v>
      </c>
      <c r="C206" s="94"/>
      <c r="D206" s="103">
        <f>C203*C205/12/100</f>
        <v>2543.2925466666666</v>
      </c>
      <c r="E206" s="95">
        <f>D206</f>
        <v>2543.2925466666666</v>
      </c>
      <c r="F206" s="19"/>
      <c r="I206" s="76"/>
      <c r="J206" s="76"/>
    </row>
    <row r="207" spans="1:10" x14ac:dyDescent="0.2">
      <c r="A207" s="106" t="s">
        <v>262</v>
      </c>
      <c r="B207" s="107"/>
      <c r="C207" s="107"/>
      <c r="D207" s="108"/>
      <c r="E207" s="109">
        <f>E201+E206</f>
        <v>8105.7618790400002</v>
      </c>
      <c r="F207" s="19"/>
      <c r="I207" s="76"/>
      <c r="J207" s="76"/>
    </row>
    <row r="208" spans="1:10" ht="13.5" thickBot="1" x14ac:dyDescent="0.25">
      <c r="A208" s="93" t="s">
        <v>263</v>
      </c>
      <c r="B208" s="94" t="s">
        <v>10</v>
      </c>
      <c r="C208" s="16">
        <f>C192</f>
        <v>2</v>
      </c>
      <c r="D208" s="95">
        <f>E207</f>
        <v>8105.7618790400002</v>
      </c>
      <c r="E208" s="109">
        <f>C208*D208</f>
        <v>16211.52375808</v>
      </c>
      <c r="F208" s="19"/>
      <c r="I208" s="76"/>
      <c r="J208" s="76"/>
    </row>
    <row r="209" spans="1:10" ht="13.5" thickBot="1" x14ac:dyDescent="0.25">
      <c r="C209" s="107"/>
      <c r="D209" s="306" t="s">
        <v>196</v>
      </c>
      <c r="E209" s="307">
        <v>1.1000000000000001</v>
      </c>
      <c r="F209" s="20">
        <f>E208*E209</f>
        <v>17832.676133888002</v>
      </c>
      <c r="I209" s="76"/>
      <c r="J209" s="76"/>
    </row>
    <row r="210" spans="1:10" ht="11.25" customHeight="1" thickBot="1" x14ac:dyDescent="0.25">
      <c r="C210" s="373" t="s">
        <v>300</v>
      </c>
      <c r="D210" s="374"/>
      <c r="I210" s="76"/>
      <c r="J210" s="76"/>
    </row>
    <row r="211" spans="1:10" ht="13.5" thickBot="1" x14ac:dyDescent="0.25">
      <c r="A211" s="6" t="s">
        <v>393</v>
      </c>
      <c r="I211" s="76"/>
      <c r="J211" s="76"/>
    </row>
    <row r="212" spans="1:10" ht="13.5" thickBot="1" x14ac:dyDescent="0.25">
      <c r="A212" s="55" t="s">
        <v>61</v>
      </c>
      <c r="B212" s="56" t="s">
        <v>62</v>
      </c>
      <c r="C212" s="56" t="s">
        <v>39</v>
      </c>
      <c r="D212" s="57" t="s">
        <v>239</v>
      </c>
      <c r="E212" s="57" t="s">
        <v>63</v>
      </c>
      <c r="F212" s="58" t="s">
        <v>64</v>
      </c>
      <c r="I212" s="76"/>
      <c r="J212" s="76"/>
    </row>
    <row r="213" spans="1:10" x14ac:dyDescent="0.2">
      <c r="A213" s="12" t="s">
        <v>12</v>
      </c>
      <c r="B213" s="13" t="s">
        <v>10</v>
      </c>
      <c r="C213" s="342">
        <v>3</v>
      </c>
      <c r="D213" s="14">
        <f>0.03*($E$181)</f>
        <v>17466.288</v>
      </c>
      <c r="E213" s="14">
        <f>C213*D213</f>
        <v>52398.864000000001</v>
      </c>
      <c r="I213" s="76"/>
      <c r="J213" s="76"/>
    </row>
    <row r="214" spans="1:10" x14ac:dyDescent="0.2">
      <c r="A214" s="15" t="s">
        <v>195</v>
      </c>
      <c r="B214" s="16" t="s">
        <v>10</v>
      </c>
      <c r="C214" s="14">
        <f>C213</f>
        <v>3</v>
      </c>
      <c r="D214" s="80">
        <v>473.76</v>
      </c>
      <c r="E214" s="17">
        <f>C214*D214</f>
        <v>1421.28</v>
      </c>
      <c r="I214" s="76"/>
      <c r="J214" s="76"/>
    </row>
    <row r="215" spans="1:10" x14ac:dyDescent="0.2">
      <c r="A215" s="15" t="s">
        <v>13</v>
      </c>
      <c r="B215" s="16" t="s">
        <v>10</v>
      </c>
      <c r="C215" s="14">
        <f>C213</f>
        <v>3</v>
      </c>
      <c r="D215" s="347">
        <f>D197*0.01</f>
        <v>5822.0959999999995</v>
      </c>
      <c r="E215" s="17">
        <f>C215*D215</f>
        <v>17466.288</v>
      </c>
      <c r="F215" s="30"/>
      <c r="I215" s="76"/>
      <c r="J215" s="76"/>
    </row>
    <row r="216" spans="1:10" ht="13.5" thickBot="1" x14ac:dyDescent="0.25">
      <c r="A216" s="93" t="s">
        <v>14</v>
      </c>
      <c r="B216" s="94" t="s">
        <v>8</v>
      </c>
      <c r="C216" s="94">
        <v>12</v>
      </c>
      <c r="D216" s="95">
        <f>SUM(E213:E215)</f>
        <v>71286.432000000001</v>
      </c>
      <c r="E216" s="95">
        <f>D216/C216</f>
        <v>5940.5360000000001</v>
      </c>
      <c r="I216" s="76"/>
      <c r="J216" s="76"/>
    </row>
    <row r="217" spans="1:10" ht="13.5" thickBot="1" x14ac:dyDescent="0.25">
      <c r="D217" s="112" t="s">
        <v>196</v>
      </c>
      <c r="E217" s="48">
        <f>$B$50</f>
        <v>1</v>
      </c>
      <c r="F217" s="113">
        <f>E216*E217</f>
        <v>5940.5360000000001</v>
      </c>
      <c r="I217" s="76"/>
      <c r="J217" s="76"/>
    </row>
    <row r="218" spans="1:10" x14ac:dyDescent="0.2">
      <c r="A218" s="8" t="s">
        <v>50</v>
      </c>
      <c r="B218" s="31"/>
      <c r="I218" s="76"/>
      <c r="J218" s="76"/>
    </row>
    <row r="219" spans="1:10" x14ac:dyDescent="0.2">
      <c r="B219" s="31"/>
      <c r="I219" s="76"/>
      <c r="J219" s="76"/>
    </row>
    <row r="220" spans="1:10" x14ac:dyDescent="0.2">
      <c r="A220" s="93" t="s">
        <v>117</v>
      </c>
      <c r="B220" s="325">
        <f>J230</f>
        <v>3572.4</v>
      </c>
      <c r="C220" s="350" t="s">
        <v>350</v>
      </c>
      <c r="D220" s="351" t="s">
        <v>351</v>
      </c>
      <c r="E220" s="352" t="s">
        <v>353</v>
      </c>
      <c r="F220" s="351" t="s">
        <v>352</v>
      </c>
      <c r="I220" s="76"/>
      <c r="J220" s="76"/>
    </row>
    <row r="221" spans="1:10" ht="13.5" thickBot="1" x14ac:dyDescent="0.25">
      <c r="B221" s="31"/>
      <c r="I221" s="76"/>
      <c r="J221" s="76"/>
    </row>
    <row r="222" spans="1:10" ht="13.5" thickBot="1" x14ac:dyDescent="0.25">
      <c r="A222" s="55" t="s">
        <v>61</v>
      </c>
      <c r="B222" s="56" t="s">
        <v>62</v>
      </c>
      <c r="C222" s="56" t="s">
        <v>261</v>
      </c>
      <c r="D222" s="57" t="s">
        <v>239</v>
      </c>
      <c r="E222" s="57" t="s">
        <v>63</v>
      </c>
      <c r="F222" s="58" t="s">
        <v>64</v>
      </c>
      <c r="I222" s="76"/>
      <c r="J222" s="76"/>
    </row>
    <row r="223" spans="1:10" x14ac:dyDescent="0.2">
      <c r="A223" s="270" t="s">
        <v>308</v>
      </c>
      <c r="B223" s="13" t="s">
        <v>15</v>
      </c>
      <c r="C223" s="87">
        <v>1.76</v>
      </c>
      <c r="D223" s="88">
        <f>6.18+0.11</f>
        <v>6.29</v>
      </c>
      <c r="E223" s="14"/>
      <c r="I223" s="76"/>
      <c r="J223" s="76"/>
    </row>
    <row r="224" spans="1:10" x14ac:dyDescent="0.2">
      <c r="A224" s="15" t="s">
        <v>16</v>
      </c>
      <c r="B224" s="16" t="s">
        <v>17</v>
      </c>
      <c r="C224" s="85">
        <f>B220</f>
        <v>3572.4</v>
      </c>
      <c r="D224" s="244">
        <f>IFERROR(+D223/C223,"-")</f>
        <v>3.5738636363636362</v>
      </c>
      <c r="E224" s="17">
        <f>IFERROR(C224*D224,"-")</f>
        <v>12767.270454545454</v>
      </c>
      <c r="I224" s="76"/>
      <c r="J224" s="76"/>
    </row>
    <row r="225" spans="1:10" x14ac:dyDescent="0.2">
      <c r="A225" s="15" t="s">
        <v>240</v>
      </c>
      <c r="B225" s="16" t="s">
        <v>18</v>
      </c>
      <c r="C225" s="90">
        <v>2.4</v>
      </c>
      <c r="D225" s="80">
        <v>21.25</v>
      </c>
      <c r="E225" s="17"/>
      <c r="G225" s="312" t="s">
        <v>315</v>
      </c>
      <c r="H225" s="313" t="s">
        <v>316</v>
      </c>
      <c r="I225" s="314" t="s">
        <v>317</v>
      </c>
      <c r="J225" s="314" t="s">
        <v>318</v>
      </c>
    </row>
    <row r="226" spans="1:10" x14ac:dyDescent="0.2">
      <c r="A226" s="15" t="s">
        <v>19</v>
      </c>
      <c r="B226" s="16" t="s">
        <v>17</v>
      </c>
      <c r="C226" s="85">
        <f>C224</f>
        <v>3572.4</v>
      </c>
      <c r="D226" s="241">
        <f>+C225*D225/1000</f>
        <v>5.0999999999999997E-2</v>
      </c>
      <c r="E226" s="17">
        <f>C226*D226</f>
        <v>182.19239999999999</v>
      </c>
      <c r="G226" s="315" t="s">
        <v>319</v>
      </c>
      <c r="H226" s="6">
        <v>46</v>
      </c>
      <c r="I226" s="316">
        <v>26</v>
      </c>
      <c r="J226" s="316">
        <f>H226*I226</f>
        <v>1196</v>
      </c>
    </row>
    <row r="227" spans="1:10" x14ac:dyDescent="0.2">
      <c r="A227" s="15" t="s">
        <v>241</v>
      </c>
      <c r="B227" s="16" t="s">
        <v>18</v>
      </c>
      <c r="C227" s="90">
        <v>0.65</v>
      </c>
      <c r="D227" s="80">
        <v>23</v>
      </c>
      <c r="E227" s="17"/>
      <c r="G227" s="315" t="s">
        <v>320</v>
      </c>
      <c r="H227" s="6">
        <v>34</v>
      </c>
      <c r="I227" s="316">
        <v>26</v>
      </c>
      <c r="J227" s="316">
        <f t="shared" ref="J227:J229" si="7">H227*I227</f>
        <v>884</v>
      </c>
    </row>
    <row r="228" spans="1:10" x14ac:dyDescent="0.2">
      <c r="A228" s="15" t="s">
        <v>20</v>
      </c>
      <c r="B228" s="16" t="s">
        <v>17</v>
      </c>
      <c r="C228" s="85">
        <f>C224</f>
        <v>3572.4</v>
      </c>
      <c r="D228" s="241">
        <f>+C227*D227/1000</f>
        <v>1.4950000000000001E-2</v>
      </c>
      <c r="E228" s="17">
        <f>C228*D228</f>
        <v>53.407380000000003</v>
      </c>
      <c r="G228" s="317" t="s">
        <v>321</v>
      </c>
      <c r="H228" s="318">
        <v>43</v>
      </c>
      <c r="I228" s="319">
        <v>26</v>
      </c>
      <c r="J228" s="319">
        <f t="shared" si="7"/>
        <v>1118</v>
      </c>
    </row>
    <row r="229" spans="1:10" ht="13.5" thickBot="1" x14ac:dyDescent="0.25">
      <c r="A229" s="15" t="s">
        <v>242</v>
      </c>
      <c r="B229" s="16" t="s">
        <v>18</v>
      </c>
      <c r="C229" s="90">
        <v>9.33</v>
      </c>
      <c r="D229" s="80">
        <v>27.5</v>
      </c>
      <c r="E229" s="17"/>
      <c r="G229" s="324" t="s">
        <v>323</v>
      </c>
      <c r="H229" s="321">
        <f>(3.6*2)*2</f>
        <v>14.4</v>
      </c>
      <c r="I229" s="322">
        <v>26</v>
      </c>
      <c r="J229" s="319">
        <f t="shared" si="7"/>
        <v>374.40000000000003</v>
      </c>
    </row>
    <row r="230" spans="1:10" ht="14.25" thickTop="1" thickBot="1" x14ac:dyDescent="0.25">
      <c r="A230" s="15" t="s">
        <v>21</v>
      </c>
      <c r="B230" s="16" t="s">
        <v>17</v>
      </c>
      <c r="C230" s="85">
        <f>C224</f>
        <v>3572.4</v>
      </c>
      <c r="D230" s="241">
        <f>+C229*D229/1000</f>
        <v>0.256575</v>
      </c>
      <c r="E230" s="17">
        <f>C230*D230</f>
        <v>916.58852999999999</v>
      </c>
      <c r="G230" s="320" t="s">
        <v>322</v>
      </c>
      <c r="H230" s="321"/>
      <c r="I230" s="322"/>
      <c r="J230" s="323">
        <f>SUM(J226:J229)</f>
        <v>3572.4</v>
      </c>
    </row>
    <row r="231" spans="1:10" ht="13.5" thickTop="1" x14ac:dyDescent="0.2">
      <c r="A231" s="15" t="s">
        <v>22</v>
      </c>
      <c r="B231" s="16" t="s">
        <v>23</v>
      </c>
      <c r="C231" s="90">
        <v>3.5</v>
      </c>
      <c r="D231" s="80">
        <v>14</v>
      </c>
      <c r="E231" s="17"/>
      <c r="G231" s="102"/>
      <c r="I231" s="76"/>
      <c r="J231" s="76"/>
    </row>
    <row r="232" spans="1:10" x14ac:dyDescent="0.2">
      <c r="A232" s="15" t="s">
        <v>24</v>
      </c>
      <c r="B232" s="16" t="s">
        <v>17</v>
      </c>
      <c r="C232" s="85">
        <f>C224</f>
        <v>3572.4</v>
      </c>
      <c r="D232" s="241">
        <f>+C231*D231/1000</f>
        <v>4.9000000000000002E-2</v>
      </c>
      <c r="E232" s="17">
        <f>C232*D232</f>
        <v>175.04760000000002</v>
      </c>
      <c r="G232" s="102"/>
      <c r="I232" s="76"/>
      <c r="J232" s="76"/>
    </row>
    <row r="233" spans="1:10" ht="13.5" thickBot="1" x14ac:dyDescent="0.25">
      <c r="A233" s="93" t="s">
        <v>260</v>
      </c>
      <c r="B233" s="94" t="s">
        <v>118</v>
      </c>
      <c r="C233" s="242"/>
      <c r="D233" s="243">
        <f>IFERROR(D224+D226+D228+D230+D232,0)</f>
        <v>3.9453886363636363</v>
      </c>
      <c r="E233" s="17"/>
      <c r="G233" s="102"/>
      <c r="I233" s="76"/>
      <c r="J233" s="76"/>
    </row>
    <row r="234" spans="1:10" ht="13.5" thickBot="1" x14ac:dyDescent="0.25">
      <c r="F234" s="20">
        <f>SUM(E223:E232)</f>
        <v>14094.506364545456</v>
      </c>
      <c r="I234" s="76"/>
      <c r="J234" s="76"/>
    </row>
    <row r="235" spans="1:10" ht="11.25" customHeight="1" x14ac:dyDescent="0.2">
      <c r="I235" s="76"/>
      <c r="J235" s="76"/>
    </row>
    <row r="236" spans="1:10" ht="13.5" thickBot="1" x14ac:dyDescent="0.25">
      <c r="A236" s="8" t="s">
        <v>51</v>
      </c>
      <c r="I236" s="76"/>
      <c r="J236" s="76"/>
    </row>
    <row r="237" spans="1:10" ht="13.5" thickBot="1" x14ac:dyDescent="0.25">
      <c r="A237" s="55" t="s">
        <v>61</v>
      </c>
      <c r="B237" s="56" t="s">
        <v>62</v>
      </c>
      <c r="C237" s="56" t="s">
        <v>39</v>
      </c>
      <c r="D237" s="57" t="s">
        <v>239</v>
      </c>
      <c r="E237" s="57" t="s">
        <v>63</v>
      </c>
      <c r="F237" s="58" t="s">
        <v>64</v>
      </c>
      <c r="I237" s="76"/>
      <c r="J237" s="76"/>
    </row>
    <row r="238" spans="1:10" ht="13.5" thickBot="1" x14ac:dyDescent="0.25">
      <c r="A238" s="12" t="s">
        <v>116</v>
      </c>
      <c r="B238" s="13" t="s">
        <v>118</v>
      </c>
      <c r="C238" s="85">
        <f>C224</f>
        <v>3572.4</v>
      </c>
      <c r="D238" s="78">
        <v>1.35</v>
      </c>
      <c r="E238" s="14">
        <f>C238*D238</f>
        <v>4822.7400000000007</v>
      </c>
      <c r="I238" s="76"/>
      <c r="J238" s="76"/>
    </row>
    <row r="239" spans="1:10" ht="13.5" thickBot="1" x14ac:dyDescent="0.25">
      <c r="F239" s="20">
        <f>E238</f>
        <v>4822.7400000000007</v>
      </c>
      <c r="I239" s="76"/>
      <c r="J239" s="76"/>
    </row>
    <row r="240" spans="1:10" ht="11.25" customHeight="1" x14ac:dyDescent="0.2">
      <c r="I240" s="76"/>
      <c r="J240" s="76"/>
    </row>
    <row r="241" spans="1:10" ht="13.5" thickBot="1" x14ac:dyDescent="0.25">
      <c r="A241" s="8" t="s">
        <v>59</v>
      </c>
      <c r="I241" s="76"/>
      <c r="J241" s="76"/>
    </row>
    <row r="242" spans="1:10" ht="13.5" thickBot="1" x14ac:dyDescent="0.25">
      <c r="A242" s="55" t="s">
        <v>61</v>
      </c>
      <c r="B242" s="56" t="s">
        <v>62</v>
      </c>
      <c r="C242" s="56" t="s">
        <v>39</v>
      </c>
      <c r="D242" s="57" t="s">
        <v>239</v>
      </c>
      <c r="E242" s="57" t="s">
        <v>63</v>
      </c>
      <c r="F242" s="58" t="s">
        <v>64</v>
      </c>
      <c r="I242" s="76"/>
      <c r="J242" s="76"/>
    </row>
    <row r="243" spans="1:10" x14ac:dyDescent="0.2">
      <c r="A243" s="270" t="s">
        <v>292</v>
      </c>
      <c r="B243" s="13" t="s">
        <v>10</v>
      </c>
      <c r="C243" s="86">
        <v>10</v>
      </c>
      <c r="D243" s="78">
        <v>2650</v>
      </c>
      <c r="E243" s="14">
        <f>C243*D243</f>
        <v>26500</v>
      </c>
      <c r="I243" s="76"/>
      <c r="J243" s="76"/>
    </row>
    <row r="244" spans="1:10" x14ac:dyDescent="0.2">
      <c r="A244" s="12" t="s">
        <v>119</v>
      </c>
      <c r="B244" s="13" t="s">
        <v>10</v>
      </c>
      <c r="C244" s="86">
        <v>6</v>
      </c>
      <c r="D244" s="96"/>
      <c r="E244" s="14"/>
      <c r="I244" s="76"/>
      <c r="J244" s="76"/>
    </row>
    <row r="245" spans="1:10" x14ac:dyDescent="0.2">
      <c r="A245" s="12" t="s">
        <v>69</v>
      </c>
      <c r="B245" s="13" t="s">
        <v>10</v>
      </c>
      <c r="C245" s="14">
        <f>C243*C244</f>
        <v>60</v>
      </c>
      <c r="D245" s="346">
        <f>D243*0.26</f>
        <v>689</v>
      </c>
      <c r="E245" s="14">
        <f>C245*D245</f>
        <v>41340</v>
      </c>
      <c r="I245" s="76"/>
      <c r="J245" s="76"/>
    </row>
    <row r="246" spans="1:10" x14ac:dyDescent="0.2">
      <c r="A246" s="271" t="s">
        <v>293</v>
      </c>
      <c r="B246" s="16" t="s">
        <v>25</v>
      </c>
      <c r="C246" s="89">
        <v>60000</v>
      </c>
      <c r="D246" s="17">
        <f>E243+E245</f>
        <v>67840</v>
      </c>
      <c r="E246" s="17">
        <f>IFERROR(D246/C246,"-")</f>
        <v>1.1306666666666667</v>
      </c>
      <c r="I246" s="76"/>
      <c r="J246" s="76"/>
    </row>
    <row r="247" spans="1:10" ht="13.5" thickBot="1" x14ac:dyDescent="0.25">
      <c r="A247" s="15" t="s">
        <v>53</v>
      </c>
      <c r="B247" s="16" t="s">
        <v>17</v>
      </c>
      <c r="C247" s="85">
        <f>B220</f>
        <v>3572.4</v>
      </c>
      <c r="D247" s="17">
        <f>E246</f>
        <v>1.1306666666666667</v>
      </c>
      <c r="E247" s="17">
        <f>IFERROR(C247*D247,0)</f>
        <v>4039.1936000000001</v>
      </c>
      <c r="I247" s="76"/>
      <c r="J247" s="76"/>
    </row>
    <row r="248" spans="1:10" ht="13.5" thickBot="1" x14ac:dyDescent="0.25">
      <c r="F248" s="20">
        <f>E247</f>
        <v>4039.1936000000001</v>
      </c>
      <c r="I248" s="76"/>
      <c r="J248" s="76"/>
    </row>
    <row r="249" spans="1:10" ht="11.25" customHeight="1" x14ac:dyDescent="0.2">
      <c r="I249" s="76"/>
      <c r="J249" s="76"/>
    </row>
    <row r="250" spans="1:10" ht="11.25" customHeight="1" thickBot="1" x14ac:dyDescent="0.25">
      <c r="G250" s="8"/>
    </row>
    <row r="251" spans="1:10" ht="13.5" thickBot="1" x14ac:dyDescent="0.25">
      <c r="A251" s="23" t="s">
        <v>227</v>
      </c>
      <c r="B251" s="24"/>
      <c r="C251" s="24"/>
      <c r="D251" s="25"/>
      <c r="E251" s="26"/>
      <c r="F251" s="20">
        <f>+SUM(F181:F250)</f>
        <v>64050.782492033461</v>
      </c>
      <c r="G251" s="8"/>
    </row>
    <row r="252" spans="1:10" ht="11.25" customHeight="1" x14ac:dyDescent="0.2">
      <c r="G252" s="8"/>
    </row>
    <row r="253" spans="1:10" x14ac:dyDescent="0.2">
      <c r="A253" s="10" t="s">
        <v>73</v>
      </c>
      <c r="B253" s="10"/>
      <c r="C253" s="10"/>
      <c r="D253" s="33"/>
      <c r="E253" s="33"/>
      <c r="F253" s="32"/>
      <c r="G253" s="8"/>
    </row>
    <row r="254" spans="1:10" ht="11.25" customHeight="1" thickBot="1" x14ac:dyDescent="0.25">
      <c r="G254" s="8"/>
    </row>
    <row r="255" spans="1:10" ht="13.5" thickBot="1" x14ac:dyDescent="0.25">
      <c r="A255" s="55" t="s">
        <v>61</v>
      </c>
      <c r="B255" s="56" t="s">
        <v>62</v>
      </c>
      <c r="C255" s="56" t="s">
        <v>39</v>
      </c>
      <c r="D255" s="57" t="s">
        <v>239</v>
      </c>
      <c r="E255" s="57" t="s">
        <v>63</v>
      </c>
      <c r="F255" s="58" t="s">
        <v>64</v>
      </c>
      <c r="G255" s="8"/>
    </row>
    <row r="256" spans="1:10" x14ac:dyDescent="0.2">
      <c r="A256" s="15" t="s">
        <v>70</v>
      </c>
      <c r="B256" s="16" t="s">
        <v>10</v>
      </c>
      <c r="C256" s="91">
        <v>0.16666666666666666</v>
      </c>
      <c r="D256" s="78">
        <v>70</v>
      </c>
      <c r="E256" s="17">
        <f>C256*D256</f>
        <v>11.666666666666666</v>
      </c>
      <c r="F256" s="50"/>
      <c r="G256" s="8"/>
    </row>
    <row r="257" spans="1:10" x14ac:dyDescent="0.2">
      <c r="A257" s="15" t="s">
        <v>27</v>
      </c>
      <c r="B257" s="16" t="s">
        <v>10</v>
      </c>
      <c r="C257" s="91">
        <v>4</v>
      </c>
      <c r="D257" s="78">
        <v>36</v>
      </c>
      <c r="E257" s="17">
        <f>C257*D257</f>
        <v>144</v>
      </c>
      <c r="F257" s="50"/>
      <c r="G257" s="8"/>
    </row>
    <row r="258" spans="1:10" x14ac:dyDescent="0.2">
      <c r="A258" s="15" t="s">
        <v>28</v>
      </c>
      <c r="B258" s="16" t="s">
        <v>10</v>
      </c>
      <c r="C258" s="91">
        <v>2</v>
      </c>
      <c r="D258" s="78">
        <v>23</v>
      </c>
      <c r="E258" s="17">
        <f>C258*D258</f>
        <v>46</v>
      </c>
      <c r="F258" s="50"/>
      <c r="G258" s="8"/>
    </row>
    <row r="259" spans="1:10" x14ac:dyDescent="0.2">
      <c r="A259" s="15" t="s">
        <v>55</v>
      </c>
      <c r="B259" s="16" t="s">
        <v>56</v>
      </c>
      <c r="C259" s="91">
        <f>2/6</f>
        <v>0.33333333333333331</v>
      </c>
      <c r="D259" s="78">
        <v>320</v>
      </c>
      <c r="E259" s="17">
        <f>C259*D259</f>
        <v>106.66666666666666</v>
      </c>
      <c r="F259" s="50"/>
      <c r="G259" s="8"/>
    </row>
    <row r="260" spans="1:10" ht="13.5" thickBot="1" x14ac:dyDescent="0.25">
      <c r="A260" s="15" t="s">
        <v>58</v>
      </c>
      <c r="B260" s="16" t="s">
        <v>56</v>
      </c>
      <c r="C260" s="91">
        <f>2/6</f>
        <v>0.33333333333333331</v>
      </c>
      <c r="D260" s="78">
        <v>160</v>
      </c>
      <c r="E260" s="17">
        <f>C260*D260</f>
        <v>53.333333333333329</v>
      </c>
      <c r="F260" s="50"/>
      <c r="G260" s="8"/>
    </row>
    <row r="261" spans="1:10" ht="13.5" thickBot="1" x14ac:dyDescent="0.25">
      <c r="A261" s="10"/>
      <c r="B261" s="10"/>
      <c r="C261" s="10"/>
      <c r="D261" s="10"/>
      <c r="E261" s="33"/>
      <c r="F261" s="20">
        <f>SUM(E256:E260)</f>
        <v>361.66666666666663</v>
      </c>
      <c r="G261" s="8"/>
    </row>
    <row r="262" spans="1:10" ht="11.25" customHeight="1" thickBot="1" x14ac:dyDescent="0.25">
      <c r="G262" s="8"/>
    </row>
    <row r="263" spans="1:10" ht="13.5" thickBot="1" x14ac:dyDescent="0.25">
      <c r="A263" s="23" t="s">
        <v>228</v>
      </c>
      <c r="B263" s="24"/>
      <c r="C263" s="24"/>
      <c r="D263" s="25"/>
      <c r="E263" s="26"/>
      <c r="F263" s="20">
        <f>+F261</f>
        <v>361.66666666666663</v>
      </c>
      <c r="G263" s="8"/>
    </row>
    <row r="264" spans="1:10" ht="11.25" customHeight="1" x14ac:dyDescent="0.2">
      <c r="G264" s="8"/>
    </row>
    <row r="265" spans="1:10" x14ac:dyDescent="0.2">
      <c r="A265" s="10" t="s">
        <v>299</v>
      </c>
      <c r="B265" s="10"/>
      <c r="C265" s="10"/>
      <c r="D265" s="33"/>
      <c r="E265" s="33"/>
      <c r="F265" s="32"/>
    </row>
    <row r="266" spans="1:10" x14ac:dyDescent="0.2">
      <c r="A266" s="10" t="s">
        <v>389</v>
      </c>
      <c r="B266" s="10"/>
      <c r="C266" s="10"/>
      <c r="D266" s="33"/>
      <c r="E266" s="33"/>
      <c r="F266" s="32"/>
    </row>
    <row r="267" spans="1:10" ht="11.25" customHeight="1" thickBot="1" x14ac:dyDescent="0.25"/>
    <row r="268" spans="1:10" ht="13.5" thickBot="1" x14ac:dyDescent="0.25">
      <c r="A268" s="55" t="s">
        <v>61</v>
      </c>
      <c r="B268" s="56" t="s">
        <v>62</v>
      </c>
      <c r="C268" s="56" t="s">
        <v>39</v>
      </c>
      <c r="D268" s="57" t="s">
        <v>239</v>
      </c>
      <c r="E268" s="57" t="s">
        <v>63</v>
      </c>
      <c r="F268" s="58" t="s">
        <v>64</v>
      </c>
    </row>
    <row r="269" spans="1:10" x14ac:dyDescent="0.2">
      <c r="A269" s="271" t="s">
        <v>327</v>
      </c>
      <c r="B269" s="49" t="s">
        <v>10</v>
      </c>
      <c r="C269" s="354">
        <v>1</v>
      </c>
      <c r="D269" s="80">
        <f>(1349.1+1499.89+1797.19)/3</f>
        <v>1548.7266666666667</v>
      </c>
      <c r="E269" s="17">
        <f>+D269*C269</f>
        <v>1548.7266666666667</v>
      </c>
      <c r="F269" s="50"/>
    </row>
    <row r="270" spans="1:10" x14ac:dyDescent="0.2">
      <c r="A270" s="271" t="s">
        <v>377</v>
      </c>
      <c r="B270" s="16" t="s">
        <v>101</v>
      </c>
      <c r="C270" s="77">
        <v>5</v>
      </c>
      <c r="D270" s="75"/>
      <c r="E270" s="17"/>
      <c r="G270" s="8"/>
    </row>
    <row r="271" spans="1:10" x14ac:dyDescent="0.2">
      <c r="A271" s="271" t="s">
        <v>378</v>
      </c>
      <c r="B271" s="16" t="s">
        <v>101</v>
      </c>
      <c r="C271" s="77">
        <v>0</v>
      </c>
      <c r="D271" s="17"/>
      <c r="E271" s="17"/>
      <c r="F271" s="19"/>
      <c r="I271" s="76"/>
      <c r="J271" s="76"/>
    </row>
    <row r="272" spans="1:10" x14ac:dyDescent="0.2">
      <c r="A272" s="271" t="s">
        <v>379</v>
      </c>
      <c r="B272" s="16" t="s">
        <v>2</v>
      </c>
      <c r="C272" s="126">
        <v>100</v>
      </c>
      <c r="D272" s="17">
        <f>E269</f>
        <v>1548.7266666666667</v>
      </c>
      <c r="E272" s="17">
        <f>C272*D272/100</f>
        <v>1548.7266666666665</v>
      </c>
    </row>
    <row r="273" spans="1:10" ht="13.5" thickBot="1" x14ac:dyDescent="0.25">
      <c r="A273" s="250" t="s">
        <v>380</v>
      </c>
      <c r="B273" s="251" t="s">
        <v>8</v>
      </c>
      <c r="C273" s="251">
        <f>C270*12</f>
        <v>60</v>
      </c>
      <c r="D273" s="252">
        <f>IF(C271&lt;=C270,E272,0)</f>
        <v>1548.7266666666665</v>
      </c>
      <c r="E273" s="252">
        <f>IFERROR(D273/C273,0)</f>
        <v>25.812111111111108</v>
      </c>
    </row>
    <row r="274" spans="1:10" ht="13.5" thickTop="1" x14ac:dyDescent="0.2">
      <c r="A274" s="106" t="s">
        <v>381</v>
      </c>
      <c r="B274" s="107"/>
      <c r="C274" s="107"/>
      <c r="D274" s="108"/>
      <c r="E274" s="109">
        <f>E273</f>
        <v>25.812111111111108</v>
      </c>
      <c r="F274" s="19"/>
      <c r="I274" s="76"/>
      <c r="J274" s="76"/>
    </row>
    <row r="275" spans="1:10" ht="15.75" customHeight="1" x14ac:dyDescent="0.2">
      <c r="A275" s="349" t="s">
        <v>348</v>
      </c>
      <c r="B275" s="49" t="s">
        <v>10</v>
      </c>
      <c r="C275" s="64">
        <v>1</v>
      </c>
      <c r="D275" s="80">
        <v>1.25</v>
      </c>
      <c r="E275" s="17">
        <f>D275*26*C275</f>
        <v>32.5</v>
      </c>
      <c r="F275" s="50"/>
    </row>
    <row r="276" spans="1:10" ht="13.5" thickBot="1" x14ac:dyDescent="0.25">
      <c r="A276" s="93" t="s">
        <v>382</v>
      </c>
      <c r="B276" s="94" t="s">
        <v>10</v>
      </c>
      <c r="C276" s="16">
        <v>300</v>
      </c>
      <c r="D276" s="95">
        <f>E274+E275</f>
        <v>58.312111111111108</v>
      </c>
      <c r="E276" s="109">
        <f>C276*D276</f>
        <v>17493.633333333331</v>
      </c>
      <c r="F276" s="19"/>
      <c r="I276" s="76"/>
      <c r="J276" s="76"/>
    </row>
    <row r="277" spans="1:10" ht="13.5" thickBot="1" x14ac:dyDescent="0.25">
      <c r="A277" s="11"/>
      <c r="B277" s="11"/>
      <c r="C277" s="11"/>
      <c r="D277" s="112" t="s">
        <v>196</v>
      </c>
      <c r="E277" s="48">
        <f>$B$50</f>
        <v>1</v>
      </c>
      <c r="F277" s="20">
        <f>E276</f>
        <v>17493.633333333331</v>
      </c>
    </row>
    <row r="278" spans="1:10" x14ac:dyDescent="0.2">
      <c r="A278" s="11"/>
      <c r="B278" s="11"/>
      <c r="C278" s="11"/>
      <c r="D278" s="112"/>
      <c r="E278" s="54"/>
      <c r="F278" s="353"/>
    </row>
    <row r="279" spans="1:10" s="6" customFormat="1" ht="13.5" thickBot="1" x14ac:dyDescent="0.25">
      <c r="A279" s="10" t="s">
        <v>376</v>
      </c>
      <c r="B279" s="313"/>
      <c r="C279" s="313"/>
      <c r="D279" s="310"/>
      <c r="E279" s="329"/>
      <c r="F279" s="32"/>
      <c r="G279" s="326"/>
    </row>
    <row r="280" spans="1:10" ht="13.5" thickBot="1" x14ac:dyDescent="0.25">
      <c r="A280" s="55" t="s">
        <v>61</v>
      </c>
      <c r="B280" s="56" t="s">
        <v>62</v>
      </c>
      <c r="C280" s="56" t="s">
        <v>39</v>
      </c>
      <c r="D280" s="57" t="s">
        <v>239</v>
      </c>
      <c r="E280" s="57" t="s">
        <v>63</v>
      </c>
      <c r="F280" s="58" t="s">
        <v>64</v>
      </c>
    </row>
    <row r="281" spans="1:10" x14ac:dyDescent="0.2">
      <c r="A281" s="270" t="s">
        <v>327</v>
      </c>
      <c r="B281" s="13" t="s">
        <v>10</v>
      </c>
      <c r="C281" s="13">
        <v>1</v>
      </c>
      <c r="D281" s="14">
        <f>D269</f>
        <v>1548.7266666666667</v>
      </c>
      <c r="E281" s="14">
        <f>C281*D281</f>
        <v>1548.7266666666667</v>
      </c>
      <c r="F281" s="19"/>
      <c r="I281" s="76"/>
      <c r="J281" s="76"/>
    </row>
    <row r="282" spans="1:10" x14ac:dyDescent="0.2">
      <c r="A282" s="271" t="s">
        <v>383</v>
      </c>
      <c r="B282" s="16" t="s">
        <v>2</v>
      </c>
      <c r="C282" s="77">
        <f>C198</f>
        <v>14.75</v>
      </c>
      <c r="D282" s="17"/>
      <c r="E282" s="17"/>
      <c r="F282" s="19"/>
      <c r="I282" s="76"/>
      <c r="J282" s="76"/>
    </row>
    <row r="283" spans="1:10" x14ac:dyDescent="0.2">
      <c r="A283" s="271" t="s">
        <v>384</v>
      </c>
      <c r="B283" s="16" t="s">
        <v>33</v>
      </c>
      <c r="C283" s="132">
        <f>IFERROR(IF(C271&lt;=C270,E269-(C272/(100*C270)*C271)*E269,E269-E272),0)</f>
        <v>1548.7266666666667</v>
      </c>
      <c r="D283" s="17"/>
      <c r="E283" s="17"/>
      <c r="F283" s="19"/>
      <c r="I283" s="76"/>
      <c r="J283" s="76"/>
    </row>
    <row r="284" spans="1:10" x14ac:dyDescent="0.2">
      <c r="A284" s="271" t="s">
        <v>385</v>
      </c>
      <c r="B284" s="16" t="s">
        <v>33</v>
      </c>
      <c r="C284" s="75">
        <f>IFERROR(IF(C271&gt;=C270,C283,((((C283)-(E269-E272))*(((C270-C271)+1)/(2*(C270-C271))))+(E269-E272))),0)</f>
        <v>929.2360000000001</v>
      </c>
      <c r="D284" s="17"/>
      <c r="E284" s="17"/>
      <c r="F284" s="19"/>
      <c r="I284" s="76"/>
      <c r="J284" s="76"/>
    </row>
    <row r="285" spans="1:10" x14ac:dyDescent="0.2">
      <c r="A285" s="93" t="s">
        <v>386</v>
      </c>
      <c r="B285" s="94" t="s">
        <v>33</v>
      </c>
      <c r="C285" s="94"/>
      <c r="D285" s="103">
        <f>C282*C284/12/100</f>
        <v>11.421859166666668</v>
      </c>
      <c r="E285" s="95">
        <f>D285</f>
        <v>11.421859166666668</v>
      </c>
      <c r="F285" s="19"/>
      <c r="I285" s="76"/>
      <c r="J285" s="76"/>
    </row>
    <row r="286" spans="1:10" x14ac:dyDescent="0.2">
      <c r="A286" s="106" t="s">
        <v>381</v>
      </c>
      <c r="B286" s="107"/>
      <c r="C286" s="107"/>
      <c r="D286" s="108"/>
      <c r="E286" s="109">
        <f>E285</f>
        <v>11.421859166666668</v>
      </c>
      <c r="F286" s="19"/>
      <c r="I286" s="76"/>
      <c r="J286" s="76"/>
    </row>
    <row r="287" spans="1:10" ht="13.5" thickBot="1" x14ac:dyDescent="0.25">
      <c r="A287" s="93" t="s">
        <v>387</v>
      </c>
      <c r="B287" s="94" t="s">
        <v>10</v>
      </c>
      <c r="C287" s="16">
        <v>300</v>
      </c>
      <c r="D287" s="95">
        <f>E286</f>
        <v>11.421859166666668</v>
      </c>
      <c r="E287" s="109">
        <f>C287*D287</f>
        <v>3426.5577500000004</v>
      </c>
      <c r="F287" s="19"/>
      <c r="I287" s="76"/>
      <c r="J287" s="76"/>
    </row>
    <row r="288" spans="1:10" s="6" customFormat="1" ht="13.5" thickBot="1" x14ac:dyDescent="0.25">
      <c r="B288" s="313"/>
      <c r="C288" s="313"/>
      <c r="D288" s="310" t="s">
        <v>196</v>
      </c>
      <c r="E288" s="328">
        <f>$B$50</f>
        <v>1</v>
      </c>
      <c r="F288" s="20">
        <f>E287</f>
        <v>3426.5577500000004</v>
      </c>
      <c r="G288" s="326"/>
    </row>
    <row r="289" spans="1:7" ht="13.5" thickBot="1" x14ac:dyDescent="0.25">
      <c r="A289" s="10"/>
      <c r="B289" s="10"/>
      <c r="C289" s="10"/>
      <c r="D289" s="33"/>
      <c r="E289" s="33"/>
      <c r="F289" s="32"/>
    </row>
    <row r="290" spans="1:7" ht="13.5" thickBot="1" x14ac:dyDescent="0.25">
      <c r="A290" s="23" t="s">
        <v>388</v>
      </c>
      <c r="B290" s="24"/>
      <c r="C290" s="24"/>
      <c r="D290" s="25"/>
      <c r="E290" s="26"/>
      <c r="F290" s="20">
        <f>+F288+F277</f>
        <v>20920.191083333331</v>
      </c>
      <c r="G290" s="8"/>
    </row>
    <row r="291" spans="1:7" x14ac:dyDescent="0.2">
      <c r="A291" s="10"/>
      <c r="B291" s="10"/>
      <c r="C291" s="10"/>
      <c r="D291" s="33"/>
      <c r="E291" s="33"/>
      <c r="F291" s="32"/>
    </row>
    <row r="292" spans="1:7" x14ac:dyDescent="0.2">
      <c r="A292" s="10" t="s">
        <v>394</v>
      </c>
      <c r="D292" s="112"/>
      <c r="E292" s="54"/>
      <c r="F292" s="32"/>
    </row>
    <row r="293" spans="1:7" ht="13.5" thickBot="1" x14ac:dyDescent="0.25">
      <c r="A293" s="10"/>
    </row>
    <row r="294" spans="1:7" ht="13.5" thickBot="1" x14ac:dyDescent="0.25">
      <c r="A294" s="55" t="s">
        <v>61</v>
      </c>
      <c r="B294" s="56" t="s">
        <v>62</v>
      </c>
      <c r="C294" s="56" t="s">
        <v>39</v>
      </c>
      <c r="D294" s="57" t="s">
        <v>239</v>
      </c>
      <c r="E294" s="57" t="s">
        <v>63</v>
      </c>
      <c r="F294" s="58" t="s">
        <v>64</v>
      </c>
    </row>
    <row r="295" spans="1:7" x14ac:dyDescent="0.2">
      <c r="A295" s="271" t="s">
        <v>311</v>
      </c>
      <c r="B295" s="49" t="s">
        <v>56</v>
      </c>
      <c r="C295" s="309">
        <f>C213</f>
        <v>3</v>
      </c>
      <c r="D295" s="78">
        <v>4319</v>
      </c>
      <c r="E295" s="14">
        <f>C295*D295</f>
        <v>12957</v>
      </c>
    </row>
    <row r="296" spans="1:7" x14ac:dyDescent="0.2">
      <c r="A296" s="271" t="s">
        <v>312</v>
      </c>
      <c r="B296" s="49" t="s">
        <v>8</v>
      </c>
      <c r="C296" s="300">
        <v>60</v>
      </c>
      <c r="D296" s="96">
        <f>SUM(E295:E295)</f>
        <v>12957</v>
      </c>
      <c r="E296" s="14">
        <f>+D296/C296</f>
        <v>215.95</v>
      </c>
    </row>
    <row r="297" spans="1:7" x14ac:dyDescent="0.2">
      <c r="A297" s="271" t="s">
        <v>313</v>
      </c>
      <c r="B297" s="49" t="s">
        <v>10</v>
      </c>
      <c r="C297" s="309">
        <f>C295</f>
        <v>3</v>
      </c>
      <c r="D297" s="17">
        <v>108</v>
      </c>
      <c r="E297" s="17">
        <f>+C297*D297</f>
        <v>324</v>
      </c>
    </row>
    <row r="298" spans="1:7" ht="13.5" thickBot="1" x14ac:dyDescent="0.25">
      <c r="A298" s="271" t="s">
        <v>314</v>
      </c>
      <c r="B298" s="300" t="s">
        <v>8</v>
      </c>
      <c r="C298" s="300">
        <v>1</v>
      </c>
      <c r="D298" s="17">
        <f>E297</f>
        <v>324</v>
      </c>
      <c r="E298" s="17">
        <f>IFERROR(C298*D298,0)</f>
        <v>324</v>
      </c>
    </row>
    <row r="299" spans="1:7" ht="13.5" thickBot="1" x14ac:dyDescent="0.25">
      <c r="D299" s="310" t="s">
        <v>196</v>
      </c>
      <c r="E299" s="311">
        <f>$B$50</f>
        <v>1</v>
      </c>
      <c r="F299" s="113">
        <f>(E296+E298)*E299</f>
        <v>539.95000000000005</v>
      </c>
    </row>
    <row r="300" spans="1:7" ht="13.5" thickBot="1" x14ac:dyDescent="0.25">
      <c r="D300" s="112"/>
      <c r="E300" s="54"/>
      <c r="F300" s="32"/>
    </row>
    <row r="301" spans="1:7" ht="13.5" thickBot="1" x14ac:dyDescent="0.25">
      <c r="A301" s="23" t="s">
        <v>309</v>
      </c>
      <c r="B301" s="24"/>
      <c r="C301" s="24"/>
      <c r="D301" s="25"/>
      <c r="E301" s="26"/>
      <c r="F301" s="302">
        <f>F299</f>
        <v>539.95000000000005</v>
      </c>
    </row>
    <row r="302" spans="1:7" x14ac:dyDescent="0.2">
      <c r="A302" s="8">
        <v>5</v>
      </c>
      <c r="D302" s="112"/>
      <c r="E302" s="54"/>
      <c r="F302" s="32"/>
    </row>
    <row r="303" spans="1:7" s="6" customFormat="1" x14ac:dyDescent="0.2">
      <c r="A303" s="10" t="s">
        <v>357</v>
      </c>
      <c r="B303" s="10"/>
      <c r="C303" s="10"/>
      <c r="D303" s="33"/>
      <c r="E303" s="33"/>
      <c r="F303" s="32"/>
      <c r="G303" s="326"/>
    </row>
    <row r="304" spans="1:7" s="6" customFormat="1" ht="13.5" thickBot="1" x14ac:dyDescent="0.25">
      <c r="A304" s="10" t="s">
        <v>333</v>
      </c>
      <c r="B304" s="10"/>
      <c r="C304" s="10"/>
      <c r="D304" s="313" t="s">
        <v>10</v>
      </c>
      <c r="E304" s="313">
        <v>1</v>
      </c>
      <c r="F304" s="32"/>
      <c r="G304" s="326"/>
    </row>
    <row r="305" spans="1:10" s="6" customFormat="1" ht="13.5" thickBot="1" x14ac:dyDescent="0.25">
      <c r="A305" s="99" t="s">
        <v>61</v>
      </c>
      <c r="B305" s="100" t="s">
        <v>62</v>
      </c>
      <c r="C305" s="100" t="s">
        <v>39</v>
      </c>
      <c r="D305" s="101" t="s">
        <v>239</v>
      </c>
      <c r="E305" s="101" t="s">
        <v>63</v>
      </c>
      <c r="F305" s="58" t="s">
        <v>64</v>
      </c>
      <c r="G305" s="326"/>
    </row>
    <row r="306" spans="1:10" s="6" customFormat="1" x14ac:dyDescent="0.2">
      <c r="A306" s="271" t="s">
        <v>328</v>
      </c>
      <c r="B306" s="300" t="s">
        <v>62</v>
      </c>
      <c r="C306" s="300">
        <v>1</v>
      </c>
      <c r="D306" s="311">
        <v>401229</v>
      </c>
      <c r="E306" s="311">
        <f>D306*E304</f>
        <v>401229</v>
      </c>
      <c r="F306" s="327"/>
      <c r="G306" s="326"/>
    </row>
    <row r="307" spans="1:10" x14ac:dyDescent="0.2">
      <c r="A307" s="15" t="s">
        <v>100</v>
      </c>
      <c r="B307" s="16" t="s">
        <v>101</v>
      </c>
      <c r="C307" s="77">
        <v>5</v>
      </c>
      <c r="D307" s="75"/>
      <c r="E307" s="17"/>
      <c r="G307" s="8"/>
    </row>
    <row r="308" spans="1:10" x14ac:dyDescent="0.2">
      <c r="A308" s="15" t="s">
        <v>211</v>
      </c>
      <c r="B308" s="16" t="s">
        <v>101</v>
      </c>
      <c r="C308" s="77">
        <v>0</v>
      </c>
      <c r="D308" s="17"/>
      <c r="E308" s="17"/>
      <c r="F308" s="19"/>
      <c r="I308" s="76"/>
      <c r="J308" s="76"/>
    </row>
    <row r="309" spans="1:10" x14ac:dyDescent="0.2">
      <c r="A309" s="15" t="s">
        <v>104</v>
      </c>
      <c r="B309" s="16" t="s">
        <v>2</v>
      </c>
      <c r="C309" s="126">
        <f>IFERROR(VLOOKUP(C307,'4. Depreciação'!A3:B17,2,FALSE),0)</f>
        <v>55.679999999999993</v>
      </c>
      <c r="D309" s="17">
        <f>E306</f>
        <v>401229</v>
      </c>
      <c r="E309" s="17">
        <f>C309*D309/100</f>
        <v>223404.30719999998</v>
      </c>
    </row>
    <row r="310" spans="1:10" ht="13.5" thickBot="1" x14ac:dyDescent="0.25">
      <c r="A310" s="250" t="s">
        <v>358</v>
      </c>
      <c r="B310" s="251" t="s">
        <v>8</v>
      </c>
      <c r="C310" s="251">
        <f>C307*12</f>
        <v>60</v>
      </c>
      <c r="D310" s="252">
        <f>IF(C308&lt;=C307,E309,0)</f>
        <v>223404.30719999998</v>
      </c>
      <c r="E310" s="252">
        <f>IFERROR(D310/C310,0)</f>
        <v>3723.4051199999999</v>
      </c>
    </row>
    <row r="311" spans="1:10" s="6" customFormat="1" ht="13.5" thickTop="1" x14ac:dyDescent="0.2">
      <c r="A311" s="271" t="s">
        <v>329</v>
      </c>
      <c r="B311" s="300" t="s">
        <v>62</v>
      </c>
      <c r="C311" s="300">
        <v>1</v>
      </c>
      <c r="D311" s="311">
        <v>20000</v>
      </c>
      <c r="E311" s="311">
        <f>D311*C311</f>
        <v>20000</v>
      </c>
      <c r="F311" s="327"/>
      <c r="G311" s="326"/>
    </row>
    <row r="312" spans="1:10" x14ac:dyDescent="0.2">
      <c r="A312" s="271" t="s">
        <v>363</v>
      </c>
      <c r="B312" s="16" t="s">
        <v>101</v>
      </c>
      <c r="C312" s="77">
        <v>5</v>
      </c>
      <c r="D312" s="75"/>
      <c r="E312" s="17"/>
      <c r="G312" s="8"/>
    </row>
    <row r="313" spans="1:10" x14ac:dyDescent="0.2">
      <c r="A313" s="271" t="s">
        <v>364</v>
      </c>
      <c r="B313" s="16" t="s">
        <v>101</v>
      </c>
      <c r="C313" s="77">
        <v>0</v>
      </c>
      <c r="D313" s="17"/>
      <c r="E313" s="17"/>
      <c r="F313" s="19"/>
      <c r="I313" s="76"/>
      <c r="J313" s="76"/>
    </row>
    <row r="314" spans="1:10" x14ac:dyDescent="0.2">
      <c r="A314" s="271" t="s">
        <v>365</v>
      </c>
      <c r="B314" s="16" t="s">
        <v>2</v>
      </c>
      <c r="C314" s="126">
        <f>IFERROR(VLOOKUP(C312,'4. Depreciação'!A3:B17,2,FALSE),0)</f>
        <v>55.679999999999993</v>
      </c>
      <c r="D314" s="17">
        <f>E311</f>
        <v>20000</v>
      </c>
      <c r="E314" s="17">
        <f>C314*D314/100</f>
        <v>11135.999999999998</v>
      </c>
    </row>
    <row r="315" spans="1:10" ht="13.5" thickBot="1" x14ac:dyDescent="0.25">
      <c r="A315" s="250" t="s">
        <v>359</v>
      </c>
      <c r="B315" s="251" t="s">
        <v>8</v>
      </c>
      <c r="C315" s="251">
        <f>C312*12</f>
        <v>60</v>
      </c>
      <c r="D315" s="252">
        <f>IF(C313&lt;=C312,E314,0)</f>
        <v>11135.999999999998</v>
      </c>
      <c r="E315" s="252">
        <f>IFERROR(D315/C315,0)</f>
        <v>185.59999999999997</v>
      </c>
    </row>
    <row r="316" spans="1:10" s="6" customFormat="1" ht="13.5" thickTop="1" x14ac:dyDescent="0.2">
      <c r="A316" s="271" t="s">
        <v>330</v>
      </c>
      <c r="B316" s="300" t="s">
        <v>62</v>
      </c>
      <c r="C316" s="300">
        <v>1</v>
      </c>
      <c r="D316" s="311">
        <v>35000</v>
      </c>
      <c r="E316" s="311">
        <f>D316*C316</f>
        <v>35000</v>
      </c>
      <c r="F316" s="327"/>
      <c r="G316" s="326"/>
    </row>
    <row r="317" spans="1:10" x14ac:dyDescent="0.2">
      <c r="A317" s="271" t="s">
        <v>366</v>
      </c>
      <c r="B317" s="16" t="s">
        <v>101</v>
      </c>
      <c r="C317" s="77">
        <v>5</v>
      </c>
      <c r="D317" s="75"/>
      <c r="E317" s="17"/>
      <c r="G317" s="8"/>
    </row>
    <row r="318" spans="1:10" x14ac:dyDescent="0.2">
      <c r="A318" s="271" t="s">
        <v>367</v>
      </c>
      <c r="B318" s="16" t="s">
        <v>101</v>
      </c>
      <c r="C318" s="77">
        <v>0</v>
      </c>
      <c r="D318" s="17"/>
      <c r="E318" s="17"/>
      <c r="F318" s="19"/>
      <c r="I318" s="76"/>
      <c r="J318" s="76"/>
    </row>
    <row r="319" spans="1:10" x14ac:dyDescent="0.2">
      <c r="A319" s="271" t="s">
        <v>368</v>
      </c>
      <c r="B319" s="16" t="s">
        <v>2</v>
      </c>
      <c r="C319" s="126">
        <f>IFERROR(VLOOKUP(C317,'4. Depreciação'!A7:B13,2,FALSE),0)</f>
        <v>55.679999999999993</v>
      </c>
      <c r="D319" s="17">
        <f>E316</f>
        <v>35000</v>
      </c>
      <c r="E319" s="17">
        <f>C319*D319/100</f>
        <v>19487.999999999996</v>
      </c>
    </row>
    <row r="320" spans="1:10" ht="13.5" thickBot="1" x14ac:dyDescent="0.25">
      <c r="A320" s="250" t="s">
        <v>360</v>
      </c>
      <c r="B320" s="251" t="s">
        <v>8</v>
      </c>
      <c r="C320" s="251">
        <f>C317*12</f>
        <v>60</v>
      </c>
      <c r="D320" s="252">
        <f>IF(C318&lt;=C317,E319,0)</f>
        <v>19487.999999999996</v>
      </c>
      <c r="E320" s="252">
        <f>IFERROR(D320/C320,0)</f>
        <v>324.79999999999995</v>
      </c>
    </row>
    <row r="321" spans="1:10" ht="13.5" thickTop="1" x14ac:dyDescent="0.2">
      <c r="A321" s="106" t="s">
        <v>262</v>
      </c>
      <c r="B321" s="107"/>
      <c r="C321" s="107"/>
      <c r="D321" s="108"/>
      <c r="E321" s="109">
        <f>E315+E320+E310</f>
        <v>4233.80512</v>
      </c>
    </row>
    <row r="322" spans="1:10" ht="13.5" thickBot="1" x14ac:dyDescent="0.25">
      <c r="A322" s="93" t="s">
        <v>263</v>
      </c>
      <c r="B322" s="94" t="s">
        <v>10</v>
      </c>
      <c r="C322" s="77">
        <v>1</v>
      </c>
      <c r="D322" s="95">
        <f>E321</f>
        <v>4233.80512</v>
      </c>
      <c r="E322" s="109">
        <f>C322*D322</f>
        <v>4233.80512</v>
      </c>
    </row>
    <row r="323" spans="1:10" ht="13.5" thickBot="1" x14ac:dyDescent="0.25">
      <c r="A323" s="245"/>
      <c r="B323" s="245"/>
      <c r="C323" s="305"/>
      <c r="D323" s="306" t="s">
        <v>196</v>
      </c>
      <c r="E323" s="307">
        <v>1.1000000000000001</v>
      </c>
      <c r="F323" s="20">
        <f>E322*E323</f>
        <v>4657.1856320000006</v>
      </c>
    </row>
    <row r="324" spans="1:10" s="6" customFormat="1" x14ac:dyDescent="0.2">
      <c r="B324" s="313"/>
      <c r="C324" s="313"/>
      <c r="D324" s="310"/>
      <c r="E324" s="329"/>
      <c r="F324" s="32"/>
      <c r="G324" s="326"/>
    </row>
    <row r="325" spans="1:10" s="6" customFormat="1" ht="13.5" thickBot="1" x14ac:dyDescent="0.25">
      <c r="A325" s="10" t="s">
        <v>361</v>
      </c>
      <c r="B325" s="313"/>
      <c r="C325" s="313"/>
      <c r="D325" s="310"/>
      <c r="E325" s="329"/>
      <c r="F325" s="32"/>
      <c r="G325" s="326"/>
    </row>
    <row r="326" spans="1:10" s="6" customFormat="1" ht="13.5" thickBot="1" x14ac:dyDescent="0.25">
      <c r="A326" s="99" t="s">
        <v>61</v>
      </c>
      <c r="B326" s="100" t="s">
        <v>62</v>
      </c>
      <c r="C326" s="100" t="s">
        <v>39</v>
      </c>
      <c r="D326" s="101" t="s">
        <v>239</v>
      </c>
      <c r="E326" s="101" t="s">
        <v>63</v>
      </c>
      <c r="F326" s="58" t="s">
        <v>64</v>
      </c>
      <c r="G326" s="326"/>
    </row>
    <row r="327" spans="1:10" x14ac:dyDescent="0.2">
      <c r="A327" s="15" t="s">
        <v>108</v>
      </c>
      <c r="B327" s="16" t="s">
        <v>10</v>
      </c>
      <c r="C327" s="13">
        <v>1</v>
      </c>
      <c r="D327" s="17">
        <f>D306</f>
        <v>401229</v>
      </c>
      <c r="E327" s="17">
        <f>C327*D327</f>
        <v>401229</v>
      </c>
      <c r="F327" s="19"/>
      <c r="I327" s="76"/>
      <c r="J327" s="76"/>
    </row>
    <row r="328" spans="1:10" x14ac:dyDescent="0.2">
      <c r="A328" s="271" t="s">
        <v>326</v>
      </c>
      <c r="B328" s="16" t="s">
        <v>2</v>
      </c>
      <c r="C328" s="77">
        <f>C198</f>
        <v>14.75</v>
      </c>
      <c r="D328" s="17"/>
      <c r="E328" s="17"/>
      <c r="F328" s="19"/>
      <c r="I328" s="76"/>
      <c r="J328" s="76"/>
    </row>
    <row r="329" spans="1:10" x14ac:dyDescent="0.2">
      <c r="A329" s="15" t="s">
        <v>213</v>
      </c>
      <c r="B329" s="16" t="s">
        <v>33</v>
      </c>
      <c r="C329" s="132">
        <f>IFERROR(IF(C308&lt;=C307,E306-(C309/(100*C307)*C308)*E306,E306-E309),0)</f>
        <v>401229</v>
      </c>
      <c r="D329" s="17"/>
      <c r="E329" s="17"/>
      <c r="F329" s="19"/>
      <c r="I329" s="76"/>
      <c r="J329" s="76"/>
    </row>
    <row r="330" spans="1:10" x14ac:dyDescent="0.2">
      <c r="A330" s="15" t="s">
        <v>113</v>
      </c>
      <c r="B330" s="16" t="s">
        <v>33</v>
      </c>
      <c r="C330" s="75">
        <f>IFERROR(IF(C308&gt;=C307,C329,((((C329)-(E306-E309))*(((C307-C308)+1)/(2*(C307-C308))))+(E306-E309))),0)</f>
        <v>311867.27711999998</v>
      </c>
      <c r="D330" s="17"/>
      <c r="E330" s="17"/>
      <c r="F330" s="19"/>
      <c r="I330" s="76"/>
      <c r="J330" s="76"/>
    </row>
    <row r="331" spans="1:10" ht="13.5" thickBot="1" x14ac:dyDescent="0.25">
      <c r="A331" s="250" t="s">
        <v>114</v>
      </c>
      <c r="B331" s="251" t="s">
        <v>33</v>
      </c>
      <c r="C331" s="251"/>
      <c r="D331" s="253">
        <f>C328*C330/12/100</f>
        <v>3833.3686146</v>
      </c>
      <c r="E331" s="252">
        <f>D331</f>
        <v>3833.3686146</v>
      </c>
      <c r="F331" s="19"/>
      <c r="I331" s="76"/>
      <c r="J331" s="76"/>
    </row>
    <row r="332" spans="1:10" ht="13.5" thickTop="1" x14ac:dyDescent="0.2">
      <c r="A332" s="270" t="s">
        <v>362</v>
      </c>
      <c r="B332" s="13" t="s">
        <v>10</v>
      </c>
      <c r="C332" s="13">
        <f>C316</f>
        <v>1</v>
      </c>
      <c r="D332" s="14">
        <f>D311</f>
        <v>20000</v>
      </c>
      <c r="E332" s="14">
        <f>C332*D332</f>
        <v>20000</v>
      </c>
      <c r="F332" s="19"/>
      <c r="I332" s="76"/>
      <c r="J332" s="76"/>
    </row>
    <row r="333" spans="1:10" x14ac:dyDescent="0.2">
      <c r="A333" s="15" t="s">
        <v>215</v>
      </c>
      <c r="B333" s="16" t="s">
        <v>2</v>
      </c>
      <c r="C333" s="16">
        <f>C328</f>
        <v>14.75</v>
      </c>
      <c r="D333" s="17"/>
      <c r="E333" s="17"/>
      <c r="F333" s="19"/>
      <c r="I333" s="76"/>
      <c r="J333" s="76"/>
    </row>
    <row r="334" spans="1:10" x14ac:dyDescent="0.2">
      <c r="A334" s="271" t="s">
        <v>369</v>
      </c>
      <c r="B334" s="16" t="s">
        <v>33</v>
      </c>
      <c r="C334" s="132">
        <f>IFERROR(IF(C313&lt;=C312,E311-(C314/(100*C312)*C313)*E311,E311-E314),0)</f>
        <v>20000</v>
      </c>
      <c r="D334" s="17"/>
      <c r="E334" s="17"/>
      <c r="F334" s="19"/>
      <c r="I334" s="76"/>
      <c r="J334" s="76"/>
    </row>
    <row r="335" spans="1:10" x14ac:dyDescent="0.2">
      <c r="A335" s="271" t="s">
        <v>370</v>
      </c>
      <c r="B335" s="16" t="s">
        <v>33</v>
      </c>
      <c r="C335" s="75">
        <f>IFERROR(IF(C313&gt;=C312,C334,((((C334)-(E311-E314))*(((C312-C313)+1)/(2*(C312-C313))))+(E311-E314))),0)</f>
        <v>15545.6</v>
      </c>
      <c r="D335" s="17"/>
      <c r="E335" s="17"/>
      <c r="F335" s="19"/>
      <c r="I335" s="76"/>
      <c r="J335" s="76"/>
    </row>
    <row r="336" spans="1:10" x14ac:dyDescent="0.2">
      <c r="A336" s="93" t="s">
        <v>371</v>
      </c>
      <c r="B336" s="94" t="s">
        <v>33</v>
      </c>
      <c r="C336" s="94"/>
      <c r="D336" s="103">
        <f>C333*C335/12/100</f>
        <v>191.08133333333336</v>
      </c>
      <c r="E336" s="95">
        <f>D336</f>
        <v>191.08133333333336</v>
      </c>
      <c r="F336" s="19"/>
      <c r="I336" s="76"/>
      <c r="J336" s="76"/>
    </row>
    <row r="337" spans="1:10" x14ac:dyDescent="0.2">
      <c r="A337" s="270" t="s">
        <v>372</v>
      </c>
      <c r="B337" s="13" t="s">
        <v>10</v>
      </c>
      <c r="C337" s="13">
        <f>C316</f>
        <v>1</v>
      </c>
      <c r="D337" s="14">
        <f>D316</f>
        <v>35000</v>
      </c>
      <c r="E337" s="14">
        <f>C337*D337</f>
        <v>35000</v>
      </c>
      <c r="F337" s="19"/>
      <c r="I337" s="76"/>
      <c r="J337" s="76"/>
    </row>
    <row r="338" spans="1:10" x14ac:dyDescent="0.2">
      <c r="A338" s="15" t="s">
        <v>215</v>
      </c>
      <c r="B338" s="16" t="s">
        <v>2</v>
      </c>
      <c r="C338" s="16">
        <f>C328</f>
        <v>14.75</v>
      </c>
      <c r="D338" s="17"/>
      <c r="E338" s="17"/>
      <c r="F338" s="19"/>
      <c r="I338" s="76"/>
      <c r="J338" s="76"/>
    </row>
    <row r="339" spans="1:10" x14ac:dyDescent="0.2">
      <c r="A339" s="271" t="s">
        <v>373</v>
      </c>
      <c r="B339" s="16" t="s">
        <v>33</v>
      </c>
      <c r="C339" s="132">
        <f>IFERROR(IF(C318&lt;=C317,E316-(C319/(100*C317)*C318)*E316,E316-E319),0)</f>
        <v>35000</v>
      </c>
      <c r="D339" s="17"/>
      <c r="E339" s="17"/>
      <c r="F339" s="19"/>
      <c r="I339" s="76"/>
      <c r="J339" s="76"/>
    </row>
    <row r="340" spans="1:10" x14ac:dyDescent="0.2">
      <c r="A340" s="271" t="s">
        <v>374</v>
      </c>
      <c r="B340" s="16" t="s">
        <v>33</v>
      </c>
      <c r="C340" s="75">
        <f>IFERROR(IF(C318&gt;=C317,C339,((((C339)-(E316-E319))*(((C317-C318)+1)/(2*(C317-C318))))+(E316-E319))),0)</f>
        <v>27204.800000000003</v>
      </c>
      <c r="D340" s="17"/>
      <c r="E340" s="17"/>
      <c r="F340" s="19"/>
      <c r="I340" s="76"/>
      <c r="J340" s="76"/>
    </row>
    <row r="341" spans="1:10" x14ac:dyDescent="0.2">
      <c r="A341" s="93" t="s">
        <v>375</v>
      </c>
      <c r="B341" s="94" t="s">
        <v>33</v>
      </c>
      <c r="C341" s="94"/>
      <c r="D341" s="103">
        <f>C338*C340/12/100</f>
        <v>334.3923333333334</v>
      </c>
      <c r="E341" s="95">
        <f>D341</f>
        <v>334.3923333333334</v>
      </c>
      <c r="F341" s="19"/>
      <c r="I341" s="76"/>
      <c r="J341" s="76"/>
    </row>
    <row r="342" spans="1:10" x14ac:dyDescent="0.2">
      <c r="A342" s="106" t="s">
        <v>262</v>
      </c>
      <c r="B342" s="107"/>
      <c r="C342" s="107"/>
      <c r="D342" s="108"/>
      <c r="E342" s="109">
        <f>E331+E336+E341</f>
        <v>4358.8422812666668</v>
      </c>
      <c r="F342" s="19"/>
      <c r="I342" s="76"/>
      <c r="J342" s="76"/>
    </row>
    <row r="343" spans="1:10" ht="13.5" thickBot="1" x14ac:dyDescent="0.25">
      <c r="A343" s="93" t="s">
        <v>263</v>
      </c>
      <c r="B343" s="94" t="s">
        <v>10</v>
      </c>
      <c r="C343" s="16">
        <f>C322</f>
        <v>1</v>
      </c>
      <c r="D343" s="95">
        <f>E342</f>
        <v>4358.8422812666668</v>
      </c>
      <c r="E343" s="109">
        <f>C343*D343</f>
        <v>4358.8422812666668</v>
      </c>
      <c r="F343" s="19"/>
      <c r="I343" s="76"/>
      <c r="J343" s="76"/>
    </row>
    <row r="344" spans="1:10" s="6" customFormat="1" ht="13.5" thickBot="1" x14ac:dyDescent="0.25">
      <c r="B344" s="313"/>
      <c r="C344" s="313"/>
      <c r="D344" s="310" t="s">
        <v>196</v>
      </c>
      <c r="E344" s="328">
        <f>$B$50</f>
        <v>1</v>
      </c>
      <c r="F344" s="20">
        <f>E343</f>
        <v>4358.8422812666668</v>
      </c>
      <c r="G344" s="326"/>
    </row>
    <row r="345" spans="1:10" s="6" customFormat="1" x14ac:dyDescent="0.2">
      <c r="B345" s="313"/>
      <c r="C345" s="313"/>
      <c r="D345" s="310"/>
      <c r="E345" s="329"/>
      <c r="F345" s="32"/>
      <c r="G345" s="326"/>
    </row>
    <row r="346" spans="1:10" s="6" customFormat="1" ht="13.5" thickBot="1" x14ac:dyDescent="0.25">
      <c r="A346" s="10" t="s">
        <v>334</v>
      </c>
      <c r="D346" s="326"/>
      <c r="E346" s="326"/>
      <c r="F346" s="326"/>
      <c r="G346" s="326"/>
    </row>
    <row r="347" spans="1:10" s="6" customFormat="1" ht="13.5" thickBot="1" x14ac:dyDescent="0.25">
      <c r="A347" s="55" t="s">
        <v>61</v>
      </c>
      <c r="B347" s="56" t="s">
        <v>62</v>
      </c>
      <c r="C347" s="56" t="s">
        <v>39</v>
      </c>
      <c r="D347" s="57" t="s">
        <v>239</v>
      </c>
      <c r="E347" s="57" t="s">
        <v>63</v>
      </c>
      <c r="F347" s="58" t="s">
        <v>64</v>
      </c>
      <c r="G347" s="326"/>
    </row>
    <row r="348" spans="1:10" s="6" customFormat="1" x14ac:dyDescent="0.2">
      <c r="A348" s="270" t="s">
        <v>12</v>
      </c>
      <c r="B348" s="330" t="s">
        <v>10</v>
      </c>
      <c r="C348" s="328">
        <v>1</v>
      </c>
      <c r="D348" s="331">
        <f>D306</f>
        <v>401229</v>
      </c>
      <c r="E348" s="331">
        <f>D348*0.03</f>
        <v>12036.869999999999</v>
      </c>
      <c r="F348" s="326"/>
      <c r="G348" s="326"/>
    </row>
    <row r="349" spans="1:10" s="6" customFormat="1" x14ac:dyDescent="0.2">
      <c r="A349" s="271" t="s">
        <v>195</v>
      </c>
      <c r="B349" s="300" t="s">
        <v>10</v>
      </c>
      <c r="C349" s="328">
        <v>1</v>
      </c>
      <c r="D349" s="332">
        <v>373.76</v>
      </c>
      <c r="E349" s="333">
        <f>C349*D349</f>
        <v>373.76</v>
      </c>
      <c r="F349" s="326"/>
      <c r="G349" s="326"/>
    </row>
    <row r="350" spans="1:10" s="6" customFormat="1" x14ac:dyDescent="0.2">
      <c r="A350" s="271" t="s">
        <v>13</v>
      </c>
      <c r="B350" s="300" t="s">
        <v>10</v>
      </c>
      <c r="C350" s="328">
        <v>1</v>
      </c>
      <c r="D350" s="332">
        <v>650</v>
      </c>
      <c r="E350" s="333">
        <f>C350*D350</f>
        <v>650</v>
      </c>
      <c r="F350" s="30"/>
      <c r="G350" s="326"/>
    </row>
    <row r="351" spans="1:10" s="6" customFormat="1" ht="13.5" thickBot="1" x14ac:dyDescent="0.25">
      <c r="A351" s="93" t="s">
        <v>14</v>
      </c>
      <c r="B351" s="94" t="s">
        <v>8</v>
      </c>
      <c r="C351" s="94">
        <v>12</v>
      </c>
      <c r="D351" s="95">
        <f>SUM(E348:E350)+D349+D350</f>
        <v>14084.39</v>
      </c>
      <c r="E351" s="95">
        <f>D351/C351</f>
        <v>1173.6991666666665</v>
      </c>
      <c r="F351" s="326"/>
      <c r="G351" s="326"/>
    </row>
    <row r="352" spans="1:10" s="6" customFormat="1" ht="13.5" thickBot="1" x14ac:dyDescent="0.25">
      <c r="D352" s="310" t="s">
        <v>196</v>
      </c>
      <c r="E352" s="311">
        <f>$B$50</f>
        <v>1</v>
      </c>
      <c r="F352" s="113">
        <f>E351*E352</f>
        <v>1173.6991666666665</v>
      </c>
      <c r="G352" s="326"/>
    </row>
    <row r="353" spans="1:7" s="6" customFormat="1" x14ac:dyDescent="0.2">
      <c r="A353" s="10" t="s">
        <v>335</v>
      </c>
      <c r="B353" s="334"/>
      <c r="D353" s="326"/>
      <c r="E353" s="326"/>
      <c r="F353" s="326"/>
      <c r="G353" s="326"/>
    </row>
    <row r="354" spans="1:7" s="6" customFormat="1" x14ac:dyDescent="0.2">
      <c r="B354" s="334"/>
      <c r="D354" s="326"/>
      <c r="E354" s="326"/>
      <c r="F354" s="326"/>
      <c r="G354" s="326"/>
    </row>
    <row r="355" spans="1:7" s="6" customFormat="1" x14ac:dyDescent="0.2">
      <c r="A355" s="93" t="s">
        <v>117</v>
      </c>
      <c r="B355" s="335">
        <f>6*8*26</f>
        <v>1248</v>
      </c>
      <c r="D355" s="326"/>
      <c r="E355" s="326"/>
      <c r="F355" s="326"/>
      <c r="G355" s="326"/>
    </row>
    <row r="356" spans="1:7" s="6" customFormat="1" ht="13.5" thickBot="1" x14ac:dyDescent="0.25">
      <c r="B356" s="334"/>
      <c r="D356" s="326"/>
      <c r="E356" s="326"/>
      <c r="F356" s="326"/>
      <c r="G356" s="326"/>
    </row>
    <row r="357" spans="1:7" s="6" customFormat="1" ht="13.5" thickBot="1" x14ac:dyDescent="0.25">
      <c r="A357" s="55" t="s">
        <v>61</v>
      </c>
      <c r="B357" s="56" t="s">
        <v>62</v>
      </c>
      <c r="C357" s="56" t="s">
        <v>261</v>
      </c>
      <c r="D357" s="57" t="s">
        <v>239</v>
      </c>
      <c r="E357" s="57" t="s">
        <v>63</v>
      </c>
      <c r="F357" s="58" t="s">
        <v>64</v>
      </c>
      <c r="G357" s="326"/>
    </row>
    <row r="358" spans="1:7" s="6" customFormat="1" x14ac:dyDescent="0.2">
      <c r="A358" s="270" t="s">
        <v>331</v>
      </c>
      <c r="B358" s="330" t="s">
        <v>15</v>
      </c>
      <c r="C358" s="336">
        <v>4.9000000000000004</v>
      </c>
      <c r="D358" s="337">
        <f>D223</f>
        <v>6.29</v>
      </c>
      <c r="E358" s="331"/>
      <c r="F358" s="326"/>
      <c r="G358" s="326"/>
    </row>
    <row r="359" spans="1:7" s="6" customFormat="1" x14ac:dyDescent="0.2">
      <c r="A359" s="271" t="s">
        <v>16</v>
      </c>
      <c r="B359" s="300" t="s">
        <v>17</v>
      </c>
      <c r="C359" s="338">
        <f>B355</f>
        <v>1248</v>
      </c>
      <c r="D359" s="339">
        <f>IFERROR(+D358/C358,"-")</f>
        <v>1.283673469387755</v>
      </c>
      <c r="E359" s="333">
        <f>IFERROR(C359*D359,"-")</f>
        <v>1602.0244897959183</v>
      </c>
      <c r="F359" s="326"/>
      <c r="G359" s="326"/>
    </row>
    <row r="360" spans="1:7" s="6" customFormat="1" x14ac:dyDescent="0.2">
      <c r="A360" s="271" t="s">
        <v>240</v>
      </c>
      <c r="B360" s="300" t="s">
        <v>18</v>
      </c>
      <c r="C360" s="340">
        <v>1.5</v>
      </c>
      <c r="D360" s="332">
        <f>D225</f>
        <v>21.25</v>
      </c>
      <c r="E360" s="333"/>
      <c r="F360" s="326"/>
      <c r="G360" s="326"/>
    </row>
    <row r="361" spans="1:7" s="6" customFormat="1" x14ac:dyDescent="0.2">
      <c r="A361" s="271" t="s">
        <v>19</v>
      </c>
      <c r="B361" s="300" t="s">
        <v>17</v>
      </c>
      <c r="C361" s="338">
        <f>C359</f>
        <v>1248</v>
      </c>
      <c r="D361" s="341">
        <f>+C360*D360/1000</f>
        <v>3.1875000000000001E-2</v>
      </c>
      <c r="E361" s="333">
        <f>C361*D361</f>
        <v>39.78</v>
      </c>
      <c r="F361" s="326"/>
      <c r="G361" s="326"/>
    </row>
    <row r="362" spans="1:7" s="6" customFormat="1" x14ac:dyDescent="0.2">
      <c r="A362" s="271" t="s">
        <v>241</v>
      </c>
      <c r="B362" s="300" t="s">
        <v>18</v>
      </c>
      <c r="C362" s="340">
        <v>0.65</v>
      </c>
      <c r="D362" s="332">
        <f>D227</f>
        <v>23</v>
      </c>
      <c r="E362" s="333"/>
      <c r="F362" s="326"/>
      <c r="G362" s="326"/>
    </row>
    <row r="363" spans="1:7" s="6" customFormat="1" x14ac:dyDescent="0.2">
      <c r="A363" s="271" t="s">
        <v>20</v>
      </c>
      <c r="B363" s="300" t="s">
        <v>17</v>
      </c>
      <c r="C363" s="338">
        <f>C359</f>
        <v>1248</v>
      </c>
      <c r="D363" s="341">
        <f>+C362*D362/1000</f>
        <v>1.4950000000000001E-2</v>
      </c>
      <c r="E363" s="333">
        <f>C363*D363</f>
        <v>18.657600000000002</v>
      </c>
      <c r="F363" s="326"/>
      <c r="G363" s="326"/>
    </row>
    <row r="364" spans="1:7" s="6" customFormat="1" x14ac:dyDescent="0.2">
      <c r="A364" s="271" t="s">
        <v>242</v>
      </c>
      <c r="B364" s="300" t="s">
        <v>18</v>
      </c>
      <c r="C364" s="340">
        <v>1</v>
      </c>
      <c r="D364" s="332">
        <f>D229</f>
        <v>27.5</v>
      </c>
      <c r="E364" s="333"/>
      <c r="F364" s="326"/>
      <c r="G364" s="326"/>
    </row>
    <row r="365" spans="1:7" s="6" customFormat="1" x14ac:dyDescent="0.2">
      <c r="A365" s="271" t="s">
        <v>21</v>
      </c>
      <c r="B365" s="300" t="s">
        <v>17</v>
      </c>
      <c r="C365" s="338">
        <f>C359</f>
        <v>1248</v>
      </c>
      <c r="D365" s="341">
        <f>+C364*D364/1000</f>
        <v>2.75E-2</v>
      </c>
      <c r="E365" s="333">
        <f>C365*D365</f>
        <v>34.32</v>
      </c>
      <c r="F365" s="326"/>
      <c r="G365" s="326"/>
    </row>
    <row r="366" spans="1:7" s="6" customFormat="1" x14ac:dyDescent="0.2">
      <c r="A366" s="271" t="s">
        <v>22</v>
      </c>
      <c r="B366" s="300" t="s">
        <v>23</v>
      </c>
      <c r="C366" s="340">
        <v>3.5</v>
      </c>
      <c r="D366" s="332">
        <f>D231</f>
        <v>14</v>
      </c>
      <c r="E366" s="333"/>
      <c r="F366" s="326"/>
      <c r="G366" s="326"/>
    </row>
    <row r="367" spans="1:7" s="6" customFormat="1" x14ac:dyDescent="0.2">
      <c r="A367" s="271" t="s">
        <v>24</v>
      </c>
      <c r="B367" s="300" t="s">
        <v>17</v>
      </c>
      <c r="C367" s="338">
        <f>C359</f>
        <v>1248</v>
      </c>
      <c r="D367" s="341">
        <f>+C366*D366/1000</f>
        <v>4.9000000000000002E-2</v>
      </c>
      <c r="E367" s="333">
        <f>C367*D367</f>
        <v>61.152000000000001</v>
      </c>
      <c r="F367" s="326"/>
      <c r="G367" s="326"/>
    </row>
    <row r="368" spans="1:7" s="6" customFormat="1" ht="13.5" thickBot="1" x14ac:dyDescent="0.25">
      <c r="A368" s="93" t="s">
        <v>260</v>
      </c>
      <c r="B368" s="94" t="s">
        <v>118</v>
      </c>
      <c r="C368" s="242"/>
      <c r="D368" s="243">
        <f>IFERROR(D359+D361+D363+D365+D367,0)</f>
        <v>1.4069984693877551</v>
      </c>
      <c r="E368" s="333"/>
      <c r="F368" s="326"/>
      <c r="G368" s="326"/>
    </row>
    <row r="369" spans="1:7" s="6" customFormat="1" ht="13.5" thickBot="1" x14ac:dyDescent="0.25">
      <c r="D369" s="326"/>
      <c r="E369" s="326"/>
      <c r="F369" s="20">
        <f>SUM(E358:E367)</f>
        <v>1755.9340897959182</v>
      </c>
      <c r="G369" s="326"/>
    </row>
    <row r="370" spans="1:7" s="6" customFormat="1" x14ac:dyDescent="0.2">
      <c r="D370" s="310"/>
      <c r="E370" s="329"/>
      <c r="F370" s="32"/>
      <c r="G370" s="326"/>
    </row>
    <row r="371" spans="1:7" s="6" customFormat="1" ht="13.5" thickBot="1" x14ac:dyDescent="0.25">
      <c r="A371" s="10" t="s">
        <v>336</v>
      </c>
      <c r="D371" s="326"/>
      <c r="E371" s="326"/>
      <c r="F371" s="326"/>
      <c r="G371" s="326"/>
    </row>
    <row r="372" spans="1:7" s="6" customFormat="1" ht="13.5" thickBot="1" x14ac:dyDescent="0.25">
      <c r="A372" s="55" t="s">
        <v>61</v>
      </c>
      <c r="B372" s="56" t="s">
        <v>62</v>
      </c>
      <c r="C372" s="56" t="s">
        <v>39</v>
      </c>
      <c r="D372" s="57" t="s">
        <v>239</v>
      </c>
      <c r="E372" s="57" t="s">
        <v>63</v>
      </c>
      <c r="F372" s="58" t="s">
        <v>64</v>
      </c>
      <c r="G372" s="326"/>
    </row>
    <row r="373" spans="1:7" s="6" customFormat="1" ht="13.5" thickBot="1" x14ac:dyDescent="0.25">
      <c r="A373" s="270" t="s">
        <v>116</v>
      </c>
      <c r="B373" s="330" t="s">
        <v>118</v>
      </c>
      <c r="C373" s="338">
        <f>C359</f>
        <v>1248</v>
      </c>
      <c r="D373" s="342">
        <v>0.54</v>
      </c>
      <c r="E373" s="331">
        <f>C373*D373</f>
        <v>673.92000000000007</v>
      </c>
      <c r="F373" s="326"/>
      <c r="G373" s="326"/>
    </row>
    <row r="374" spans="1:7" s="6" customFormat="1" ht="13.5" thickBot="1" x14ac:dyDescent="0.25">
      <c r="D374" s="326"/>
      <c r="E374" s="326"/>
      <c r="F374" s="20">
        <f>E373</f>
        <v>673.92000000000007</v>
      </c>
      <c r="G374" s="326"/>
    </row>
    <row r="375" spans="1:7" s="6" customFormat="1" x14ac:dyDescent="0.2">
      <c r="D375" s="310"/>
      <c r="E375" s="329"/>
      <c r="F375" s="32"/>
      <c r="G375" s="326"/>
    </row>
    <row r="376" spans="1:7" s="6" customFormat="1" ht="13.5" thickBot="1" x14ac:dyDescent="0.25">
      <c r="A376" s="10" t="s">
        <v>337</v>
      </c>
      <c r="D376" s="326"/>
      <c r="E376" s="326"/>
      <c r="F376" s="326"/>
      <c r="G376" s="326"/>
    </row>
    <row r="377" spans="1:7" s="6" customFormat="1" ht="13.5" thickBot="1" x14ac:dyDescent="0.25">
      <c r="A377" s="55" t="s">
        <v>61</v>
      </c>
      <c r="B377" s="56" t="s">
        <v>62</v>
      </c>
      <c r="C377" s="56" t="s">
        <v>39</v>
      </c>
      <c r="D377" s="57" t="s">
        <v>239</v>
      </c>
      <c r="E377" s="57" t="s">
        <v>63</v>
      </c>
      <c r="F377" s="58" t="s">
        <v>64</v>
      </c>
      <c r="G377" s="326"/>
    </row>
    <row r="378" spans="1:7" s="6" customFormat="1" x14ac:dyDescent="0.2">
      <c r="A378" s="270" t="s">
        <v>292</v>
      </c>
      <c r="B378" s="330" t="s">
        <v>10</v>
      </c>
      <c r="C378" s="343">
        <v>4</v>
      </c>
      <c r="D378" s="342">
        <v>2650</v>
      </c>
      <c r="E378" s="331">
        <f>C378*D378</f>
        <v>10600</v>
      </c>
      <c r="F378" s="326"/>
      <c r="G378" s="326"/>
    </row>
    <row r="379" spans="1:7" s="6" customFormat="1" x14ac:dyDescent="0.2">
      <c r="A379" s="270" t="s">
        <v>119</v>
      </c>
      <c r="B379" s="330" t="s">
        <v>10</v>
      </c>
      <c r="C379" s="343">
        <v>3</v>
      </c>
      <c r="D379" s="344"/>
      <c r="E379" s="331"/>
      <c r="F379" s="326"/>
      <c r="G379" s="326"/>
    </row>
    <row r="380" spans="1:7" s="6" customFormat="1" x14ac:dyDescent="0.2">
      <c r="A380" s="270" t="s">
        <v>69</v>
      </c>
      <c r="B380" s="330" t="s">
        <v>10</v>
      </c>
      <c r="C380" s="331">
        <f>C378*C379</f>
        <v>12</v>
      </c>
      <c r="D380" s="342">
        <f>D245</f>
        <v>689</v>
      </c>
      <c r="E380" s="331">
        <f>C380*D380</f>
        <v>8268</v>
      </c>
      <c r="F380" s="326"/>
      <c r="G380" s="326"/>
    </row>
    <row r="381" spans="1:7" s="6" customFormat="1" x14ac:dyDescent="0.2">
      <c r="A381" s="271" t="s">
        <v>293</v>
      </c>
      <c r="B381" s="300" t="s">
        <v>25</v>
      </c>
      <c r="C381" s="345">
        <v>60000</v>
      </c>
      <c r="D381" s="333">
        <f>E378+E380</f>
        <v>18868</v>
      </c>
      <c r="E381" s="333">
        <f>IFERROR(D381/C381,"-")</f>
        <v>0.31446666666666667</v>
      </c>
      <c r="F381" s="326"/>
      <c r="G381" s="326"/>
    </row>
    <row r="382" spans="1:7" s="6" customFormat="1" ht="13.5" thickBot="1" x14ac:dyDescent="0.25">
      <c r="A382" s="271" t="s">
        <v>53</v>
      </c>
      <c r="B382" s="300" t="s">
        <v>17</v>
      </c>
      <c r="C382" s="338">
        <f>B355</f>
        <v>1248</v>
      </c>
      <c r="D382" s="333">
        <f>E381</f>
        <v>0.31446666666666667</v>
      </c>
      <c r="E382" s="333">
        <f>IFERROR(C382*D382,0)</f>
        <v>392.45440000000002</v>
      </c>
      <c r="F382" s="326"/>
      <c r="G382" s="326"/>
    </row>
    <row r="383" spans="1:7" s="6" customFormat="1" ht="13.5" thickBot="1" x14ac:dyDescent="0.25">
      <c r="D383" s="326"/>
      <c r="E383" s="326"/>
      <c r="F383" s="20">
        <f>E382</f>
        <v>392.45440000000002</v>
      </c>
      <c r="G383" s="326"/>
    </row>
    <row r="384" spans="1:7" s="6" customFormat="1" ht="13.5" thickBot="1" x14ac:dyDescent="0.25">
      <c r="D384" s="310"/>
      <c r="E384" s="329"/>
      <c r="F384" s="32"/>
      <c r="G384" s="326"/>
    </row>
    <row r="385" spans="1:7" s="6" customFormat="1" ht="13.5" thickBot="1" x14ac:dyDescent="0.25">
      <c r="A385" s="23" t="s">
        <v>332</v>
      </c>
      <c r="B385" s="24"/>
      <c r="C385" s="24"/>
      <c r="D385" s="25"/>
      <c r="E385" s="26"/>
      <c r="F385" s="302">
        <f>F323+F344+F352+F369+F374+F383</f>
        <v>13012.035569729254</v>
      </c>
      <c r="G385" s="326"/>
    </row>
    <row r="386" spans="1:7" ht="11.25" customHeight="1" thickBot="1" x14ac:dyDescent="0.25">
      <c r="C386" s="18"/>
    </row>
    <row r="387" spans="1:7" ht="17.25" customHeight="1" thickBot="1" x14ac:dyDescent="0.25">
      <c r="A387" s="23" t="s">
        <v>229</v>
      </c>
      <c r="B387" s="27"/>
      <c r="C387" s="27"/>
      <c r="D387" s="28"/>
      <c r="E387" s="29"/>
      <c r="F387" s="21">
        <f>+F385+F139+F173+F251+F263+F290+F301</f>
        <v>181872.81724932193</v>
      </c>
    </row>
    <row r="388" spans="1:7" ht="17.25" customHeight="1" x14ac:dyDescent="0.2">
      <c r="A388" s="10"/>
      <c r="D388" s="54"/>
      <c r="E388" s="54"/>
      <c r="F388" s="22"/>
    </row>
    <row r="389" spans="1:7" x14ac:dyDescent="0.2">
      <c r="A389" s="10" t="s">
        <v>338</v>
      </c>
    </row>
    <row r="390" spans="1:7" ht="11.25" customHeight="1" thickBot="1" x14ac:dyDescent="0.25"/>
    <row r="391" spans="1:7" ht="13.5" thickBot="1" x14ac:dyDescent="0.25">
      <c r="A391" s="55" t="s">
        <v>61</v>
      </c>
      <c r="B391" s="56" t="s">
        <v>62</v>
      </c>
      <c r="C391" s="56" t="s">
        <v>39</v>
      </c>
      <c r="D391" s="57" t="s">
        <v>239</v>
      </c>
      <c r="E391" s="57" t="s">
        <v>63</v>
      </c>
      <c r="F391" s="58" t="s">
        <v>64</v>
      </c>
    </row>
    <row r="392" spans="1:7" ht="13.5" thickBot="1" x14ac:dyDescent="0.25">
      <c r="A392" s="12" t="s">
        <v>36</v>
      </c>
      <c r="B392" s="13" t="s">
        <v>2</v>
      </c>
      <c r="C392" s="126">
        <f>'3.BDI - PREFEITURA'!C15*100</f>
        <v>27.87</v>
      </c>
      <c r="D392" s="14">
        <f>+F387</f>
        <v>181872.81724932193</v>
      </c>
      <c r="E392" s="14">
        <f>C392*D392/100</f>
        <v>50687.954167386022</v>
      </c>
    </row>
    <row r="393" spans="1:7" ht="13.5" thickBot="1" x14ac:dyDescent="0.25">
      <c r="F393" s="20">
        <f>+E392</f>
        <v>50687.954167386022</v>
      </c>
    </row>
    <row r="394" spans="1:7" ht="11.25" customHeight="1" thickBot="1" x14ac:dyDescent="0.25"/>
    <row r="395" spans="1:7" ht="13.5" thickBot="1" x14ac:dyDescent="0.25">
      <c r="A395" s="23" t="s">
        <v>244</v>
      </c>
      <c r="B395" s="27"/>
      <c r="C395" s="27"/>
      <c r="D395" s="28"/>
      <c r="E395" s="29"/>
      <c r="F395" s="21">
        <f>F393</f>
        <v>50687.954167386022</v>
      </c>
    </row>
    <row r="396" spans="1:7" ht="13.5" thickBot="1" x14ac:dyDescent="0.25">
      <c r="A396" s="10"/>
      <c r="B396" s="10"/>
      <c r="C396" s="10"/>
      <c r="D396" s="33"/>
      <c r="E396" s="33"/>
      <c r="F396" s="32"/>
    </row>
    <row r="397" spans="1:7" ht="24.75" customHeight="1" thickBot="1" x14ac:dyDescent="0.25">
      <c r="A397" s="23" t="s">
        <v>230</v>
      </c>
      <c r="B397" s="27"/>
      <c r="C397" s="27"/>
      <c r="D397" s="28"/>
      <c r="E397" s="29"/>
      <c r="F397" s="21">
        <f>F387+F395</f>
        <v>232560.77141670795</v>
      </c>
    </row>
    <row r="398" spans="1:7" ht="10.5" customHeight="1" x14ac:dyDescent="0.2">
      <c r="A398" s="51"/>
      <c r="B398" s="51"/>
      <c r="C398" s="51"/>
      <c r="D398" s="52"/>
      <c r="E398" s="52"/>
      <c r="F398" s="52"/>
    </row>
    <row r="399" spans="1:7" ht="14.25" hidden="1" x14ac:dyDescent="0.2">
      <c r="A399" s="7"/>
      <c r="B399" s="7"/>
      <c r="C399" s="7"/>
      <c r="D399" s="34"/>
      <c r="E399" s="34"/>
    </row>
    <row r="400" spans="1:7" ht="15.75" hidden="1" customHeight="1" x14ac:dyDescent="0.2">
      <c r="A400" s="221" t="s">
        <v>226</v>
      </c>
      <c r="B400" s="222"/>
      <c r="C400" s="222"/>
      <c r="D400" s="223">
        <v>0</v>
      </c>
      <c r="E400" s="224" t="s">
        <v>26</v>
      </c>
      <c r="G400" s="9" t="s">
        <v>203</v>
      </c>
    </row>
    <row r="401" spans="1:7" hidden="1" x14ac:dyDescent="0.2"/>
    <row r="402" spans="1:7" ht="25.5" hidden="1" customHeight="1" thickBot="1" x14ac:dyDescent="0.25">
      <c r="A402" s="23" t="s">
        <v>68</v>
      </c>
      <c r="B402" s="24"/>
      <c r="C402" s="24"/>
      <c r="D402" s="25"/>
      <c r="E402" s="225" t="s">
        <v>32</v>
      </c>
      <c r="F402" s="226" t="str">
        <f>IFERROR(F397/D400,"-")</f>
        <v>-</v>
      </c>
      <c r="G402" s="9" t="s">
        <v>203</v>
      </c>
    </row>
    <row r="403" spans="1:7" ht="12.6" customHeight="1" x14ac:dyDescent="0.2">
      <c r="A403" s="10" t="s">
        <v>392</v>
      </c>
      <c r="B403" s="10"/>
      <c r="C403" s="10"/>
      <c r="D403" s="33"/>
      <c r="E403" s="33"/>
      <c r="F403" s="33"/>
    </row>
    <row r="404" spans="1:7" ht="12.6" customHeight="1" x14ac:dyDescent="0.2">
      <c r="A404" s="10"/>
      <c r="B404" s="10"/>
      <c r="C404" s="10"/>
      <c r="D404" s="33"/>
      <c r="E404" s="33"/>
      <c r="F404" s="33"/>
    </row>
    <row r="405" spans="1:7" ht="12.6" customHeight="1" x14ac:dyDescent="0.2">
      <c r="A405" s="10"/>
      <c r="B405" s="10"/>
      <c r="C405" s="10"/>
      <c r="D405" s="33"/>
      <c r="E405" s="33"/>
      <c r="F405" s="33"/>
    </row>
    <row r="406" spans="1:7" ht="12.6" customHeight="1" x14ac:dyDescent="0.2">
      <c r="A406" s="10"/>
      <c r="B406" s="10"/>
      <c r="C406" s="10"/>
      <c r="D406" s="33"/>
      <c r="E406" s="33"/>
      <c r="F406" s="33"/>
    </row>
    <row r="407" spans="1:7" s="4" customFormat="1" ht="9.75" customHeight="1" x14ac:dyDescent="0.2">
      <c r="A407" s="37"/>
      <c r="B407" s="9"/>
      <c r="C407" s="9"/>
      <c r="D407" s="9"/>
      <c r="E407" s="9"/>
      <c r="F407" s="9"/>
      <c r="G407" s="5"/>
    </row>
    <row r="408" spans="1:7" s="4" customFormat="1" ht="21" customHeight="1" x14ac:dyDescent="0.2">
      <c r="A408" s="280" t="s">
        <v>304</v>
      </c>
      <c r="B408" s="9"/>
      <c r="C408" s="355" t="s">
        <v>390</v>
      </c>
      <c r="D408" s="355"/>
      <c r="E408" s="355"/>
      <c r="F408" s="9"/>
      <c r="G408" s="5"/>
    </row>
    <row r="409" spans="1:7" s="4" customFormat="1" ht="20.25" customHeight="1" x14ac:dyDescent="0.2">
      <c r="A409" s="296" t="s">
        <v>305</v>
      </c>
      <c r="B409" s="9"/>
      <c r="C409" s="356" t="s">
        <v>391</v>
      </c>
      <c r="D409" s="356"/>
      <c r="E409" s="356"/>
      <c r="F409" s="9"/>
      <c r="G409" s="5"/>
    </row>
    <row r="410" spans="1:7" s="4" customFormat="1" ht="9.75" customHeight="1" x14ac:dyDescent="0.2">
      <c r="A410" s="37"/>
      <c r="B410" s="9"/>
      <c r="C410" s="9"/>
      <c r="D410" s="9"/>
      <c r="E410" s="9"/>
      <c r="F410" s="9"/>
      <c r="G410" s="5"/>
    </row>
    <row r="411" spans="1:7" s="4" customFormat="1" ht="9.75" customHeight="1" x14ac:dyDescent="0.2">
      <c r="A411" s="37"/>
      <c r="B411" s="9"/>
      <c r="C411" s="9"/>
      <c r="D411" s="9"/>
      <c r="E411" s="9"/>
      <c r="F411" s="9"/>
      <c r="G411" s="5"/>
    </row>
    <row r="441" s="8" customFormat="1" ht="9" customHeight="1" x14ac:dyDescent="0.2"/>
  </sheetData>
  <mergeCells count="11">
    <mergeCell ref="C408:E408"/>
    <mergeCell ref="C409:E409"/>
    <mergeCell ref="A46:D46"/>
    <mergeCell ref="A21:C21"/>
    <mergeCell ref="A8:F8"/>
    <mergeCell ref="A9:F9"/>
    <mergeCell ref="A39:D39"/>
    <mergeCell ref="A11:F11"/>
    <mergeCell ref="A38:E38"/>
    <mergeCell ref="C194:D194"/>
    <mergeCell ref="C210:D210"/>
  </mergeCells>
  <phoneticPr fontId="9" type="noConversion"/>
  <hyperlinks>
    <hyperlink ref="A195" location="AbaRemun" display="3.1.2. Remuneração do Capital" xr:uid="{00000000-0004-0000-0000-000000000000}"/>
    <hyperlink ref="A179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66" fitToHeight="0" orientation="portrait" horizontalDpi="4294967293" verticalDpi="4294967293" r:id="rId1"/>
  <headerFooter alignWithMargins="0">
    <oddFooter>&amp;R&amp;P de &amp;N</oddFooter>
  </headerFooter>
  <drawing r:id="rId2"/>
  <legacyDrawing r:id="rId3"/>
  <oleObjects>
    <mc:AlternateContent xmlns:mc="http://schemas.openxmlformats.org/markup-compatibility/2006">
      <mc:Choice Requires="x14">
        <oleObject progId="Word.Picture.8" shapeId="1259" r:id="rId4">
          <objectPr defaultSize="0" autoPict="0" r:id="rId5">
            <anchor moveWithCells="1" sizeWithCells="1">
              <from>
                <xdr:col>0</xdr:col>
                <xdr:colOff>1571625</xdr:colOff>
                <xdr:row>1</xdr:row>
                <xdr:rowOff>123825</xdr:rowOff>
              </from>
              <to>
                <xdr:col>0</xdr:col>
                <xdr:colOff>2276475</xdr:colOff>
                <xdr:row>6</xdr:row>
                <xdr:rowOff>38100</xdr:rowOff>
              </to>
            </anchor>
          </objectPr>
        </oleObject>
      </mc:Choice>
      <mc:Fallback>
        <oleObject progId="Word.Picture.8" shapeId="125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7"/>
  <sheetViews>
    <sheetView zoomScaleNormal="100" workbookViewId="0">
      <selection activeCell="B41" sqref="B41"/>
    </sheetView>
  </sheetViews>
  <sheetFormatPr defaultRowHeight="12.75" x14ac:dyDescent="0.2"/>
  <cols>
    <col min="1" max="1" width="13.5703125" style="1" customWidth="1"/>
    <col min="2" max="2" width="55.28515625" style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6" x14ac:dyDescent="0.2">
      <c r="A1" s="272" t="s">
        <v>132</v>
      </c>
      <c r="B1" s="288"/>
      <c r="C1" s="288"/>
    </row>
    <row r="2" spans="1:6" x14ac:dyDescent="0.2">
      <c r="A2" s="275" t="s">
        <v>132</v>
      </c>
      <c r="B2" s="288"/>
      <c r="C2" s="288"/>
    </row>
    <row r="3" spans="1:6" ht="44.25" customHeight="1" thickBot="1" x14ac:dyDescent="0.25">
      <c r="A3" s="288"/>
      <c r="B3" s="288"/>
      <c r="C3" s="288"/>
    </row>
    <row r="4" spans="1:6" ht="18" x14ac:dyDescent="0.2">
      <c r="A4" s="375" t="s">
        <v>233</v>
      </c>
      <c r="B4" s="376"/>
      <c r="C4" s="377"/>
      <c r="D4" s="133"/>
      <c r="E4" s="133"/>
      <c r="F4" s="133"/>
    </row>
    <row r="5" spans="1:6" ht="14.25" x14ac:dyDescent="0.2">
      <c r="A5" s="149" t="s">
        <v>141</v>
      </c>
      <c r="B5" s="294" t="s">
        <v>142</v>
      </c>
      <c r="C5" s="295" t="s">
        <v>143</v>
      </c>
      <c r="D5" s="153"/>
    </row>
    <row r="6" spans="1:6" ht="14.25" x14ac:dyDescent="0.2">
      <c r="A6" s="149" t="s">
        <v>144</v>
      </c>
      <c r="B6" s="152" t="s">
        <v>40</v>
      </c>
      <c r="C6" s="290">
        <v>0.2</v>
      </c>
      <c r="D6" s="153"/>
    </row>
    <row r="7" spans="1:6" ht="14.25" x14ac:dyDescent="0.2">
      <c r="A7" s="149" t="s">
        <v>145</v>
      </c>
      <c r="B7" s="152" t="s">
        <v>146</v>
      </c>
      <c r="C7" s="290">
        <v>1.4999999999999999E-2</v>
      </c>
      <c r="D7" s="153"/>
    </row>
    <row r="8" spans="1:6" ht="14.25" x14ac:dyDescent="0.2">
      <c r="A8" s="149" t="s">
        <v>147</v>
      </c>
      <c r="B8" s="152" t="s">
        <v>148</v>
      </c>
      <c r="C8" s="290">
        <v>0.01</v>
      </c>
      <c r="D8" s="153"/>
    </row>
    <row r="9" spans="1:6" ht="14.25" x14ac:dyDescent="0.2">
      <c r="A9" s="149" t="s">
        <v>149</v>
      </c>
      <c r="B9" s="152" t="s">
        <v>150</v>
      </c>
      <c r="C9" s="290">
        <v>2E-3</v>
      </c>
      <c r="D9" s="153"/>
    </row>
    <row r="10" spans="1:6" ht="14.25" x14ac:dyDescent="0.2">
      <c r="A10" s="149" t="s">
        <v>151</v>
      </c>
      <c r="B10" s="152" t="s">
        <v>152</v>
      </c>
      <c r="C10" s="290">
        <v>6.0000000000000001E-3</v>
      </c>
      <c r="D10" s="153"/>
    </row>
    <row r="11" spans="1:6" ht="14.25" x14ac:dyDescent="0.2">
      <c r="A11" s="149" t="s">
        <v>153</v>
      </c>
      <c r="B11" s="152" t="s">
        <v>154</v>
      </c>
      <c r="C11" s="290">
        <v>2.5000000000000001E-2</v>
      </c>
      <c r="D11" s="153"/>
    </row>
    <row r="12" spans="1:6" ht="14.25" x14ac:dyDescent="0.2">
      <c r="A12" s="149" t="s">
        <v>155</v>
      </c>
      <c r="B12" s="152" t="s">
        <v>156</v>
      </c>
      <c r="C12" s="290">
        <v>0.03</v>
      </c>
      <c r="D12" s="153"/>
    </row>
    <row r="13" spans="1:6" ht="14.25" x14ac:dyDescent="0.2">
      <c r="A13" s="149" t="s">
        <v>157</v>
      </c>
      <c r="B13" s="152" t="s">
        <v>41</v>
      </c>
      <c r="C13" s="290">
        <v>0.08</v>
      </c>
      <c r="D13" s="153"/>
    </row>
    <row r="14" spans="1:6" ht="15" x14ac:dyDescent="0.2">
      <c r="A14" s="149" t="s">
        <v>158</v>
      </c>
      <c r="B14" s="154" t="s">
        <v>159</v>
      </c>
      <c r="C14" s="291">
        <f>SUM(C6:C13)</f>
        <v>0.36800000000000005</v>
      </c>
      <c r="D14" s="153"/>
    </row>
    <row r="15" spans="1:6" ht="15" x14ac:dyDescent="0.2">
      <c r="A15" s="289"/>
      <c r="B15" s="155"/>
      <c r="C15" s="292"/>
      <c r="D15" s="153"/>
    </row>
    <row r="16" spans="1:6" ht="14.25" x14ac:dyDescent="0.2">
      <c r="A16" s="149" t="s">
        <v>160</v>
      </c>
      <c r="B16" s="156" t="s">
        <v>161</v>
      </c>
      <c r="C16" s="290">
        <f>ROUND(IF('7.CAGED'!C39&gt;24,(1-12/'7.CAGED'!C39)*0.1111,0.1111-C25),4)</f>
        <v>5.74E-2</v>
      </c>
      <c r="D16" s="153"/>
    </row>
    <row r="17" spans="1:8" ht="14.25" x14ac:dyDescent="0.2">
      <c r="A17" s="149" t="s">
        <v>162</v>
      </c>
      <c r="B17" s="156" t="s">
        <v>163</v>
      </c>
      <c r="C17" s="290">
        <f>ROUND('7.CAGED'!C33/'7.CAGED'!C30,4)</f>
        <v>8.3299999999999999E-2</v>
      </c>
      <c r="D17" s="153"/>
    </row>
    <row r="18" spans="1:8" ht="14.25" x14ac:dyDescent="0.2">
      <c r="A18" s="149" t="s">
        <v>224</v>
      </c>
      <c r="B18" s="156" t="s">
        <v>165</v>
      </c>
      <c r="C18" s="290">
        <v>5.9999999999999995E-4</v>
      </c>
      <c r="D18" s="153"/>
    </row>
    <row r="19" spans="1:8" ht="14.25" x14ac:dyDescent="0.2">
      <c r="A19" s="149" t="s">
        <v>164</v>
      </c>
      <c r="B19" s="156" t="s">
        <v>167</v>
      </c>
      <c r="C19" s="290">
        <v>8.2000000000000007E-3</v>
      </c>
      <c r="D19" s="153"/>
    </row>
    <row r="20" spans="1:8" ht="14.25" x14ac:dyDescent="0.2">
      <c r="A20" s="149" t="s">
        <v>166</v>
      </c>
      <c r="B20" s="156" t="s">
        <v>169</v>
      </c>
      <c r="C20" s="290">
        <v>3.0999999999999999E-3</v>
      </c>
      <c r="D20" s="153"/>
    </row>
    <row r="21" spans="1:8" ht="14.25" x14ac:dyDescent="0.2">
      <c r="A21" s="149" t="s">
        <v>168</v>
      </c>
      <c r="B21" s="156" t="s">
        <v>170</v>
      </c>
      <c r="C21" s="290">
        <v>1.66E-2</v>
      </c>
      <c r="D21" s="153"/>
    </row>
    <row r="22" spans="1:8" ht="15" x14ac:dyDescent="0.2">
      <c r="A22" s="149" t="s">
        <v>171</v>
      </c>
      <c r="B22" s="154" t="s">
        <v>172</v>
      </c>
      <c r="C22" s="291">
        <f>SUM(C16:C21)</f>
        <v>0.16919999999999999</v>
      </c>
      <c r="D22" s="157"/>
    </row>
    <row r="23" spans="1:8" ht="15" x14ac:dyDescent="0.2">
      <c r="A23" s="289"/>
      <c r="B23" s="155"/>
      <c r="C23" s="292"/>
      <c r="D23" s="157"/>
    </row>
    <row r="24" spans="1:8" ht="14.25" x14ac:dyDescent="0.2">
      <c r="A24" s="149" t="s">
        <v>173</v>
      </c>
      <c r="B24" s="152" t="s">
        <v>174</v>
      </c>
      <c r="C24" s="290">
        <f>ROUND(('7.CAGED'!C38) *'7.CAGED'!C29/'7.CAGED'!C30,4)</f>
        <v>3.9E-2</v>
      </c>
      <c r="D24" s="153"/>
      <c r="E24" s="158"/>
    </row>
    <row r="25" spans="1:8" ht="14.25" x14ac:dyDescent="0.2">
      <c r="A25" s="149" t="s">
        <v>223</v>
      </c>
      <c r="B25" s="152" t="s">
        <v>176</v>
      </c>
      <c r="C25" s="290">
        <f>ROUND(IF('7.CAGED'!C39&gt;12,12/'7.CAGED'!C39*0.1111,0.1111),4)</f>
        <v>5.3699999999999998E-2</v>
      </c>
      <c r="D25" s="153"/>
      <c r="H25" s="159"/>
    </row>
    <row r="26" spans="1:8" ht="14.25" x14ac:dyDescent="0.2">
      <c r="A26" s="149" t="s">
        <v>175</v>
      </c>
      <c r="B26" s="152" t="s">
        <v>178</v>
      </c>
      <c r="C26" s="290">
        <f>ROUND(('7.CAGED'!C32+'7.CAGED'!C31)/360*C24,4)</f>
        <v>4.3E-3</v>
      </c>
      <c r="D26" s="153"/>
    </row>
    <row r="27" spans="1:8" ht="14.25" x14ac:dyDescent="0.2">
      <c r="A27" s="149" t="s">
        <v>177</v>
      </c>
      <c r="B27" s="152" t="s">
        <v>180</v>
      </c>
      <c r="C27" s="290">
        <f>ROUND(('7.CAGED'!C30+'7.CAGED'!C31+'7.CAGED'!C33)/'7.CAGED'!C28*'7.CAGED'!C35*'7.CAGED'!C36*'7.CAGED'!C29/'7.CAGED'!C30,4)</f>
        <v>3.5900000000000001E-2</v>
      </c>
      <c r="D27" s="153"/>
      <c r="G27" s="158"/>
    </row>
    <row r="28" spans="1:8" ht="14.25" x14ac:dyDescent="0.2">
      <c r="A28" s="149" t="s">
        <v>179</v>
      </c>
      <c r="B28" s="152" t="s">
        <v>181</v>
      </c>
      <c r="C28" s="290">
        <f>ROUND(('7.CAGED'!C32/'7.CAGED'!C30)*'7.CAGED'!C29/12,4)</f>
        <v>2.7000000000000001E-3</v>
      </c>
      <c r="D28" s="153"/>
    </row>
    <row r="29" spans="1:8" ht="15" x14ac:dyDescent="0.2">
      <c r="A29" s="149" t="s">
        <v>182</v>
      </c>
      <c r="B29" s="154" t="s">
        <v>183</v>
      </c>
      <c r="C29" s="291">
        <f>SUM(C24:C28)</f>
        <v>0.13560000000000003</v>
      </c>
      <c r="D29" s="157"/>
    </row>
    <row r="30" spans="1:8" ht="15" x14ac:dyDescent="0.2">
      <c r="A30" s="289"/>
      <c r="B30" s="155"/>
      <c r="C30" s="292"/>
      <c r="D30" s="157"/>
    </row>
    <row r="31" spans="1:8" ht="14.25" x14ac:dyDescent="0.2">
      <c r="A31" s="149" t="s">
        <v>184</v>
      </c>
      <c r="B31" s="152" t="s">
        <v>185</v>
      </c>
      <c r="C31" s="290">
        <f>ROUND(C14*C22,4)</f>
        <v>6.2300000000000001E-2</v>
      </c>
      <c r="D31" s="153"/>
    </row>
    <row r="32" spans="1:8" ht="14.25" x14ac:dyDescent="0.2">
      <c r="A32" s="149" t="s">
        <v>186</v>
      </c>
      <c r="B32" s="160" t="s">
        <v>187</v>
      </c>
      <c r="C32" s="290">
        <f>ROUND((C24*C14),4)</f>
        <v>1.44E-2</v>
      </c>
      <c r="D32" s="153"/>
    </row>
    <row r="33" spans="1:4" ht="15" x14ac:dyDescent="0.2">
      <c r="A33" s="149" t="s">
        <v>188</v>
      </c>
      <c r="B33" s="154" t="s">
        <v>189</v>
      </c>
      <c r="C33" s="291">
        <f>SUM(C31:C32)</f>
        <v>7.6700000000000004E-2</v>
      </c>
      <c r="D33" s="157"/>
    </row>
    <row r="34" spans="1:4" ht="15.75" thickBot="1" x14ac:dyDescent="0.25">
      <c r="A34" s="161"/>
      <c r="B34" s="162" t="s">
        <v>190</v>
      </c>
      <c r="C34" s="293">
        <f>C33+C29+C22+C14</f>
        <v>0.74950000000000006</v>
      </c>
      <c r="D34" s="157"/>
    </row>
    <row r="35" spans="1:4" ht="15" x14ac:dyDescent="0.2">
      <c r="A35" s="153"/>
      <c r="B35" s="153" t="s">
        <v>340</v>
      </c>
      <c r="C35" s="163"/>
      <c r="D35" s="164"/>
    </row>
    <row r="36" spans="1:4" ht="14.25" x14ac:dyDescent="0.2">
      <c r="A36" s="153"/>
      <c r="B36" s="153"/>
      <c r="C36" s="165"/>
      <c r="D36" s="166"/>
    </row>
    <row r="37" spans="1:4" ht="14.25" x14ac:dyDescent="0.2">
      <c r="A37" s="153"/>
      <c r="B37" s="153"/>
      <c r="C37" s="165"/>
      <c r="D37" s="153"/>
    </row>
    <row r="38" spans="1:4" ht="14.25" x14ac:dyDescent="0.2">
      <c r="A38" s="153"/>
      <c r="B38" s="298"/>
      <c r="C38" s="165"/>
      <c r="D38" s="153"/>
    </row>
    <row r="39" spans="1:4" ht="15.75" x14ac:dyDescent="0.2">
      <c r="B39" s="280" t="s">
        <v>297</v>
      </c>
    </row>
    <row r="40" spans="1:4" ht="15.75" x14ac:dyDescent="0.2">
      <c r="B40" s="280" t="s">
        <v>342</v>
      </c>
    </row>
    <row r="41" spans="1:4" ht="15" x14ac:dyDescent="0.2">
      <c r="A41" s="157"/>
      <c r="B41" s="167"/>
      <c r="C41" s="163"/>
      <c r="D41" s="157"/>
    </row>
    <row r="42" spans="1:4" ht="15" x14ac:dyDescent="0.2">
      <c r="A42" s="157"/>
      <c r="B42" s="167"/>
      <c r="C42" s="163"/>
      <c r="D42" s="157"/>
    </row>
    <row r="43" spans="1:4" ht="16.5" x14ac:dyDescent="0.2">
      <c r="A43" s="168"/>
      <c r="B43" s="297"/>
    </row>
    <row r="44" spans="1:4" ht="15" x14ac:dyDescent="0.2">
      <c r="A44" s="169"/>
      <c r="B44" s="296" t="s">
        <v>341</v>
      </c>
      <c r="C44" s="296"/>
      <c r="D44" s="296"/>
    </row>
    <row r="45" spans="1:4" ht="15" x14ac:dyDescent="0.2">
      <c r="A45" s="153"/>
      <c r="B45" s="296" t="s">
        <v>298</v>
      </c>
      <c r="C45" s="296"/>
      <c r="D45" s="296"/>
    </row>
    <row r="46" spans="1:4" ht="14.25" x14ac:dyDescent="0.2">
      <c r="A46" s="153"/>
      <c r="B46" s="171"/>
      <c r="C46" s="153"/>
    </row>
    <row r="47" spans="1:4" ht="14.25" x14ac:dyDescent="0.2">
      <c r="A47" s="153"/>
      <c r="B47" s="165"/>
      <c r="C47" s="170"/>
    </row>
    <row r="48" spans="1:4" ht="14.25" x14ac:dyDescent="0.2">
      <c r="A48" s="153"/>
      <c r="B48" s="171"/>
      <c r="C48" s="153"/>
    </row>
    <row r="49" spans="1:3" ht="14.25" x14ac:dyDescent="0.2">
      <c r="A49" s="153"/>
      <c r="B49" s="165"/>
      <c r="C49" s="170"/>
    </row>
    <row r="50" spans="1:3" ht="14.25" x14ac:dyDescent="0.2">
      <c r="A50" s="153"/>
      <c r="B50" s="171"/>
      <c r="C50" s="153"/>
    </row>
    <row r="51" spans="1:3" ht="14.25" x14ac:dyDescent="0.2">
      <c r="A51" s="153"/>
      <c r="B51" s="165"/>
      <c r="C51" s="170"/>
    </row>
    <row r="52" spans="1:3" ht="14.25" x14ac:dyDescent="0.2">
      <c r="A52" s="153"/>
      <c r="B52" s="171"/>
      <c r="C52" s="153"/>
    </row>
    <row r="53" spans="1:3" ht="14.25" x14ac:dyDescent="0.2">
      <c r="A53" s="153"/>
      <c r="B53" s="165"/>
      <c r="C53" s="170"/>
    </row>
    <row r="54" spans="1:3" ht="16.5" x14ac:dyDescent="0.2">
      <c r="A54" s="168"/>
    </row>
    <row r="57" spans="1:3" x14ac:dyDescent="0.2">
      <c r="A57" s="172"/>
    </row>
  </sheetData>
  <mergeCells count="1">
    <mergeCell ref="A4:C4"/>
  </mergeCells>
  <pageMargins left="0.90551181102362199" right="0.51181102362204722" top="0.74803149606299213" bottom="0.74803149606299213" header="0.31496062992125984" footer="0.31496062992125984"/>
  <pageSetup paperSize="9" orientation="portrait" horizontalDpi="4294967293" verticalDpi="4294967293" r:id="rId1"/>
  <drawing r:id="rId2"/>
  <legacyDrawing r:id="rId3"/>
  <oleObjects>
    <mc:AlternateContent xmlns:mc="http://schemas.openxmlformats.org/markup-compatibility/2006">
      <mc:Choice Requires="x14">
        <oleObject progId="Word.Picture.8" shapeId="8193" r:id="rId4">
          <objectPr defaultSize="0" autoPict="0" r:id="rId5">
            <anchor moveWithCells="1" sizeWithCells="1">
              <from>
                <xdr:col>1</xdr:col>
                <xdr:colOff>1571625</xdr:colOff>
                <xdr:row>0</xdr:row>
                <xdr:rowOff>28575</xdr:rowOff>
              </from>
              <to>
                <xdr:col>1</xdr:col>
                <xdr:colOff>2514600</xdr:colOff>
                <xdr:row>2</xdr:row>
                <xdr:rowOff>676275</xdr:rowOff>
              </to>
            </anchor>
          </objectPr>
        </oleObject>
      </mc:Choice>
      <mc:Fallback>
        <oleObject progId="Word.Picture.8" shapeId="819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7"/>
  <sheetViews>
    <sheetView workbookViewId="0">
      <selection activeCell="J15" sqref="J15"/>
    </sheetView>
  </sheetViews>
  <sheetFormatPr defaultRowHeight="12.75" x14ac:dyDescent="0.2"/>
  <cols>
    <col min="1" max="1" width="41.140625" customWidth="1"/>
    <col min="2" max="2" width="9.140625" customWidth="1"/>
    <col min="3" max="3" width="52" customWidth="1"/>
    <col min="4" max="4" width="0.140625" customWidth="1"/>
    <col min="5" max="5" width="0.140625" hidden="1" customWidth="1"/>
    <col min="6" max="6" width="24.28515625" hidden="1" customWidth="1"/>
    <col min="7" max="7" width="0.28515625" customWidth="1"/>
  </cols>
  <sheetData>
    <row r="1" spans="1:6" x14ac:dyDescent="0.2">
      <c r="A1" s="287"/>
      <c r="B1" s="287"/>
      <c r="C1" s="287"/>
    </row>
    <row r="2" spans="1:6" x14ac:dyDescent="0.2">
      <c r="A2" s="287"/>
      <c r="B2" s="287"/>
      <c r="C2" s="287"/>
    </row>
    <row r="3" spans="1:6" x14ac:dyDescent="0.2">
      <c r="A3" s="287"/>
      <c r="B3" s="287"/>
      <c r="C3" s="287"/>
    </row>
    <row r="4" spans="1:6" ht="48.75" customHeight="1" thickBot="1" x14ac:dyDescent="0.25">
      <c r="A4" s="287"/>
      <c r="B4" s="287"/>
      <c r="C4" s="287"/>
    </row>
    <row r="5" spans="1:6" ht="16.5" thickBot="1" x14ac:dyDescent="0.25">
      <c r="A5" s="378" t="s">
        <v>232</v>
      </c>
      <c r="B5" s="379"/>
      <c r="C5" s="379"/>
      <c r="D5" s="379"/>
      <c r="E5" s="379"/>
      <c r="F5" s="380"/>
    </row>
    <row r="6" spans="1:6" ht="15.75" thickBot="1" x14ac:dyDescent="0.3">
      <c r="A6" s="184"/>
      <c r="B6" s="7"/>
      <c r="C6" s="7"/>
      <c r="D6" s="381" t="s">
        <v>250</v>
      </c>
      <c r="E6" s="382"/>
      <c r="F6" s="383"/>
    </row>
    <row r="7" spans="1:6" ht="24.75" customHeight="1" x14ac:dyDescent="0.2">
      <c r="A7" s="188" t="s">
        <v>74</v>
      </c>
      <c r="B7" s="189" t="s">
        <v>75</v>
      </c>
      <c r="C7" s="190">
        <v>5.0799999999999998E-2</v>
      </c>
      <c r="D7" s="211">
        <v>2.9700000000000001E-2</v>
      </c>
      <c r="E7" s="212">
        <v>5.0799999999999998E-2</v>
      </c>
      <c r="F7" s="213">
        <v>6.2700000000000006E-2</v>
      </c>
    </row>
    <row r="8" spans="1:6" ht="27.75" customHeight="1" x14ac:dyDescent="0.2">
      <c r="A8" s="192" t="s">
        <v>76</v>
      </c>
      <c r="B8" s="193" t="s">
        <v>77</v>
      </c>
      <c r="C8" s="194">
        <v>1.3299999999999999E-2</v>
      </c>
      <c r="D8" s="211">
        <f>0.3%+0.56%</f>
        <v>8.6E-3</v>
      </c>
      <c r="E8" s="212">
        <f>0.48%+0.85%</f>
        <v>1.3299999999999999E-2</v>
      </c>
      <c r="F8" s="213">
        <f>0.82%+0.89%</f>
        <v>1.7099999999999997E-2</v>
      </c>
    </row>
    <row r="9" spans="1:6" ht="28.5" customHeight="1" x14ac:dyDescent="0.2">
      <c r="A9" s="192" t="s">
        <v>78</v>
      </c>
      <c r="B9" s="193" t="s">
        <v>79</v>
      </c>
      <c r="C9" s="194">
        <v>0.1085</v>
      </c>
      <c r="D9" s="211">
        <v>7.7799999999999994E-2</v>
      </c>
      <c r="E9" s="212">
        <v>0.1085</v>
      </c>
      <c r="F9" s="213">
        <v>0.13550000000000001</v>
      </c>
    </row>
    <row r="10" spans="1:6" ht="29.25" customHeight="1" x14ac:dyDescent="0.2">
      <c r="A10" s="192" t="s">
        <v>80</v>
      </c>
      <c r="B10" s="193" t="s">
        <v>81</v>
      </c>
      <c r="C10" s="195">
        <v>1.2E-2</v>
      </c>
      <c r="D10" s="211" t="s">
        <v>289</v>
      </c>
      <c r="E10" s="196"/>
      <c r="F10" s="191"/>
    </row>
    <row r="11" spans="1:6" ht="25.5" customHeight="1" x14ac:dyDescent="0.2">
      <c r="A11" s="192" t="s">
        <v>82</v>
      </c>
      <c r="B11" s="384" t="s">
        <v>83</v>
      </c>
      <c r="C11" s="194">
        <v>0.03</v>
      </c>
      <c r="D11" s="268" t="s">
        <v>194</v>
      </c>
      <c r="E11" s="197"/>
      <c r="F11" s="198"/>
    </row>
    <row r="12" spans="1:6" ht="27" customHeight="1" thickBot="1" x14ac:dyDescent="0.25">
      <c r="A12" s="199" t="s">
        <v>84</v>
      </c>
      <c r="B12" s="385"/>
      <c r="C12" s="200">
        <v>3.6499999999999998E-2</v>
      </c>
      <c r="D12" s="174"/>
      <c r="E12" s="201"/>
      <c r="F12" s="198"/>
    </row>
    <row r="13" spans="1:6" ht="14.25" x14ac:dyDescent="0.2">
      <c r="A13" s="202" t="s">
        <v>85</v>
      </c>
      <c r="B13" s="203"/>
      <c r="C13" s="204"/>
      <c r="D13" s="174"/>
      <c r="E13" s="201"/>
      <c r="F13" s="198"/>
    </row>
    <row r="14" spans="1:6" ht="15" thickBot="1" x14ac:dyDescent="0.25">
      <c r="A14" s="205" t="s">
        <v>86</v>
      </c>
      <c r="B14" s="206"/>
      <c r="C14" s="207"/>
      <c r="D14" s="174"/>
      <c r="E14" s="201"/>
      <c r="F14" s="198"/>
    </row>
    <row r="15" spans="1:6" ht="57.75" customHeight="1" thickBot="1" x14ac:dyDescent="0.25">
      <c r="A15" s="286" t="s">
        <v>87</v>
      </c>
      <c r="B15" s="209"/>
      <c r="C15" s="285">
        <f>ROUND((((1+C7+C8)*(1+C9)*(1+C10))/(1-(C11+C12))-1),4)</f>
        <v>0.2787</v>
      </c>
      <c r="D15" s="214">
        <v>0.21429999999999999</v>
      </c>
      <c r="E15" s="215">
        <v>0.2717</v>
      </c>
      <c r="F15" s="216">
        <v>0.3362</v>
      </c>
    </row>
    <row r="17" spans="1:1" x14ac:dyDescent="0.2">
      <c r="A17" s="246" t="s">
        <v>349</v>
      </c>
    </row>
  </sheetData>
  <mergeCells count="3">
    <mergeCell ref="A5:F5"/>
    <mergeCell ref="D6:F6"/>
    <mergeCell ref="B11:B12"/>
  </mergeCells>
  <pageMargins left="0.511811024" right="0.511811024" top="0.78740157499999996" bottom="0.78740157499999996" header="0.31496062000000002" footer="0.31496062000000002"/>
  <pageSetup paperSize="9" orientation="portrait" horizontalDpi="4294967293" verticalDpi="4294967293" r:id="rId1"/>
  <drawing r:id="rId2"/>
  <legacyDrawing r:id="rId3"/>
  <oleObjects>
    <mc:AlternateContent xmlns:mc="http://schemas.openxmlformats.org/markup-compatibility/2006">
      <mc:Choice Requires="x14">
        <oleObject progId="Word.Picture.8" shapeId="10248" r:id="rId4">
          <objectPr defaultSize="0" autoPict="0" r:id="rId5">
            <anchor moveWithCells="1" sizeWithCells="1">
              <from>
                <xdr:col>0</xdr:col>
                <xdr:colOff>2571750</xdr:colOff>
                <xdr:row>0</xdr:row>
                <xdr:rowOff>0</xdr:rowOff>
              </from>
              <to>
                <xdr:col>2</xdr:col>
                <xdr:colOff>161925</xdr:colOff>
                <xdr:row>3</xdr:row>
                <xdr:rowOff>561975</xdr:rowOff>
              </to>
            </anchor>
          </objectPr>
        </oleObject>
      </mc:Choice>
      <mc:Fallback>
        <oleObject progId="Word.Picture.8" shapeId="10248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7"/>
  <sheetViews>
    <sheetView workbookViewId="0">
      <selection activeCell="B7" sqref="B7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78" t="s">
        <v>234</v>
      </c>
      <c r="B1" s="379"/>
    </row>
    <row r="2" spans="1:2" s="98" customFormat="1" ht="19.5" customHeight="1" x14ac:dyDescent="0.2">
      <c r="A2" s="236" t="s">
        <v>210</v>
      </c>
      <c r="B2" s="237" t="s">
        <v>290</v>
      </c>
    </row>
    <row r="3" spans="1:2" ht="19.5" customHeight="1" x14ac:dyDescent="0.2">
      <c r="A3" s="149">
        <v>1</v>
      </c>
      <c r="B3" s="148">
        <v>33.629999999999995</v>
      </c>
    </row>
    <row r="4" spans="1:2" ht="19.5" customHeight="1" x14ac:dyDescent="0.2">
      <c r="A4" s="149">
        <v>2</v>
      </c>
      <c r="B4" s="148">
        <v>43.13</v>
      </c>
    </row>
    <row r="5" spans="1:2" ht="19.5" customHeight="1" x14ac:dyDescent="0.2">
      <c r="A5" s="149">
        <v>3</v>
      </c>
      <c r="B5" s="148">
        <v>48.68</v>
      </c>
    </row>
    <row r="6" spans="1:2" ht="19.5" customHeight="1" x14ac:dyDescent="0.2">
      <c r="A6" s="149">
        <v>4</v>
      </c>
      <c r="B6" s="148">
        <v>52.62</v>
      </c>
    </row>
    <row r="7" spans="1:2" ht="19.5" customHeight="1" x14ac:dyDescent="0.2">
      <c r="A7" s="149">
        <v>5</v>
      </c>
      <c r="B7" s="148">
        <v>55.679999999999993</v>
      </c>
    </row>
    <row r="8" spans="1:2" ht="19.5" customHeight="1" x14ac:dyDescent="0.2">
      <c r="A8" s="149">
        <v>6</v>
      </c>
      <c r="B8" s="148">
        <v>58.18</v>
      </c>
    </row>
    <row r="9" spans="1:2" ht="19.5" customHeight="1" x14ac:dyDescent="0.2">
      <c r="A9" s="149">
        <v>7</v>
      </c>
      <c r="B9" s="148">
        <v>60.29</v>
      </c>
    </row>
    <row r="10" spans="1:2" ht="19.5" customHeight="1" x14ac:dyDescent="0.2">
      <c r="A10" s="149">
        <v>8</v>
      </c>
      <c r="B10" s="148">
        <v>62.12</v>
      </c>
    </row>
    <row r="11" spans="1:2" ht="19.5" customHeight="1" x14ac:dyDescent="0.2">
      <c r="A11" s="149">
        <v>9</v>
      </c>
      <c r="B11" s="148">
        <v>63.73</v>
      </c>
    </row>
    <row r="12" spans="1:2" ht="19.5" customHeight="1" x14ac:dyDescent="0.2">
      <c r="A12" s="149">
        <v>10</v>
      </c>
      <c r="B12" s="148">
        <v>65.180000000000007</v>
      </c>
    </row>
    <row r="13" spans="1:2" ht="19.5" customHeight="1" x14ac:dyDescent="0.2">
      <c r="A13" s="149">
        <v>11</v>
      </c>
      <c r="B13" s="148">
        <v>66.47999999999999</v>
      </c>
    </row>
    <row r="14" spans="1:2" ht="19.5" customHeight="1" x14ac:dyDescent="0.2">
      <c r="A14" s="149">
        <v>12</v>
      </c>
      <c r="B14" s="148">
        <v>67.67</v>
      </c>
    </row>
    <row r="15" spans="1:2" ht="19.5" customHeight="1" x14ac:dyDescent="0.2">
      <c r="A15" s="149">
        <v>13</v>
      </c>
      <c r="B15" s="148">
        <v>68.77</v>
      </c>
    </row>
    <row r="16" spans="1:2" ht="19.5" customHeight="1" x14ac:dyDescent="0.2">
      <c r="A16" s="149">
        <v>14</v>
      </c>
      <c r="B16" s="148">
        <v>69.789999999999992</v>
      </c>
    </row>
    <row r="17" spans="1:2" ht="19.5" customHeight="1" thickBot="1" x14ac:dyDescent="0.25">
      <c r="A17" s="150">
        <v>15</v>
      </c>
      <c r="B17" s="151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1"/>
  <sheetViews>
    <sheetView zoomScale="130" zoomScaleNormal="130" workbookViewId="0">
      <selection activeCell="C18" sqref="C18"/>
    </sheetView>
  </sheetViews>
  <sheetFormatPr defaultRowHeight="12.75" x14ac:dyDescent="0.2"/>
  <cols>
    <col min="1" max="1" width="58.28515625" style="246" customWidth="1"/>
    <col min="2" max="2" width="11.140625" style="246" bestFit="1" customWidth="1"/>
    <col min="3" max="3" width="11.28515625" style="246" bestFit="1" customWidth="1"/>
    <col min="4" max="16384" width="9.140625" style="246"/>
  </cols>
  <sheetData>
    <row r="1" spans="1:3" x14ac:dyDescent="0.2">
      <c r="A1" s="272" t="s">
        <v>132</v>
      </c>
      <c r="B1" s="299"/>
      <c r="C1" s="299"/>
    </row>
    <row r="2" spans="1:3" x14ac:dyDescent="0.2">
      <c r="A2" s="275" t="s">
        <v>132</v>
      </c>
      <c r="B2" s="299"/>
      <c r="C2" s="299"/>
    </row>
    <row r="3" spans="1:3" x14ac:dyDescent="0.2">
      <c r="A3" s="275" t="s">
        <v>132</v>
      </c>
      <c r="B3" s="299"/>
      <c r="C3" s="299"/>
    </row>
    <row r="4" spans="1:3" x14ac:dyDescent="0.2">
      <c r="A4" s="276" t="s">
        <v>132</v>
      </c>
      <c r="B4" s="299"/>
      <c r="C4" s="299"/>
    </row>
    <row r="5" spans="1:3" ht="13.5" thickBot="1" x14ac:dyDescent="0.25">
      <c r="A5" s="299"/>
      <c r="B5" s="299"/>
      <c r="C5" s="299"/>
    </row>
    <row r="6" spans="1:3" ht="18" x14ac:dyDescent="0.25">
      <c r="A6" s="386" t="s">
        <v>286</v>
      </c>
      <c r="B6" s="387"/>
      <c r="C6" s="388"/>
    </row>
    <row r="7" spans="1:3" ht="18" x14ac:dyDescent="0.25">
      <c r="A7" s="266"/>
      <c r="B7" s="265"/>
      <c r="C7" s="267"/>
    </row>
    <row r="8" spans="1:3" s="98" customFormat="1" ht="15" x14ac:dyDescent="0.25">
      <c r="A8" s="254" t="s">
        <v>287</v>
      </c>
      <c r="B8" s="255" t="s">
        <v>267</v>
      </c>
      <c r="C8" s="256" t="s">
        <v>143</v>
      </c>
    </row>
    <row r="9" spans="1:3" ht="14.25" x14ac:dyDescent="0.2">
      <c r="A9" s="174" t="s">
        <v>275</v>
      </c>
      <c r="B9" s="257" t="s">
        <v>268</v>
      </c>
      <c r="C9" s="175">
        <v>26603</v>
      </c>
    </row>
    <row r="10" spans="1:3" ht="14.25" x14ac:dyDescent="0.2">
      <c r="A10" s="174" t="s">
        <v>276</v>
      </c>
      <c r="B10" s="257" t="s">
        <v>273</v>
      </c>
      <c r="C10" s="258">
        <f>(530000/30)/C9</f>
        <v>0.66408550414113698</v>
      </c>
    </row>
    <row r="11" spans="1:3" ht="14.25" x14ac:dyDescent="0.2">
      <c r="A11" s="174" t="s">
        <v>277</v>
      </c>
      <c r="B11" s="257" t="s">
        <v>274</v>
      </c>
      <c r="C11" s="259">
        <f>C9*C10/1000</f>
        <v>17.666666666666668</v>
      </c>
    </row>
    <row r="12" spans="1:3" ht="14.25" x14ac:dyDescent="0.2">
      <c r="A12" s="174" t="s">
        <v>283</v>
      </c>
      <c r="B12" s="257" t="s">
        <v>269</v>
      </c>
      <c r="C12" s="260">
        <f>(C11*30)</f>
        <v>530</v>
      </c>
    </row>
    <row r="13" spans="1:3" ht="14.25" x14ac:dyDescent="0.2">
      <c r="A13" s="174" t="s">
        <v>279</v>
      </c>
      <c r="B13" s="257" t="s">
        <v>91</v>
      </c>
      <c r="C13" s="263">
        <v>6</v>
      </c>
    </row>
    <row r="14" spans="1:3" ht="14.25" x14ac:dyDescent="0.2">
      <c r="A14" s="174" t="s">
        <v>278</v>
      </c>
      <c r="B14" s="257" t="s">
        <v>274</v>
      </c>
      <c r="C14" s="259">
        <f>IFERROR(C11*6/C13,0)</f>
        <v>17.666666666666668</v>
      </c>
    </row>
    <row r="15" spans="1:3" ht="14.25" x14ac:dyDescent="0.2">
      <c r="A15" s="174" t="s">
        <v>270</v>
      </c>
      <c r="B15" s="257" t="s">
        <v>271</v>
      </c>
      <c r="C15" s="198">
        <v>500</v>
      </c>
    </row>
    <row r="16" spans="1:3" ht="14.25" x14ac:dyDescent="0.2">
      <c r="A16" s="174" t="s">
        <v>284</v>
      </c>
      <c r="B16" s="257"/>
      <c r="C16" s="175">
        <v>2</v>
      </c>
    </row>
    <row r="17" spans="1:10" ht="14.25" x14ac:dyDescent="0.2">
      <c r="A17" s="174" t="s">
        <v>285</v>
      </c>
      <c r="B17" s="257" t="s">
        <v>272</v>
      </c>
      <c r="C17" s="175">
        <v>15</v>
      </c>
    </row>
    <row r="18" spans="1:10" ht="14.25" x14ac:dyDescent="0.2">
      <c r="A18" s="174" t="s">
        <v>280</v>
      </c>
      <c r="B18" s="257" t="s">
        <v>269</v>
      </c>
      <c r="C18" s="198">
        <f>IF(AND(C17&gt;=15,C16=1.1),5.8,C17/2)</f>
        <v>7.5</v>
      </c>
    </row>
    <row r="19" spans="1:10" ht="14.25" x14ac:dyDescent="0.2">
      <c r="A19" s="174" t="s">
        <v>281</v>
      </c>
      <c r="B19" s="257"/>
      <c r="C19" s="259">
        <f>IFERROR(C14/C18,0)</f>
        <v>2.3555555555555556</v>
      </c>
    </row>
    <row r="20" spans="1:10" ht="14.25" x14ac:dyDescent="0.2">
      <c r="A20" s="174" t="s">
        <v>288</v>
      </c>
      <c r="B20" s="257"/>
      <c r="C20" s="308">
        <v>1.175</v>
      </c>
      <c r="H20" s="269" t="s">
        <v>291</v>
      </c>
      <c r="I20" s="269"/>
      <c r="J20" s="269"/>
    </row>
    <row r="21" spans="1:10" ht="15" thickBot="1" x14ac:dyDescent="0.25">
      <c r="A21" s="261" t="s">
        <v>282</v>
      </c>
      <c r="B21" s="262"/>
      <c r="C21" s="264">
        <f>IFERROR(C19/C20,0)</f>
        <v>2.0047281323877066</v>
      </c>
    </row>
  </sheetData>
  <mergeCells count="1">
    <mergeCell ref="A6:C6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7178" r:id="rId4">
          <objectPr defaultSize="0" autoPict="0" r:id="rId5">
            <anchor moveWithCells="1" sizeWithCells="1">
              <from>
                <xdr:col>0</xdr:col>
                <xdr:colOff>2019300</xdr:colOff>
                <xdr:row>0</xdr:row>
                <xdr:rowOff>19050</xdr:rowOff>
              </from>
              <to>
                <xdr:col>0</xdr:col>
                <xdr:colOff>2828925</xdr:colOff>
                <xdr:row>4</xdr:row>
                <xdr:rowOff>104775</xdr:rowOff>
              </to>
            </anchor>
          </objectPr>
        </oleObject>
      </mc:Choice>
      <mc:Fallback>
        <oleObject progId="Word.Picture.8" shapeId="7178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A24" sqref="A24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20" t="s">
        <v>238</v>
      </c>
    </row>
    <row r="2" spans="1:1" x14ac:dyDescent="0.2">
      <c r="A2" s="217"/>
    </row>
    <row r="3" spans="1:1" x14ac:dyDescent="0.2">
      <c r="A3" s="217" t="s">
        <v>252</v>
      </c>
    </row>
    <row r="4" spans="1:1" x14ac:dyDescent="0.2">
      <c r="A4" s="217"/>
    </row>
    <row r="5" spans="1:1" x14ac:dyDescent="0.2">
      <c r="A5" s="217"/>
    </row>
    <row r="6" spans="1:1" x14ac:dyDescent="0.2">
      <c r="A6" s="217"/>
    </row>
    <row r="7" spans="1:1" x14ac:dyDescent="0.2">
      <c r="A7" s="217"/>
    </row>
    <row r="8" spans="1:1" x14ac:dyDescent="0.2">
      <c r="A8" s="217"/>
    </row>
    <row r="9" spans="1:1" x14ac:dyDescent="0.2">
      <c r="A9" s="217"/>
    </row>
    <row r="10" spans="1:1" x14ac:dyDescent="0.2">
      <c r="A10" s="217"/>
    </row>
    <row r="11" spans="1:1" x14ac:dyDescent="0.2">
      <c r="A11" s="217"/>
    </row>
    <row r="12" spans="1:1" ht="19.5" x14ac:dyDescent="0.35">
      <c r="A12" s="218" t="s">
        <v>235</v>
      </c>
    </row>
    <row r="13" spans="1:1" ht="15" x14ac:dyDescent="0.2">
      <c r="A13" s="218" t="s">
        <v>106</v>
      </c>
    </row>
    <row r="14" spans="1:1" ht="15" x14ac:dyDescent="0.2">
      <c r="A14" s="218" t="s">
        <v>111</v>
      </c>
    </row>
    <row r="15" spans="1:1" ht="19.5" x14ac:dyDescent="0.35">
      <c r="A15" s="218" t="s">
        <v>236</v>
      </c>
    </row>
    <row r="16" spans="1:1" ht="19.5" x14ac:dyDescent="0.35">
      <c r="A16" s="218" t="s">
        <v>237</v>
      </c>
    </row>
    <row r="17" spans="1:1" ht="15.75" thickBot="1" x14ac:dyDescent="0.25">
      <c r="A17" s="219" t="s">
        <v>107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1"/>
  <sheetViews>
    <sheetView topLeftCell="A10" zoomScaleNormal="100" workbookViewId="0">
      <selection activeCell="B47" sqref="B47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hidden="1" customWidth="1"/>
    <col min="5" max="5" width="13.7109375" style="1" hidden="1" customWidth="1"/>
    <col min="6" max="6" width="14.42578125" style="1" hidden="1" customWidth="1"/>
    <col min="7" max="7" width="12.7109375" style="1" hidden="1" customWidth="1"/>
    <col min="8" max="8" width="4.42578125" style="1" hidden="1" customWidth="1"/>
    <col min="9" max="9" width="6.85546875" style="1" hidden="1" customWidth="1"/>
    <col min="10" max="10" width="3.28515625" style="1" hidden="1" customWidth="1"/>
    <col min="11" max="11" width="0" style="1" hidden="1" customWidth="1"/>
    <col min="12" max="16384" width="9.140625" style="1"/>
  </cols>
  <sheetData>
    <row r="1" spans="1:3" x14ac:dyDescent="0.2">
      <c r="A1" s="98" t="s">
        <v>245</v>
      </c>
    </row>
    <row r="3" spans="1:3" x14ac:dyDescent="0.2">
      <c r="A3" s="1" t="s">
        <v>209</v>
      </c>
    </row>
    <row r="4" spans="1:3" x14ac:dyDescent="0.2">
      <c r="A4" s="246" t="s">
        <v>205</v>
      </c>
    </row>
    <row r="5" spans="1:3" ht="25.5" customHeight="1" x14ac:dyDescent="0.2">
      <c r="A5" s="392" t="s">
        <v>258</v>
      </c>
      <c r="B5" s="391"/>
      <c r="C5" s="391"/>
    </row>
    <row r="6" spans="1:3" x14ac:dyDescent="0.2">
      <c r="A6" s="1" t="s">
        <v>206</v>
      </c>
    </row>
    <row r="7" spans="1:3" ht="26.25" customHeight="1" x14ac:dyDescent="0.2">
      <c r="A7" s="391" t="s">
        <v>207</v>
      </c>
      <c r="B7" s="391"/>
      <c r="C7" s="391"/>
    </row>
    <row r="8" spans="1:3" x14ac:dyDescent="0.2">
      <c r="A8" s="1" t="s">
        <v>208</v>
      </c>
    </row>
    <row r="9" spans="1:3" x14ac:dyDescent="0.2">
      <c r="A9" s="1" t="s">
        <v>246</v>
      </c>
    </row>
    <row r="10" spans="1:3" ht="13.5" thickBot="1" x14ac:dyDescent="0.25"/>
    <row r="11" spans="1:3" ht="18" x14ac:dyDescent="0.25">
      <c r="B11" s="389" t="s">
        <v>231</v>
      </c>
      <c r="C11" s="390"/>
    </row>
    <row r="12" spans="1:3" ht="15" x14ac:dyDescent="0.25">
      <c r="B12" s="139" t="s">
        <v>204</v>
      </c>
      <c r="C12" s="173"/>
    </row>
    <row r="13" spans="1:3" ht="15" x14ac:dyDescent="0.25">
      <c r="B13" s="140" t="s">
        <v>122</v>
      </c>
      <c r="C13" s="141">
        <v>2486</v>
      </c>
    </row>
    <row r="14" spans="1:3" ht="15" x14ac:dyDescent="0.25">
      <c r="B14" s="142" t="s">
        <v>123</v>
      </c>
      <c r="C14" s="141">
        <v>3303</v>
      </c>
    </row>
    <row r="15" spans="1:3" ht="14.25" x14ac:dyDescent="0.2">
      <c r="B15" s="174" t="s">
        <v>124</v>
      </c>
      <c r="C15" s="175">
        <v>81</v>
      </c>
    </row>
    <row r="16" spans="1:3" ht="14.25" x14ac:dyDescent="0.2">
      <c r="B16" s="174" t="s">
        <v>125</v>
      </c>
      <c r="C16" s="175">
        <v>2336</v>
      </c>
    </row>
    <row r="17" spans="1:7" ht="14.25" x14ac:dyDescent="0.2">
      <c r="B17" s="174" t="s">
        <v>126</v>
      </c>
      <c r="C17" s="175">
        <v>342</v>
      </c>
    </row>
    <row r="18" spans="1:7" ht="14.25" x14ac:dyDescent="0.2">
      <c r="B18" s="174" t="s">
        <v>127</v>
      </c>
      <c r="C18" s="175">
        <v>18</v>
      </c>
    </row>
    <row r="19" spans="1:7" ht="14.25" x14ac:dyDescent="0.2">
      <c r="B19" s="174" t="s">
        <v>128</v>
      </c>
      <c r="C19" s="175">
        <v>500</v>
      </c>
    </row>
    <row r="20" spans="1:7" ht="14.25" x14ac:dyDescent="0.2">
      <c r="B20" s="174" t="s">
        <v>129</v>
      </c>
      <c r="C20" s="175">
        <v>1</v>
      </c>
    </row>
    <row r="21" spans="1:7" ht="14.25" x14ac:dyDescent="0.2">
      <c r="B21" s="174" t="s">
        <v>130</v>
      </c>
      <c r="C21" s="175">
        <v>25</v>
      </c>
    </row>
    <row r="22" spans="1:7" ht="14.25" x14ac:dyDescent="0.2">
      <c r="B22" s="176" t="s">
        <v>131</v>
      </c>
      <c r="C22" s="177">
        <v>0</v>
      </c>
    </row>
    <row r="23" spans="1:7" ht="15" x14ac:dyDescent="0.25">
      <c r="A23" s="1" t="s">
        <v>132</v>
      </c>
      <c r="B23" s="139" t="s">
        <v>133</v>
      </c>
      <c r="C23" s="173"/>
    </row>
    <row r="24" spans="1:7" ht="14.25" x14ac:dyDescent="0.2">
      <c r="B24" s="178" t="s">
        <v>264</v>
      </c>
      <c r="C24" s="179">
        <v>6400</v>
      </c>
    </row>
    <row r="25" spans="1:7" ht="14.25" x14ac:dyDescent="0.2">
      <c r="B25" s="174" t="s">
        <v>265</v>
      </c>
      <c r="C25" s="175">
        <v>5583</v>
      </c>
    </row>
    <row r="26" spans="1:7" ht="14.25" x14ac:dyDescent="0.2">
      <c r="B26" s="174" t="s">
        <v>266</v>
      </c>
      <c r="C26" s="175">
        <v>-817</v>
      </c>
    </row>
    <row r="27" spans="1:7" ht="14.25" x14ac:dyDescent="0.2">
      <c r="B27" s="180"/>
      <c r="C27" s="181"/>
    </row>
    <row r="28" spans="1:7" ht="15" x14ac:dyDescent="0.25">
      <c r="B28" s="143" t="s">
        <v>134</v>
      </c>
      <c r="C28" s="247">
        <f>MEDIAN(C13,C14)/MEDIAN(C24,C25)</f>
        <v>0.48310105983476592</v>
      </c>
      <c r="G28" s="1">
        <f>12/C28</f>
        <v>24.839523233719124</v>
      </c>
    </row>
    <row r="29" spans="1:7" ht="15" x14ac:dyDescent="0.25">
      <c r="B29" s="140" t="s">
        <v>135</v>
      </c>
      <c r="C29" s="247">
        <f>C16/MEDIAN(C24,C25)</f>
        <v>0.38988567136777103</v>
      </c>
    </row>
    <row r="30" spans="1:7" ht="15" x14ac:dyDescent="0.25">
      <c r="B30" s="145" t="s">
        <v>136</v>
      </c>
      <c r="C30" s="144">
        <v>360</v>
      </c>
    </row>
    <row r="31" spans="1:7" ht="15" x14ac:dyDescent="0.25">
      <c r="B31" s="140" t="s">
        <v>247</v>
      </c>
      <c r="C31" s="144">
        <v>10</v>
      </c>
    </row>
    <row r="32" spans="1:7" ht="15" x14ac:dyDescent="0.25">
      <c r="B32" s="140" t="s">
        <v>248</v>
      </c>
      <c r="C32" s="144">
        <v>30</v>
      </c>
      <c r="G32" s="1">
        <f>TRUNC(G37)</f>
        <v>0</v>
      </c>
    </row>
    <row r="33" spans="2:11" ht="15" x14ac:dyDescent="0.25">
      <c r="B33" s="140" t="s">
        <v>249</v>
      </c>
      <c r="C33" s="144">
        <v>30</v>
      </c>
    </row>
    <row r="34" spans="2:11" s="98" customFormat="1" ht="15" x14ac:dyDescent="0.25">
      <c r="B34" s="140" t="s">
        <v>137</v>
      </c>
      <c r="C34" s="182">
        <f>MEDIAN(C24,C25)</f>
        <v>5991.5</v>
      </c>
    </row>
    <row r="35" spans="2:11" s="98" customFormat="1" ht="15" x14ac:dyDescent="0.25">
      <c r="B35" s="140" t="s">
        <v>41</v>
      </c>
      <c r="C35" s="183">
        <v>0.08</v>
      </c>
      <c r="K35" s="98">
        <f>IF(C39&gt;12,C39-12,C39)</f>
        <v>12.839523233719124</v>
      </c>
    </row>
    <row r="36" spans="2:11" s="98" customFormat="1" ht="15" x14ac:dyDescent="0.25">
      <c r="B36" s="140" t="s">
        <v>138</v>
      </c>
      <c r="C36" s="183">
        <v>0.5</v>
      </c>
      <c r="K36" s="98" t="e">
        <f>IF(#REF!&gt;12,#REF!-12,#REF!)</f>
        <v>#REF!</v>
      </c>
    </row>
    <row r="37" spans="2:11" s="98" customFormat="1" ht="15" x14ac:dyDescent="0.25">
      <c r="B37" s="140" t="s">
        <v>139</v>
      </c>
      <c r="C37" s="248">
        <f>((1/C28)-TRUNC(E37))</f>
        <v>6.9960269476593506E-2</v>
      </c>
      <c r="D37" s="98">
        <f>TRUNC(E37)</f>
        <v>2</v>
      </c>
      <c r="E37" s="98">
        <f>1/C28</f>
        <v>2.0699602694765935</v>
      </c>
      <c r="F37" s="98">
        <f>((1/C28)-TRUNC(E37))</f>
        <v>6.9960269476593506E-2</v>
      </c>
      <c r="G37" s="98">
        <f>12*F37</f>
        <v>0.83952323371912208</v>
      </c>
      <c r="K37" s="98" t="e">
        <f>IF(#REF!&gt;12,#REF!-12,#REF!)</f>
        <v>#REF!</v>
      </c>
    </row>
    <row r="38" spans="2:11" s="98" customFormat="1" ht="15" x14ac:dyDescent="0.25">
      <c r="B38" s="139" t="s">
        <v>140</v>
      </c>
      <c r="C38" s="146">
        <f>30+D38</f>
        <v>36</v>
      </c>
      <c r="D38" s="98">
        <f>3*D37</f>
        <v>6</v>
      </c>
      <c r="G38" s="98">
        <f>G37/12*40/360</f>
        <v>7.7733632751770566E-3</v>
      </c>
      <c r="K38" s="98" t="e">
        <f>IF(#REF!&gt;12,#REF!-12,#REF!)</f>
        <v>#REF!</v>
      </c>
    </row>
    <row r="39" spans="2:11" s="98" customFormat="1" ht="15.75" thickBot="1" x14ac:dyDescent="0.3">
      <c r="B39" s="147" t="s">
        <v>251</v>
      </c>
      <c r="C39" s="249">
        <f>12/C28</f>
        <v>24.839523233719124</v>
      </c>
      <c r="K39" s="98" t="e">
        <f>IF(#REF!&gt;12,#REF!-12,#REF!)</f>
        <v>#REF!</v>
      </c>
    </row>
    <row r="40" spans="2:11" x14ac:dyDescent="0.2">
      <c r="K40" s="1" t="e">
        <f t="shared" ref="K40:K41" si="0">IF(K39&gt;12,K39-12,K39)</f>
        <v>#REF!</v>
      </c>
    </row>
    <row r="41" spans="2:11" x14ac:dyDescent="0.2">
      <c r="K41" s="1" t="e">
        <f t="shared" si="0"/>
        <v>#REF!</v>
      </c>
    </row>
  </sheetData>
  <mergeCells count="3">
    <mergeCell ref="B11:C11"/>
    <mergeCell ref="A7:C7"/>
    <mergeCell ref="A5:C5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2"/>
  <sheetViews>
    <sheetView zoomScaleNormal="100" workbookViewId="0">
      <selection activeCell="J6" sqref="J6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1" bestFit="1" customWidth="1"/>
    <col min="6" max="6" width="9.7109375" bestFit="1" customWidth="1"/>
  </cols>
  <sheetData>
    <row r="1" spans="1:8" s="130" customFormat="1" ht="14.25" x14ac:dyDescent="0.2">
      <c r="A1" s="272" t="s">
        <v>132</v>
      </c>
      <c r="B1" s="281"/>
      <c r="C1" s="281"/>
      <c r="D1" s="282"/>
      <c r="E1" s="283"/>
      <c r="F1" s="282"/>
    </row>
    <row r="2" spans="1:8" s="130" customFormat="1" ht="14.25" x14ac:dyDescent="0.2">
      <c r="A2" s="275" t="s">
        <v>132</v>
      </c>
      <c r="B2" s="281"/>
      <c r="C2" s="281"/>
      <c r="D2" s="282"/>
      <c r="E2" s="283"/>
      <c r="F2" s="282"/>
    </row>
    <row r="3" spans="1:8" s="130" customFormat="1" ht="14.25" x14ac:dyDescent="0.2">
      <c r="A3" s="276" t="s">
        <v>132</v>
      </c>
      <c r="B3" s="281"/>
      <c r="C3" s="281"/>
      <c r="D3" s="282"/>
      <c r="E3" s="283"/>
      <c r="F3" s="282"/>
    </row>
    <row r="4" spans="1:8" s="130" customFormat="1" ht="14.25" x14ac:dyDescent="0.2">
      <c r="A4" s="284"/>
      <c r="B4" s="281"/>
      <c r="C4" s="281"/>
      <c r="D4" s="282"/>
      <c r="E4" s="283"/>
      <c r="F4" s="282"/>
    </row>
    <row r="5" spans="1:8" s="130" customFormat="1" ht="27.75" customHeight="1" thickBot="1" x14ac:dyDescent="0.25">
      <c r="A5" s="282"/>
      <c r="B5" s="281"/>
      <c r="C5" s="281"/>
      <c r="D5" s="282"/>
      <c r="E5" s="283"/>
      <c r="F5" s="282"/>
    </row>
    <row r="6" spans="1:8" ht="15.75" x14ac:dyDescent="0.2">
      <c r="A6" s="396" t="s">
        <v>232</v>
      </c>
      <c r="B6" s="397"/>
      <c r="C6" s="397"/>
      <c r="D6" s="397"/>
      <c r="E6" s="397"/>
      <c r="F6" s="398"/>
    </row>
    <row r="7" spans="1:8" ht="16.5" thickBot="1" x14ac:dyDescent="0.25">
      <c r="A7" s="233"/>
      <c r="B7" s="234"/>
      <c r="C7" s="234"/>
      <c r="D7" s="234"/>
      <c r="E7" s="234"/>
      <c r="F7" s="235"/>
    </row>
    <row r="8" spans="1:8" ht="15" x14ac:dyDescent="0.25">
      <c r="A8" s="184"/>
      <c r="B8" s="7"/>
      <c r="C8" s="7"/>
      <c r="D8" s="393" t="s">
        <v>250</v>
      </c>
      <c r="E8" s="394"/>
      <c r="F8" s="395"/>
      <c r="G8" s="130"/>
      <c r="H8" s="130"/>
    </row>
    <row r="9" spans="1:8" ht="15" thickBot="1" x14ac:dyDescent="0.25">
      <c r="A9" s="180"/>
      <c r="B9" s="130"/>
      <c r="C9" s="130"/>
      <c r="D9" s="185" t="s">
        <v>191</v>
      </c>
      <c r="E9" s="186" t="s">
        <v>192</v>
      </c>
      <c r="F9" s="187" t="s">
        <v>193</v>
      </c>
      <c r="G9" s="130"/>
      <c r="H9" s="130"/>
    </row>
    <row r="10" spans="1:8" ht="14.25" x14ac:dyDescent="0.2">
      <c r="A10" s="188" t="s">
        <v>74</v>
      </c>
      <c r="B10" s="189" t="s">
        <v>75</v>
      </c>
      <c r="C10" s="190">
        <v>5.8000000000000003E-2</v>
      </c>
      <c r="D10" s="211">
        <v>2.9700000000000001E-2</v>
      </c>
      <c r="E10" s="212">
        <v>5.0799999999999998E-2</v>
      </c>
      <c r="F10" s="213">
        <v>6.2700000000000006E-2</v>
      </c>
      <c r="G10" s="130"/>
      <c r="H10" s="130"/>
    </row>
    <row r="11" spans="1:8" ht="14.25" x14ac:dyDescent="0.2">
      <c r="A11" s="192" t="s">
        <v>76</v>
      </c>
      <c r="B11" s="193" t="s">
        <v>77</v>
      </c>
      <c r="C11" s="194">
        <v>0.01</v>
      </c>
      <c r="D11" s="211">
        <f>0.3%+0.56%</f>
        <v>8.6E-3</v>
      </c>
      <c r="E11" s="212">
        <f>0.48%+0.85%</f>
        <v>1.3299999999999999E-2</v>
      </c>
      <c r="F11" s="213">
        <f>0.82%+0.89%</f>
        <v>1.7099999999999997E-2</v>
      </c>
      <c r="G11" s="130"/>
      <c r="H11" s="130"/>
    </row>
    <row r="12" spans="1:8" ht="14.25" x14ac:dyDescent="0.2">
      <c r="A12" s="192" t="s">
        <v>78</v>
      </c>
      <c r="B12" s="193" t="s">
        <v>79</v>
      </c>
      <c r="C12" s="194">
        <v>0.1085</v>
      </c>
      <c r="D12" s="211">
        <v>7.7799999999999994E-2</v>
      </c>
      <c r="E12" s="212">
        <v>0.1085</v>
      </c>
      <c r="F12" s="213">
        <v>0.13550000000000001</v>
      </c>
      <c r="G12" s="130"/>
      <c r="H12" s="130"/>
    </row>
    <row r="13" spans="1:8" ht="14.25" x14ac:dyDescent="0.2">
      <c r="A13" s="192" t="s">
        <v>80</v>
      </c>
      <c r="B13" s="193" t="s">
        <v>81</v>
      </c>
      <c r="C13" s="195">
        <v>1.2E-2</v>
      </c>
      <c r="D13" s="211" t="s">
        <v>289</v>
      </c>
      <c r="E13" s="196"/>
      <c r="F13" s="191"/>
      <c r="G13" s="130"/>
      <c r="H13" s="130"/>
    </row>
    <row r="14" spans="1:8" ht="14.25" x14ac:dyDescent="0.2">
      <c r="A14" s="192" t="s">
        <v>82</v>
      </c>
      <c r="B14" s="384" t="s">
        <v>83</v>
      </c>
      <c r="C14" s="194">
        <v>0.05</v>
      </c>
      <c r="D14" s="268" t="s">
        <v>194</v>
      </c>
      <c r="E14" s="197"/>
      <c r="F14" s="198"/>
      <c r="G14" s="130"/>
      <c r="H14" s="130"/>
    </row>
    <row r="15" spans="1:8" ht="15" thickBot="1" x14ac:dyDescent="0.25">
      <c r="A15" s="199" t="s">
        <v>84</v>
      </c>
      <c r="B15" s="385"/>
      <c r="C15" s="200">
        <v>3.6499999999999998E-2</v>
      </c>
      <c r="D15" s="174"/>
      <c r="E15" s="201"/>
      <c r="F15" s="198"/>
      <c r="G15" s="130"/>
      <c r="H15" s="130"/>
    </row>
    <row r="16" spans="1:8" ht="14.25" x14ac:dyDescent="0.2">
      <c r="A16" s="202" t="s">
        <v>85</v>
      </c>
      <c r="B16" s="203"/>
      <c r="C16" s="204"/>
      <c r="D16" s="174"/>
      <c r="E16" s="201"/>
      <c r="F16" s="198"/>
      <c r="G16" s="130"/>
      <c r="H16" s="130"/>
    </row>
    <row r="17" spans="1:8" ht="15" thickBot="1" x14ac:dyDescent="0.25">
      <c r="A17" s="205" t="s">
        <v>86</v>
      </c>
      <c r="B17" s="206"/>
      <c r="C17" s="207"/>
      <c r="D17" s="174"/>
      <c r="E17" s="201"/>
      <c r="F17" s="198"/>
      <c r="G17" s="130"/>
      <c r="H17" s="130"/>
    </row>
    <row r="18" spans="1:8" ht="15.75" thickBot="1" x14ac:dyDescent="0.25">
      <c r="A18" s="208" t="s">
        <v>87</v>
      </c>
      <c r="B18" s="209"/>
      <c r="C18" s="210">
        <f>ROUND((((1+C10+C11)*(1+C12)*(1+C13))/(1-(C14+C15))-1),4)</f>
        <v>0.3115</v>
      </c>
      <c r="D18" s="214">
        <v>0.21429999999999999</v>
      </c>
      <c r="E18" s="215">
        <v>0.2717</v>
      </c>
      <c r="F18" s="216">
        <v>0.3362</v>
      </c>
      <c r="G18" s="130"/>
      <c r="H18" s="130"/>
    </row>
    <row r="19" spans="1:8" ht="14.25" x14ac:dyDescent="0.2">
      <c r="A19" s="130"/>
      <c r="B19" s="130"/>
      <c r="C19" s="130"/>
      <c r="D19" s="130"/>
      <c r="E19" s="131"/>
      <c r="F19" s="130"/>
      <c r="G19" s="130"/>
      <c r="H19" s="130"/>
    </row>
    <row r="20" spans="1:8" ht="14.25" x14ac:dyDescent="0.2">
      <c r="A20" s="130"/>
      <c r="B20" s="130"/>
      <c r="C20" s="130"/>
      <c r="D20" s="130"/>
      <c r="E20" s="131"/>
      <c r="F20" s="130"/>
      <c r="G20" s="130"/>
      <c r="H20" s="130"/>
    </row>
    <row r="21" spans="1:8" ht="14.25" x14ac:dyDescent="0.2">
      <c r="A21" s="130"/>
      <c r="B21" s="130"/>
      <c r="C21" s="130"/>
      <c r="D21" s="130"/>
      <c r="E21" s="131"/>
      <c r="F21" s="130"/>
      <c r="G21" s="130"/>
      <c r="H21" s="130"/>
    </row>
    <row r="22" spans="1:8" ht="14.25" x14ac:dyDescent="0.2">
      <c r="A22" s="130"/>
      <c r="B22" s="130"/>
      <c r="C22" s="130"/>
      <c r="D22" s="130"/>
      <c r="E22" s="131"/>
      <c r="F22" s="130"/>
      <c r="G22" s="130"/>
      <c r="H22" s="130"/>
    </row>
  </sheetData>
  <mergeCells count="3">
    <mergeCell ref="B14:B15"/>
    <mergeCell ref="D8:F8"/>
    <mergeCell ref="A6:F6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5</vt:i4>
      </vt:variant>
    </vt:vector>
  </HeadingPairs>
  <TitlesOfParts>
    <vt:vector size="13" baseType="lpstr">
      <vt:lpstr>1. Coleta Domiciliar</vt:lpstr>
      <vt:lpstr>2.Encargos Sociais</vt:lpstr>
      <vt:lpstr>3.BDI - PREFEITURA</vt:lpstr>
      <vt:lpstr>4. Depreciação</vt:lpstr>
      <vt:lpstr>5. Dimensionamento</vt:lpstr>
      <vt:lpstr>6.Remuneração de capital</vt:lpstr>
      <vt:lpstr>7.CAGED</vt:lpstr>
      <vt:lpstr>BDI - TCE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André de O. Timm</cp:lastModifiedBy>
  <cp:lastPrinted>2026-02-06T17:38:13Z</cp:lastPrinted>
  <dcterms:created xsi:type="dcterms:W3CDTF">2000-12-13T10:02:50Z</dcterms:created>
  <dcterms:modified xsi:type="dcterms:W3CDTF">2026-04-08T18:07:34Z</dcterms:modified>
</cp:coreProperties>
</file>