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Y:\EDITAIS 2026\PREGÃO ELETRÔNICO\PE 32-26 - Proc dig 23880-26 - Serv corte grama, limpeza e roçada escolas\"/>
    </mc:Choice>
  </mc:AlternateContent>
  <xr:revisionPtr revIDLastSave="0" documentId="8_{DD183B89-EFEB-452D-9D48-91A7C3B9254F}" xr6:coauthVersionLast="47" xr6:coauthVersionMax="47" xr10:uidLastSave="{00000000-0000-0000-0000-000000000000}"/>
  <bookViews>
    <workbookView xWindow="-120" yWindow="-120" windowWidth="29040" windowHeight="15720" tabRatio="949" activeTab="5" xr2:uid="{00000000-000D-0000-FFFF-FFFF00000000}"/>
  </bookViews>
  <sheets>
    <sheet name="Iterm_1_1" sheetId="1" r:id="rId1"/>
    <sheet name="Calc_Pess_it_1_1" sheetId="2" r:id="rId2"/>
    <sheet name="Iterm_1_2" sheetId="3" r:id="rId3"/>
    <sheet name="Calc_Pess_it_1_2" sheetId="4" r:id="rId4"/>
    <sheet name="Iterm_1_3" sheetId="31" r:id="rId5"/>
    <sheet name="Calc_Pess_it_1_3" sheetId="32" r:id="rId6"/>
    <sheet name="Metragens Anual" sheetId="19" r:id="rId7"/>
    <sheet name="Tot__Itens" sheetId="20" r:id="rId8"/>
    <sheet name="Encargos_Sociais" sheetId="21" r:id="rId9"/>
    <sheet name="BDI" sheetId="25" r:id="rId10"/>
    <sheet name="LOTE 1" sheetId="28" r:id="rId11"/>
  </sheets>
  <calcPr calcId="191029" fullPrecision="0"/>
</workbook>
</file>

<file path=xl/calcChain.xml><?xml version="1.0" encoding="utf-8"?>
<calcChain xmlns="http://schemas.openxmlformats.org/spreadsheetml/2006/main">
  <c r="G5" i="20" l="1"/>
  <c r="F5" i="20"/>
  <c r="F4" i="20"/>
  <c r="E11" i="28"/>
  <c r="D8" i="28"/>
  <c r="F289" i="31"/>
  <c r="F289" i="3"/>
  <c r="F289" i="1"/>
  <c r="C4" i="28"/>
  <c r="C3" i="28"/>
  <c r="E50" i="20"/>
  <c r="D50" i="20"/>
  <c r="E45" i="20"/>
  <c r="E46" i="20"/>
  <c r="E47" i="20"/>
  <c r="E48" i="20"/>
  <c r="E49" i="20"/>
  <c r="E44" i="20"/>
  <c r="D45" i="20"/>
  <c r="D46" i="20"/>
  <c r="D47" i="20"/>
  <c r="D48" i="20"/>
  <c r="D49" i="20"/>
  <c r="E37" i="20"/>
  <c r="D44" i="20"/>
  <c r="D34" i="20"/>
  <c r="D29" i="20"/>
  <c r="D30" i="20"/>
  <c r="D31" i="20"/>
  <c r="D32" i="20"/>
  <c r="D33" i="20"/>
  <c r="D35" i="20"/>
  <c r="D36" i="20"/>
  <c r="D37" i="20"/>
  <c r="D38" i="20"/>
  <c r="D39" i="20"/>
  <c r="D28" i="20"/>
  <c r="D40" i="20" s="1"/>
  <c r="E20" i="20"/>
  <c r="E21" i="20"/>
  <c r="E22" i="20"/>
  <c r="E23" i="20"/>
  <c r="D13" i="20"/>
  <c r="E13" i="20" s="1"/>
  <c r="D14" i="20"/>
  <c r="E14" i="20" s="1"/>
  <c r="D15" i="20"/>
  <c r="E15" i="20" s="1"/>
  <c r="D16" i="20"/>
  <c r="D17" i="20"/>
  <c r="D18" i="20"/>
  <c r="D19" i="20"/>
  <c r="D20" i="20"/>
  <c r="D21" i="20"/>
  <c r="D22" i="20"/>
  <c r="D23" i="20"/>
  <c r="D12" i="20"/>
  <c r="D24" i="20" s="1"/>
  <c r="E12" i="20" l="1"/>
  <c r="E24" i="20"/>
  <c r="G4" i="20"/>
  <c r="B10" i="28"/>
  <c r="E5" i="20"/>
  <c r="C10" i="28" s="1"/>
  <c r="E36" i="32"/>
  <c r="C21" i="32"/>
  <c r="C20" i="32"/>
  <c r="C19" i="32"/>
  <c r="C18" i="32"/>
  <c r="C17" i="32"/>
  <c r="C22" i="32" s="1"/>
  <c r="E29" i="32" s="1"/>
  <c r="C10" i="32"/>
  <c r="C9" i="32"/>
  <c r="C8" i="32"/>
  <c r="C7" i="32"/>
  <c r="E294" i="31"/>
  <c r="E295" i="31" s="1"/>
  <c r="E293" i="31"/>
  <c r="D282" i="31"/>
  <c r="F274" i="31"/>
  <c r="F273" i="31"/>
  <c r="F272" i="31"/>
  <c r="F271" i="31"/>
  <c r="F270" i="31"/>
  <c r="F269" i="31"/>
  <c r="F268" i="31"/>
  <c r="E267" i="31"/>
  <c r="F267" i="31" s="1"/>
  <c r="F266" i="31"/>
  <c r="F255" i="31"/>
  <c r="E255" i="31"/>
  <c r="D257" i="31" s="1"/>
  <c r="E258" i="31" s="1"/>
  <c r="F258" i="31" s="1"/>
  <c r="F259" i="31" s="1"/>
  <c r="E260" i="31" s="1"/>
  <c r="F260" i="31" s="1"/>
  <c r="G261" i="31" s="1"/>
  <c r="D247" i="31"/>
  <c r="E248" i="31" s="1"/>
  <c r="F248" i="31" s="1"/>
  <c r="F249" i="31" s="1"/>
  <c r="E250" i="31" s="1"/>
  <c r="F250" i="31" s="1"/>
  <c r="G251" i="31" s="1"/>
  <c r="F245" i="31"/>
  <c r="E245" i="31"/>
  <c r="D237" i="31"/>
  <c r="F235" i="31" s="1"/>
  <c r="D236" i="31"/>
  <c r="D235" i="31"/>
  <c r="D233" i="31"/>
  <c r="D232" i="31" s="1"/>
  <c r="D230" i="31" s="1"/>
  <c r="F229" i="31" s="1"/>
  <c r="F239" i="31" s="1"/>
  <c r="F240" i="31" s="1"/>
  <c r="D223" i="31"/>
  <c r="D222" i="31"/>
  <c r="D221" i="31"/>
  <c r="F220" i="31" s="1"/>
  <c r="D218" i="31"/>
  <c r="D217" i="31"/>
  <c r="D215" i="31" s="1"/>
  <c r="F214" i="31" s="1"/>
  <c r="D208" i="31"/>
  <c r="D207" i="31"/>
  <c r="D206" i="31"/>
  <c r="F205" i="31"/>
  <c r="D205" i="31"/>
  <c r="D203" i="31"/>
  <c r="D202" i="31" s="1"/>
  <c r="D200" i="31" s="1"/>
  <c r="F199" i="31" s="1"/>
  <c r="F210" i="31" s="1"/>
  <c r="F211" i="31" s="1"/>
  <c r="D189" i="31"/>
  <c r="F188" i="31" s="1"/>
  <c r="D187" i="31"/>
  <c r="D186" i="31"/>
  <c r="D182" i="31"/>
  <c r="D181" i="31" s="1"/>
  <c r="D179" i="31" s="1"/>
  <c r="F178" i="31" s="1"/>
  <c r="D172" i="31"/>
  <c r="D171" i="31"/>
  <c r="D170" i="31"/>
  <c r="D169" i="31"/>
  <c r="F168" i="31" s="1"/>
  <c r="D167" i="31"/>
  <c r="D166" i="31"/>
  <c r="D165" i="31"/>
  <c r="D164" i="31"/>
  <c r="D162" i="31"/>
  <c r="D161" i="31"/>
  <c r="D159" i="31" s="1"/>
  <c r="F158" i="31" s="1"/>
  <c r="F154" i="31"/>
  <c r="F153" i="31"/>
  <c r="F152" i="31"/>
  <c r="G154" i="31" s="1"/>
  <c r="F145" i="31"/>
  <c r="F144" i="31"/>
  <c r="F143" i="31"/>
  <c r="F142" i="31"/>
  <c r="F141" i="31"/>
  <c r="F140" i="31"/>
  <c r="F139" i="31"/>
  <c r="F138" i="31"/>
  <c r="F137" i="31"/>
  <c r="F136" i="31"/>
  <c r="F135" i="31"/>
  <c r="F134" i="31"/>
  <c r="F133" i="31"/>
  <c r="F132" i="31"/>
  <c r="F131" i="31"/>
  <c r="F130" i="31"/>
  <c r="F129" i="31"/>
  <c r="F146" i="31" s="1"/>
  <c r="E147" i="31" s="1"/>
  <c r="F147" i="31" s="1"/>
  <c r="G148" i="31" s="1"/>
  <c r="F121" i="31"/>
  <c r="F120" i="31"/>
  <c r="F119" i="31"/>
  <c r="F118" i="31"/>
  <c r="F117" i="31"/>
  <c r="F116" i="31"/>
  <c r="F115" i="31"/>
  <c r="F114" i="31"/>
  <c r="F113" i="31"/>
  <c r="F112" i="31"/>
  <c r="F111" i="31"/>
  <c r="F110" i="31"/>
  <c r="F109" i="31"/>
  <c r="F108" i="31"/>
  <c r="F107" i="31"/>
  <c r="F106" i="31"/>
  <c r="F122" i="31" s="1"/>
  <c r="E123" i="31" s="1"/>
  <c r="F123" i="31" s="1"/>
  <c r="G124" i="31" s="1"/>
  <c r="F105" i="31"/>
  <c r="D99" i="31"/>
  <c r="F97" i="31"/>
  <c r="F96" i="31"/>
  <c r="F95" i="31"/>
  <c r="F94" i="31"/>
  <c r="F93" i="31"/>
  <c r="F92" i="31"/>
  <c r="F91" i="31"/>
  <c r="F90" i="31"/>
  <c r="F89" i="31"/>
  <c r="F88" i="31"/>
  <c r="F87" i="31"/>
  <c r="F86" i="31"/>
  <c r="F85" i="31"/>
  <c r="F84" i="31"/>
  <c r="F83" i="31"/>
  <c r="F82" i="31"/>
  <c r="F81" i="31"/>
  <c r="F98" i="31" s="1"/>
  <c r="E99" i="31" s="1"/>
  <c r="F99" i="31" s="1"/>
  <c r="G100" i="31" s="1"/>
  <c r="E75" i="31"/>
  <c r="F73" i="31"/>
  <c r="G72" i="31" s="1"/>
  <c r="E73" i="31"/>
  <c r="D73" i="31"/>
  <c r="D71" i="31"/>
  <c r="F71" i="31" s="1"/>
  <c r="G70" i="31" s="1"/>
  <c r="E64" i="31"/>
  <c r="B63" i="31"/>
  <c r="B74" i="31" s="1"/>
  <c r="B127" i="31" s="1"/>
  <c r="E61" i="31"/>
  <c r="D59" i="31"/>
  <c r="D58" i="31" s="1"/>
  <c r="F58" i="31" s="1"/>
  <c r="D52" i="31"/>
  <c r="D65" i="31" s="1"/>
  <c r="B50" i="31"/>
  <c r="D49" i="31"/>
  <c r="D62" i="31" s="1"/>
  <c r="D61" i="31" s="1"/>
  <c r="F48" i="31"/>
  <c r="E48" i="31"/>
  <c r="E51" i="31" s="1"/>
  <c r="D48" i="31"/>
  <c r="B47" i="31"/>
  <c r="B60" i="31" s="1"/>
  <c r="B72" i="31" s="1"/>
  <c r="B103" i="31" s="1"/>
  <c r="D46" i="31"/>
  <c r="D45" i="31"/>
  <c r="F45" i="31" s="1"/>
  <c r="B44" i="31"/>
  <c r="B57" i="31" s="1"/>
  <c r="B70" i="31" s="1"/>
  <c r="B79" i="31" s="1"/>
  <c r="D36" i="31"/>
  <c r="E33" i="31"/>
  <c r="F32" i="31"/>
  <c r="D25" i="31"/>
  <c r="E22" i="31"/>
  <c r="F21" i="31"/>
  <c r="E21" i="31" s="1"/>
  <c r="D14" i="31"/>
  <c r="E11" i="31"/>
  <c r="F10" i="31"/>
  <c r="F274" i="3"/>
  <c r="F275" i="3" s="1"/>
  <c r="F267" i="3"/>
  <c r="F268" i="3"/>
  <c r="F269" i="3"/>
  <c r="F270" i="3"/>
  <c r="F271" i="3"/>
  <c r="F272" i="3"/>
  <c r="F273" i="3"/>
  <c r="F266" i="3"/>
  <c r="E267" i="3"/>
  <c r="E245" i="1"/>
  <c r="D247" i="1"/>
  <c r="E255" i="3"/>
  <c r="E245" i="3"/>
  <c r="F235" i="3"/>
  <c r="F229" i="3"/>
  <c r="D236" i="3"/>
  <c r="F220" i="3"/>
  <c r="F214" i="3"/>
  <c r="D222" i="3"/>
  <c r="F205" i="3"/>
  <c r="F199" i="3"/>
  <c r="D207" i="3"/>
  <c r="F168" i="3"/>
  <c r="D171" i="3"/>
  <c r="F158" i="3"/>
  <c r="F154" i="3"/>
  <c r="F153" i="3"/>
  <c r="F152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29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05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81" i="3"/>
  <c r="F75" i="3"/>
  <c r="F73" i="3"/>
  <c r="F71" i="3"/>
  <c r="F64" i="3"/>
  <c r="F61" i="3"/>
  <c r="F58" i="3"/>
  <c r="F51" i="3"/>
  <c r="F48" i="3"/>
  <c r="F45" i="3"/>
  <c r="D236" i="1"/>
  <c r="F210" i="1"/>
  <c r="D207" i="1"/>
  <c r="F174" i="1"/>
  <c r="F154" i="1"/>
  <c r="F153" i="1"/>
  <c r="F152" i="1"/>
  <c r="F74" i="1"/>
  <c r="F72" i="1"/>
  <c r="F70" i="1"/>
  <c r="F63" i="1"/>
  <c r="F60" i="1"/>
  <c r="F57" i="1"/>
  <c r="F50" i="1"/>
  <c r="F47" i="1"/>
  <c r="F44" i="1"/>
  <c r="F32" i="3"/>
  <c r="F21" i="3"/>
  <c r="E14" i="1"/>
  <c r="F10" i="3"/>
  <c r="E267" i="1"/>
  <c r="F267" i="1" s="1"/>
  <c r="E255" i="1"/>
  <c r="F235" i="1"/>
  <c r="F229" i="1"/>
  <c r="F220" i="1"/>
  <c r="F214" i="1"/>
  <c r="D222" i="1"/>
  <c r="F205" i="1"/>
  <c r="F199" i="1"/>
  <c r="F168" i="1"/>
  <c r="F158" i="1"/>
  <c r="D171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28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04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80" i="1"/>
  <c r="F32" i="1"/>
  <c r="F21" i="1"/>
  <c r="F10" i="1"/>
  <c r="F274" i="1"/>
  <c r="F268" i="1"/>
  <c r="F269" i="1"/>
  <c r="F270" i="1"/>
  <c r="F271" i="1"/>
  <c r="F272" i="1"/>
  <c r="F273" i="1"/>
  <c r="F266" i="1"/>
  <c r="C11" i="32" l="1"/>
  <c r="F46" i="31"/>
  <c r="G44" i="31" s="1"/>
  <c r="D75" i="31"/>
  <c r="F75" i="31" s="1"/>
  <c r="G74" i="31" s="1"/>
  <c r="G76" i="31" s="1"/>
  <c r="D64" i="31"/>
  <c r="F64" i="31" s="1"/>
  <c r="F59" i="31"/>
  <c r="G57" i="31" s="1"/>
  <c r="F174" i="31"/>
  <c r="F175" i="31" s="1"/>
  <c r="F61" i="31"/>
  <c r="F194" i="31"/>
  <c r="F195" i="31" s="1"/>
  <c r="F275" i="31"/>
  <c r="G276" i="31" s="1"/>
  <c r="F51" i="31"/>
  <c r="F225" i="31"/>
  <c r="F226" i="31" s="1"/>
  <c r="F12" i="31"/>
  <c r="F22" i="31"/>
  <c r="E10" i="31"/>
  <c r="F23" i="31"/>
  <c r="E32" i="31"/>
  <c r="F49" i="31"/>
  <c r="G47" i="31" s="1"/>
  <c r="F11" i="31"/>
  <c r="F33" i="31"/>
  <c r="F34" i="31" s="1"/>
  <c r="D51" i="31"/>
  <c r="F275" i="1"/>
  <c r="E294" i="1"/>
  <c r="E3" i="32" l="1"/>
  <c r="E26" i="32"/>
  <c r="E36" i="31"/>
  <c r="F36" i="31" s="1"/>
  <c r="F37" i="31" s="1"/>
  <c r="E38" i="31" s="1"/>
  <c r="F38" i="31" s="1"/>
  <c r="G39" i="31" s="1"/>
  <c r="F26" i="31"/>
  <c r="E27" i="31" s="1"/>
  <c r="F27" i="31" s="1"/>
  <c r="G28" i="31" s="1"/>
  <c r="E25" i="31"/>
  <c r="F25" i="31" s="1"/>
  <c r="E14" i="31"/>
  <c r="F14" i="31" s="1"/>
  <c r="F15" i="31" s="1"/>
  <c r="E16" i="31" s="1"/>
  <c r="F16" i="31" s="1"/>
  <c r="G17" i="31" s="1"/>
  <c r="F62" i="31"/>
  <c r="G60" i="31" s="1"/>
  <c r="F52" i="31"/>
  <c r="G50" i="31" s="1"/>
  <c r="G53" i="31" s="1"/>
  <c r="F65" i="31"/>
  <c r="G63" i="31" s="1"/>
  <c r="G154" i="3"/>
  <c r="E32" i="32" l="1"/>
  <c r="G26" i="32"/>
  <c r="E9" i="32"/>
  <c r="E10" i="32"/>
  <c r="E13" i="32"/>
  <c r="E18" i="32"/>
  <c r="E17" i="32"/>
  <c r="E22" i="32" s="1"/>
  <c r="E19" i="32"/>
  <c r="E20" i="32"/>
  <c r="E7" i="32"/>
  <c r="E21" i="32"/>
  <c r="E8" i="32"/>
  <c r="G66" i="31"/>
  <c r="D278" i="31"/>
  <c r="E282" i="31" s="1"/>
  <c r="G154" i="1"/>
  <c r="D51" i="1"/>
  <c r="D50" i="1" s="1"/>
  <c r="E10" i="3"/>
  <c r="E11" i="32" l="1"/>
  <c r="E38" i="32"/>
  <c r="G29" i="32"/>
  <c r="G32" i="32" s="1"/>
  <c r="F282" i="31"/>
  <c r="G283" i="31" s="1"/>
  <c r="F285" i="31" s="1"/>
  <c r="F287" i="31" s="1"/>
  <c r="D257" i="3"/>
  <c r="C10" i="25"/>
  <c r="B33" i="21"/>
  <c r="D170" i="1"/>
  <c r="E294" i="3"/>
  <c r="D235" i="3"/>
  <c r="D208" i="1"/>
  <c r="D205" i="1"/>
  <c r="D206" i="1"/>
  <c r="E293" i="1" l="1"/>
  <c r="E295" i="1" s="1"/>
  <c r="E10" i="1" l="1"/>
  <c r="G276" i="3" l="1"/>
  <c r="C21" i="4" s="1"/>
  <c r="E293" i="3" l="1"/>
  <c r="E295" i="3" s="1"/>
  <c r="D247" i="3"/>
  <c r="E248" i="3" s="1"/>
  <c r="F248" i="3" s="1"/>
  <c r="F249" i="3" s="1"/>
  <c r="E250" i="3" s="1"/>
  <c r="F250" i="3" s="1"/>
  <c r="G251" i="3" s="1"/>
  <c r="D237" i="3"/>
  <c r="D233" i="3"/>
  <c r="D232" i="3" s="1"/>
  <c r="D230" i="3" s="1"/>
  <c r="D223" i="3"/>
  <c r="D221" i="3"/>
  <c r="D208" i="3"/>
  <c r="D205" i="3"/>
  <c r="D206" i="3"/>
  <c r="D189" i="3"/>
  <c r="F188" i="3" s="1"/>
  <c r="D187" i="3"/>
  <c r="D186" i="3"/>
  <c r="D182" i="3"/>
  <c r="D181" i="3" s="1"/>
  <c r="D179" i="3" s="1"/>
  <c r="D172" i="3"/>
  <c r="D170" i="3"/>
  <c r="D169" i="3"/>
  <c r="D167" i="3"/>
  <c r="D166" i="3"/>
  <c r="D165" i="3"/>
  <c r="D164" i="3"/>
  <c r="D162" i="3"/>
  <c r="D161" i="3" s="1"/>
  <c r="D159" i="3" s="1"/>
  <c r="D99" i="3"/>
  <c r="E73" i="3"/>
  <c r="D73" i="3"/>
  <c r="D71" i="3"/>
  <c r="E64" i="3"/>
  <c r="E61" i="3"/>
  <c r="D52" i="3"/>
  <c r="B50" i="3"/>
  <c r="B63" i="3" s="1"/>
  <c r="B74" i="3" s="1"/>
  <c r="B127" i="3" s="1"/>
  <c r="D49" i="3"/>
  <c r="D48" i="3" s="1"/>
  <c r="E48" i="3"/>
  <c r="B47" i="3"/>
  <c r="B60" i="3" s="1"/>
  <c r="B72" i="3" s="1"/>
  <c r="B103" i="3" s="1"/>
  <c r="D46" i="3"/>
  <c r="D45" i="3" s="1"/>
  <c r="B44" i="3"/>
  <c r="B57" i="3" s="1"/>
  <c r="B70" i="3" s="1"/>
  <c r="B79" i="3" s="1"/>
  <c r="E32" i="3"/>
  <c r="E21" i="3"/>
  <c r="F178" i="3" l="1"/>
  <c r="G70" i="3"/>
  <c r="E51" i="3"/>
  <c r="D65" i="3"/>
  <c r="D64" i="3" s="1"/>
  <c r="D51" i="3"/>
  <c r="F239" i="3"/>
  <c r="F240" i="3" s="1"/>
  <c r="D62" i="3"/>
  <c r="D61" i="3" s="1"/>
  <c r="E75" i="3"/>
  <c r="G72" i="3"/>
  <c r="E33" i="3"/>
  <c r="C18" i="4"/>
  <c r="F146" i="3"/>
  <c r="E147" i="3" s="1"/>
  <c r="F147" i="3" s="1"/>
  <c r="G148" i="3" s="1"/>
  <c r="D218" i="3"/>
  <c r="D217" i="3" s="1"/>
  <c r="D215" i="3" s="1"/>
  <c r="F98" i="3"/>
  <c r="E99" i="3" s="1"/>
  <c r="F99" i="3" s="1"/>
  <c r="G100" i="3" s="1"/>
  <c r="D59" i="3"/>
  <c r="F122" i="3"/>
  <c r="E123" i="3" s="1"/>
  <c r="F123" i="3" s="1"/>
  <c r="G124" i="3" s="1"/>
  <c r="F46" i="3"/>
  <c r="G44" i="3" s="1"/>
  <c r="F22" i="3"/>
  <c r="F23" i="3" s="1"/>
  <c r="D203" i="3"/>
  <c r="D202" i="3" s="1"/>
  <c r="D200" i="3" s="1"/>
  <c r="F245" i="3"/>
  <c r="E22" i="3"/>
  <c r="F11" i="3"/>
  <c r="F12" i="3" s="1"/>
  <c r="F33" i="3"/>
  <c r="F34" i="3" s="1"/>
  <c r="E11" i="3"/>
  <c r="D75" i="3" l="1"/>
  <c r="G74" i="3" s="1"/>
  <c r="G76" i="3" s="1"/>
  <c r="C10" i="4" s="1"/>
  <c r="D58" i="3"/>
  <c r="F52" i="3"/>
  <c r="G50" i="3" s="1"/>
  <c r="F194" i="3"/>
  <c r="F195" i="3" s="1"/>
  <c r="C17" i="4"/>
  <c r="F225" i="3"/>
  <c r="F226" i="3" s="1"/>
  <c r="F174" i="3"/>
  <c r="F175" i="3" s="1"/>
  <c r="F210" i="3"/>
  <c r="F211" i="3" s="1"/>
  <c r="F49" i="3"/>
  <c r="G47" i="3" s="1"/>
  <c r="E14" i="3"/>
  <c r="E36" i="3"/>
  <c r="E25" i="3"/>
  <c r="F62" i="3"/>
  <c r="G60" i="3" s="1"/>
  <c r="F65" i="3"/>
  <c r="G63" i="3" s="1"/>
  <c r="E258" i="3"/>
  <c r="F258" i="3" s="1"/>
  <c r="F259" i="3" s="1"/>
  <c r="E260" i="3" s="1"/>
  <c r="F260" i="3" s="1"/>
  <c r="G261" i="3" s="1"/>
  <c r="C20" i="4" s="1"/>
  <c r="F255" i="3"/>
  <c r="D235" i="1"/>
  <c r="F59" i="3" l="1"/>
  <c r="G57" i="3" s="1"/>
  <c r="G66" i="3" s="1"/>
  <c r="C9" i="4" s="1"/>
  <c r="C19" i="4"/>
  <c r="G53" i="3"/>
  <c r="C8" i="4" l="1"/>
  <c r="D257" i="1"/>
  <c r="E258" i="1" s="1"/>
  <c r="F258" i="1" s="1"/>
  <c r="F259" i="1" s="1"/>
  <c r="E260" i="1" s="1"/>
  <c r="F260" i="1" s="1"/>
  <c r="G261" i="1" s="1"/>
  <c r="E248" i="1"/>
  <c r="F248" i="1" s="1"/>
  <c r="F249" i="1" s="1"/>
  <c r="D237" i="1"/>
  <c r="D233" i="1"/>
  <c r="D232" i="1" s="1"/>
  <c r="D230" i="1" s="1"/>
  <c r="D223" i="1"/>
  <c r="D221" i="1"/>
  <c r="D218" i="1"/>
  <c r="D217" i="1" s="1"/>
  <c r="D215" i="1" s="1"/>
  <c r="D203" i="1"/>
  <c r="D189" i="1"/>
  <c r="F188" i="1" s="1"/>
  <c r="D187" i="1"/>
  <c r="D186" i="1"/>
  <c r="D182" i="1"/>
  <c r="D181" i="1" s="1"/>
  <c r="D179" i="1" s="1"/>
  <c r="D172" i="1"/>
  <c r="D169" i="1"/>
  <c r="D167" i="1"/>
  <c r="D166" i="1"/>
  <c r="D165" i="1"/>
  <c r="D164" i="1"/>
  <c r="D162" i="1"/>
  <c r="D161" i="1" s="1"/>
  <c r="D159" i="1" s="1"/>
  <c r="D98" i="1"/>
  <c r="E72" i="1"/>
  <c r="D72" i="1"/>
  <c r="D70" i="1"/>
  <c r="E63" i="1"/>
  <c r="E60" i="1"/>
  <c r="B49" i="1"/>
  <c r="B62" i="1" s="1"/>
  <c r="B73" i="1" s="1"/>
  <c r="B126" i="1" s="1"/>
  <c r="D48" i="1"/>
  <c r="D47" i="1" s="1"/>
  <c r="E47" i="1"/>
  <c r="B46" i="1"/>
  <c r="B59" i="1" s="1"/>
  <c r="B71" i="1" s="1"/>
  <c r="B102" i="1" s="1"/>
  <c r="D45" i="1"/>
  <c r="B43" i="1"/>
  <c r="B56" i="1" s="1"/>
  <c r="B69" i="1" s="1"/>
  <c r="B78" i="1" s="1"/>
  <c r="E32" i="1"/>
  <c r="E22" i="1"/>
  <c r="E11" i="1"/>
  <c r="F239" i="1" l="1"/>
  <c r="F240" i="1" s="1"/>
  <c r="F225" i="1"/>
  <c r="F226" i="1" s="1"/>
  <c r="F178" i="1"/>
  <c r="F48" i="1"/>
  <c r="G46" i="1" s="1"/>
  <c r="F45" i="1"/>
  <c r="G43" i="1" s="1"/>
  <c r="D44" i="1"/>
  <c r="D202" i="1"/>
  <c r="D200" i="1" s="1"/>
  <c r="E250" i="1"/>
  <c r="F250" i="1" s="1"/>
  <c r="G251" i="1" s="1"/>
  <c r="C20" i="2" s="1"/>
  <c r="G71" i="1"/>
  <c r="C18" i="2"/>
  <c r="D61" i="1"/>
  <c r="D60" i="1" s="1"/>
  <c r="G69" i="1"/>
  <c r="D64" i="1"/>
  <c r="D63" i="1" s="1"/>
  <c r="E74" i="1"/>
  <c r="E21" i="1"/>
  <c r="F33" i="1"/>
  <c r="F34" i="1" s="1"/>
  <c r="E36" i="1" s="1"/>
  <c r="E50" i="1"/>
  <c r="E33" i="1"/>
  <c r="F255" i="1"/>
  <c r="F11" i="1"/>
  <c r="F12" i="1" s="1"/>
  <c r="F121" i="1"/>
  <c r="E122" i="1" s="1"/>
  <c r="F122" i="1" s="1"/>
  <c r="G123" i="1" s="1"/>
  <c r="F145" i="1"/>
  <c r="E146" i="1" s="1"/>
  <c r="F245" i="1"/>
  <c r="G276" i="1"/>
  <c r="D58" i="1"/>
  <c r="D57" i="1" s="1"/>
  <c r="F97" i="1"/>
  <c r="E98" i="1" s="1"/>
  <c r="F98" i="1" s="1"/>
  <c r="G99" i="1" s="1"/>
  <c r="F22" i="1"/>
  <c r="F23" i="1" s="1"/>
  <c r="F211" i="1" l="1"/>
  <c r="F146" i="1"/>
  <c r="G147" i="1" s="1"/>
  <c r="C17" i="2" s="1"/>
  <c r="F194" i="1"/>
  <c r="F195" i="1" s="1"/>
  <c r="F61" i="1"/>
  <c r="G59" i="1" s="1"/>
  <c r="C21" i="2"/>
  <c r="D74" i="1"/>
  <c r="F175" i="1"/>
  <c r="F51" i="1"/>
  <c r="G49" i="1" s="1"/>
  <c r="G52" i="1" s="1"/>
  <c r="F58" i="1"/>
  <c r="G56" i="1" s="1"/>
  <c r="E25" i="1"/>
  <c r="F64" i="1"/>
  <c r="G62" i="1" s="1"/>
  <c r="G73" i="1" l="1"/>
  <c r="G75" i="1" s="1"/>
  <c r="C19" i="2"/>
  <c r="G65" i="1"/>
  <c r="C8" i="2"/>
  <c r="D278" i="1" l="1"/>
  <c r="C10" i="2"/>
  <c r="C22" i="4"/>
  <c r="E29" i="4" s="1"/>
  <c r="C9" i="2"/>
  <c r="C15" i="25"/>
  <c r="D282" i="1" s="1"/>
  <c r="F8" i="25" l="1"/>
  <c r="E8" i="25"/>
  <c r="D8" i="25"/>
  <c r="D282" i="3" l="1"/>
  <c r="B5" i="20"/>
  <c r="B4" i="20"/>
  <c r="B25" i="21"/>
  <c r="B16" i="21"/>
  <c r="B11" i="21"/>
  <c r="B6" i="19"/>
  <c r="B35" i="21" l="1"/>
  <c r="D36" i="1" l="1"/>
  <c r="F36" i="1" s="1"/>
  <c r="D36" i="3"/>
  <c r="F36" i="3" s="1"/>
  <c r="F37" i="3" s="1"/>
  <c r="E38" i="3" s="1"/>
  <c r="F38" i="3" s="1"/>
  <c r="G39" i="3" s="1"/>
  <c r="D25" i="3"/>
  <c r="F25" i="3" s="1"/>
  <c r="F26" i="3" s="1"/>
  <c r="E27" i="3" s="1"/>
  <c r="F27" i="3" s="1"/>
  <c r="G28" i="3" s="1"/>
  <c r="D14" i="3"/>
  <c r="F14" i="3" s="1"/>
  <c r="F15" i="3" s="1"/>
  <c r="E16" i="3" s="1"/>
  <c r="F16" i="3" s="1"/>
  <c r="G17" i="3" s="1"/>
  <c r="D14" i="1"/>
  <c r="F14" i="1" s="1"/>
  <c r="F15" i="1" s="1"/>
  <c r="D25" i="1"/>
  <c r="F25" i="1" s="1"/>
  <c r="F26" i="1" s="1"/>
  <c r="E27" i="1" s="1"/>
  <c r="F27" i="1" s="1"/>
  <c r="G28" i="1" s="1"/>
  <c r="C22" i="2"/>
  <c r="E29" i="2" s="1"/>
  <c r="E16" i="1" l="1"/>
  <c r="F16" i="1" s="1"/>
  <c r="G17" i="1" s="1"/>
  <c r="F37" i="1"/>
  <c r="E38" i="1" s="1"/>
  <c r="F38" i="1" s="1"/>
  <c r="G39" i="1" s="1"/>
  <c r="D278" i="3"/>
  <c r="E282" i="3" s="1"/>
  <c r="C7" i="4"/>
  <c r="C7" i="2" l="1"/>
  <c r="E282" i="1"/>
  <c r="C11" i="4"/>
  <c r="F282" i="3"/>
  <c r="E36" i="4" s="1"/>
  <c r="C11" i="2" l="1"/>
  <c r="E3" i="2" s="1"/>
  <c r="E10" i="2" s="1"/>
  <c r="F282" i="1"/>
  <c r="G283" i="1" s="1"/>
  <c r="F285" i="1" s="1"/>
  <c r="F287" i="1" s="1"/>
  <c r="E26" i="4"/>
  <c r="E32" i="4" s="1"/>
  <c r="E38" i="4" s="1"/>
  <c r="E3" i="4"/>
  <c r="G283" i="3"/>
  <c r="F285" i="3" s="1"/>
  <c r="E4" i="20" s="1"/>
  <c r="G3" i="20" l="1"/>
  <c r="E35" i="20"/>
  <c r="E36" i="20"/>
  <c r="E32" i="20"/>
  <c r="E34" i="20"/>
  <c r="E28" i="20"/>
  <c r="E39" i="20"/>
  <c r="E33" i="20"/>
  <c r="E38" i="20"/>
  <c r="E30" i="20"/>
  <c r="E31" i="20"/>
  <c r="E29" i="20"/>
  <c r="E3" i="20"/>
  <c r="F3" i="20" s="1"/>
  <c r="C2" i="28" s="1"/>
  <c r="C8" i="28" s="1"/>
  <c r="E20" i="2"/>
  <c r="E21" i="2"/>
  <c r="E26" i="2"/>
  <c r="E32" i="2" s="1"/>
  <c r="G26" i="2" s="1"/>
  <c r="E18" i="2"/>
  <c r="E13" i="2"/>
  <c r="E7" i="2"/>
  <c r="E8" i="2"/>
  <c r="E9" i="2"/>
  <c r="E19" i="2"/>
  <c r="E17" i="2"/>
  <c r="E36" i="2"/>
  <c r="E8" i="4"/>
  <c r="E13" i="4"/>
  <c r="E18" i="4"/>
  <c r="E19" i="4"/>
  <c r="E21" i="4"/>
  <c r="E20" i="4"/>
  <c r="E10" i="4"/>
  <c r="E17" i="4"/>
  <c r="E9" i="4"/>
  <c r="E7" i="4"/>
  <c r="G26" i="4"/>
  <c r="G29" i="4"/>
  <c r="E40" i="20" l="1"/>
  <c r="G29" i="2"/>
  <c r="G32" i="2" s="1"/>
  <c r="D10" i="28"/>
  <c r="E22" i="2"/>
  <c r="E11" i="2"/>
  <c r="B8" i="28" s="1"/>
  <c r="E38" i="2"/>
  <c r="E11" i="4"/>
  <c r="B9" i="28" s="1"/>
  <c r="G32" i="4"/>
  <c r="F287" i="3"/>
  <c r="E22" i="4"/>
  <c r="C5" i="28" l="1"/>
  <c r="D9" i="28"/>
  <c r="C9" i="28"/>
  <c r="F6" i="20"/>
  <c r="F7" i="20" s="1"/>
  <c r="G6" i="20"/>
  <c r="G7" i="20" s="1"/>
  <c r="D11" i="28" l="1"/>
  <c r="C11" i="2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Clauber Bridi</author>
  </authors>
  <commentList>
    <comment ref="D246" authorId="0" shapeId="0" xr:uid="{00000000-0006-0000-0000-000001000000}">
      <text>
        <r>
          <rPr>
            <b/>
            <sz val="9"/>
            <color rgb="FF000000"/>
            <rFont val="Arial"/>
            <family val="2"/>
          </rPr>
          <t>Informar a taxa de juros anual para remuneração do capital. Recomenda-se o uso da Taxa SELIC</t>
        </r>
        <r>
          <rPr>
            <b/>
            <sz val="9"/>
            <color rgb="FF000000"/>
            <rFont val="Arial"/>
            <family val="2"/>
          </rPr>
          <t xml:space="preserve">
</t>
        </r>
      </text>
    </comment>
    <comment ref="D256" authorId="0" shapeId="0" xr:uid="{00000000-0006-0000-0000-000002000000}">
      <text>
        <r>
          <rPr>
            <b/>
            <sz val="9"/>
            <color rgb="FF000000"/>
            <rFont val="Arial"/>
            <family val="2"/>
          </rPr>
          <t>Informar a taxa de juros anual para remuneração do capital. Recomenda-se o uso da Taxa SELIC</t>
        </r>
        <r>
          <rPr>
            <b/>
            <sz val="9"/>
            <color rgb="FF000000"/>
            <rFont val="Arial"/>
            <family val="2"/>
          </rPr>
          <t xml:space="preserve">
</t>
        </r>
      </text>
    </comment>
    <comment ref="D282" authorId="1" shapeId="0" xr:uid="{00000000-0006-0000-0000-000003000000}">
      <text>
        <r>
          <rPr>
            <sz val="9"/>
            <color indexed="81"/>
            <rFont val="Tahoma"/>
            <family val="2"/>
          </rPr>
          <t>Preencher a aba 4.BDI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Clauber Bridi</author>
  </authors>
  <commentList>
    <comment ref="D246" authorId="0" shapeId="0" xr:uid="{00000000-0006-0000-0200-000001000000}">
      <text>
        <r>
          <rPr>
            <b/>
            <sz val="9"/>
            <color rgb="FF000000"/>
            <rFont val="Arial"/>
            <family val="2"/>
          </rPr>
          <t>Informar a taxa de juros anual para remuneração do capital. Recomenda-se o uso da Taxa SELIC</t>
        </r>
        <r>
          <rPr>
            <b/>
            <sz val="9"/>
            <color rgb="FF000000"/>
            <rFont val="Arial"/>
            <family val="2"/>
          </rPr>
          <t xml:space="preserve">
</t>
        </r>
      </text>
    </comment>
    <comment ref="D256" authorId="0" shapeId="0" xr:uid="{00000000-0006-0000-0200-000002000000}">
      <text>
        <r>
          <rPr>
            <b/>
            <sz val="9"/>
            <color rgb="FF000000"/>
            <rFont val="Arial"/>
            <family val="2"/>
          </rPr>
          <t>Informar a taxa de juros anual para remuneração do capital. Recomenda-se o uso da Taxa SELIC</t>
        </r>
        <r>
          <rPr>
            <b/>
            <sz val="9"/>
            <color rgb="FF000000"/>
            <rFont val="Arial"/>
            <family val="2"/>
          </rPr>
          <t xml:space="preserve">
</t>
        </r>
      </text>
    </comment>
    <comment ref="D282" authorId="1" shapeId="0" xr:uid="{00000000-0006-0000-0200-000003000000}">
      <text>
        <r>
          <rPr>
            <sz val="9"/>
            <color indexed="81"/>
            <rFont val="Tahoma"/>
            <family val="2"/>
          </rPr>
          <t>Preencher a aba 4.BDI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Clauber Bridi</author>
  </authors>
  <commentList>
    <comment ref="D246" authorId="0" shapeId="0" xr:uid="{D5D07C77-41E7-4B7A-B09F-384DFCF1A2D3}">
      <text>
        <r>
          <rPr>
            <b/>
            <sz val="9"/>
            <color rgb="FF000000"/>
            <rFont val="Arial"/>
            <family val="2"/>
          </rPr>
          <t>Informar a taxa de juros anual para remuneração do capital. Recomenda-se o uso da Taxa SELIC</t>
        </r>
        <r>
          <rPr>
            <b/>
            <sz val="9"/>
            <color rgb="FF000000"/>
            <rFont val="Arial"/>
            <family val="2"/>
          </rPr>
          <t xml:space="preserve">
</t>
        </r>
      </text>
    </comment>
    <comment ref="D256" authorId="0" shapeId="0" xr:uid="{11B9CD59-54FE-43E7-9EE3-85C564F74045}">
      <text>
        <r>
          <rPr>
            <b/>
            <sz val="9"/>
            <color rgb="FF000000"/>
            <rFont val="Arial"/>
            <family val="2"/>
          </rPr>
          <t>Informar a taxa de juros anual para remuneração do capital. Recomenda-se o uso da Taxa SELIC</t>
        </r>
        <r>
          <rPr>
            <b/>
            <sz val="9"/>
            <color rgb="FF000000"/>
            <rFont val="Arial"/>
            <family val="2"/>
          </rPr>
          <t xml:space="preserve">
</t>
        </r>
      </text>
    </comment>
    <comment ref="D282" authorId="1" shapeId="0" xr:uid="{A69DFAA5-E3F8-4DE2-8986-3CD813581C09}">
      <text>
        <r>
          <rPr>
            <sz val="9"/>
            <color indexed="81"/>
            <rFont val="Tahoma"/>
            <family val="2"/>
          </rPr>
          <t>Preencher a aba 4.BDI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C7" authorId="0" shapeId="0" xr:uid="{00000000-0006-0000-1500-000001000000}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" authorId="0" shapeId="0" xr:uid="{00000000-0006-0000-1500-000002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 xr:uid="{00000000-0006-0000-1500-000003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0" authorId="0" shapeId="0" xr:uid="{00000000-0006-0000-1500-000004000000}">
      <text>
        <r>
          <rPr>
            <b/>
            <sz val="9"/>
            <color indexed="81"/>
            <rFont val="Tahoma"/>
            <family val="2"/>
          </rPr>
          <t>Informar o valor anual da taxa financeira, em percentual. Admite-se utilizar a SELIC</t>
        </r>
      </text>
    </comment>
    <comment ref="C11" authorId="0" shapeId="0" xr:uid="{00000000-0006-0000-1500-000005000000}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1500-000006000000}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00000000-0006-0000-1500-000007000000}">
      <text>
        <r>
          <rPr>
            <b/>
            <sz val="9"/>
            <color indexed="81"/>
            <rFont val="Tahoma"/>
            <family val="2"/>
          </rPr>
          <t xml:space="preserve">Informar o valor estimado de PIS/COFINS. </t>
        </r>
        <r>
          <rPr>
            <sz val="9"/>
            <color indexed="81"/>
            <rFont val="Tahoma"/>
            <family val="2"/>
          </rPr>
          <t xml:space="preserve">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sharedStrings.xml><?xml version="1.0" encoding="utf-8"?>
<sst xmlns="http://schemas.openxmlformats.org/spreadsheetml/2006/main" count="2082" uniqueCount="488">
  <si>
    <t>MUNICÍPIO DE SANTA ROSA</t>
  </si>
  <si>
    <t>SECRETARIA DE ADMINISTRAÇÃO E FAZENDA</t>
  </si>
  <si>
    <t>Departamento de Contabilidade e Finanças</t>
  </si>
  <si>
    <t>PLANILHA DE CUSTOS PARA SERVIÇOS CONTINUADOS SEM DEDICAÇÃO EXCLUSIVA</t>
  </si>
  <si>
    <t>MÃO-DE-OBRA</t>
  </si>
  <si>
    <t xml:space="preserve"> 1.1</t>
  </si>
  <si>
    <t>1.1.1</t>
  </si>
  <si>
    <t>DISCRIMINAÇÃO</t>
  </si>
  <si>
    <t>UNIDADE</t>
  </si>
  <si>
    <t>QUANT.</t>
  </si>
  <si>
    <t>PREÇO</t>
  </si>
  <si>
    <t>SUB-TOTAL</t>
  </si>
  <si>
    <t>TOTAL</t>
  </si>
  <si>
    <t>1.1.1.1</t>
  </si>
  <si>
    <t xml:space="preserve">   Horas Normais</t>
  </si>
  <si>
    <t>hora</t>
  </si>
  <si>
    <t>1.1.1.2</t>
  </si>
  <si>
    <t xml:space="preserve">   Insalubridade</t>
  </si>
  <si>
    <t>1.1.1.3</t>
  </si>
  <si>
    <t>SOMA</t>
  </si>
  <si>
    <t>1.1.1.4</t>
  </si>
  <si>
    <t xml:space="preserve">   Encargos Sociais %</t>
  </si>
  <si>
    <t>%</t>
  </si>
  <si>
    <t>1.1.1.5</t>
  </si>
  <si>
    <t xml:space="preserve">   Total por operário</t>
  </si>
  <si>
    <t>1.1.1.6</t>
  </si>
  <si>
    <t xml:space="preserve">   Total do Efetivo</t>
  </si>
  <si>
    <t>funcionario(a)</t>
  </si>
  <si>
    <t>Valor a transportar</t>
  </si>
  <si>
    <t>1.1.2</t>
  </si>
  <si>
    <t>1.1.2.1</t>
  </si>
  <si>
    <t>1.1.2.2</t>
  </si>
  <si>
    <t>1.1.2.3</t>
  </si>
  <si>
    <t>1.1.2.4</t>
  </si>
  <si>
    <t>1.1.2.5</t>
  </si>
  <si>
    <t>1.1.2.6</t>
  </si>
  <si>
    <t>1.1.5</t>
  </si>
  <si>
    <t>1.1.5.1</t>
  </si>
  <si>
    <t>1.1.5.2</t>
  </si>
  <si>
    <t>1.1.5.3</t>
  </si>
  <si>
    <t>1.1.5.4</t>
  </si>
  <si>
    <t>1.1.5.5</t>
  </si>
  <si>
    <t>1.1.5.6</t>
  </si>
  <si>
    <t>1.2.1</t>
  </si>
  <si>
    <t>Vale Transporte</t>
  </si>
  <si>
    <t>1.2.1.1</t>
  </si>
  <si>
    <t>Vale transporte = 20(med) dias x 4 vales x quant func.</t>
  </si>
  <si>
    <t>Desconto = até 6 % sobre salário basico</t>
  </si>
  <si>
    <t>6%</t>
  </si>
  <si>
    <t>1.2.1.2</t>
  </si>
  <si>
    <t>1.2.1.3</t>
  </si>
  <si>
    <t>1.3.1</t>
  </si>
  <si>
    <t>Vale Alimentação</t>
  </si>
  <si>
    <t>1.3.1.1</t>
  </si>
  <si>
    <t>Desp. com Vale alimentação = 20(med) dias x quant func.</t>
  </si>
  <si>
    <t>Desconto vale alimentação até 19 % sobre salário basico</t>
  </si>
  <si>
    <t>1.3.1.2</t>
  </si>
  <si>
    <t>1.4.1</t>
  </si>
  <si>
    <t>Plano Beneficio Familiar</t>
  </si>
  <si>
    <t>1.4.1.1</t>
  </si>
  <si>
    <t>Desp. com Plano Beneficio Familiar = quant func.x preço un</t>
  </si>
  <si>
    <t>1.4.1.2</t>
  </si>
  <si>
    <t>1.4.1.3</t>
  </si>
  <si>
    <t>UNIFORMES E EQUIPAMENTOS DE PROTEÇÃO INDIVIDUAL E COLETIVA</t>
  </si>
  <si>
    <t>2.1</t>
  </si>
  <si>
    <t>DESCRIÇAO</t>
  </si>
  <si>
    <t>QUANT./ANO</t>
  </si>
  <si>
    <t>PREÇO/MÊS</t>
  </si>
  <si>
    <t>2.1.1</t>
  </si>
  <si>
    <t>Calça</t>
  </si>
  <si>
    <t>2.1.2</t>
  </si>
  <si>
    <t>Camiseta Longa</t>
  </si>
  <si>
    <t>2.1.3</t>
  </si>
  <si>
    <t>2.1.4</t>
  </si>
  <si>
    <t>Perneira Segurança</t>
  </si>
  <si>
    <t>2.1.5</t>
  </si>
  <si>
    <t>Avental de Raspa</t>
  </si>
  <si>
    <t>2.1.6</t>
  </si>
  <si>
    <t>Protetor Solar</t>
  </si>
  <si>
    <t>2.1.7</t>
  </si>
  <si>
    <t>Bone ou Chapeu Pescador</t>
  </si>
  <si>
    <t>2.1.8</t>
  </si>
  <si>
    <t>Bone Tipo Touca Arabe com Proteçao Facial</t>
  </si>
  <si>
    <t>2.1.9</t>
  </si>
  <si>
    <t>Botina Bico de Aço</t>
  </si>
  <si>
    <t>2.1.10</t>
  </si>
  <si>
    <t>Protetor Facial com Viseira Incolor</t>
  </si>
  <si>
    <t>2.1.11</t>
  </si>
  <si>
    <t>Protetor Auricular Tipo Concha</t>
  </si>
  <si>
    <t>2.1.12</t>
  </si>
  <si>
    <t>Protetor Auricular silicone</t>
  </si>
  <si>
    <t>2.1.13</t>
  </si>
  <si>
    <t>Oculos Proteção  Visual</t>
  </si>
  <si>
    <t>2.1.14</t>
  </si>
  <si>
    <t>Luva Latex Revestida</t>
  </si>
  <si>
    <t>2.1.15</t>
  </si>
  <si>
    <t>Luva em Nylon</t>
  </si>
  <si>
    <t>2.1.16</t>
  </si>
  <si>
    <t>Luva Segurança Curta</t>
  </si>
  <si>
    <t>Higienização Uniformes/EPIs</t>
  </si>
  <si>
    <t>Total por operário por mês</t>
  </si>
  <si>
    <t>Total para o efetivo</t>
  </si>
  <si>
    <t>2.2</t>
  </si>
  <si>
    <t>2.2.1</t>
  </si>
  <si>
    <t>2.2.2</t>
  </si>
  <si>
    <t>2.2.3</t>
  </si>
  <si>
    <t>2.2.4</t>
  </si>
  <si>
    <t>2.2.5</t>
  </si>
  <si>
    <t>2.2.6</t>
  </si>
  <si>
    <t>2.2.7</t>
  </si>
  <si>
    <t>2.2.8</t>
  </si>
  <si>
    <t>2.2.9</t>
  </si>
  <si>
    <t>2.2.10</t>
  </si>
  <si>
    <t>2.2.11</t>
  </si>
  <si>
    <t>2.2.12</t>
  </si>
  <si>
    <t>2.2.13</t>
  </si>
  <si>
    <t>2.2.14</t>
  </si>
  <si>
    <t>2.2.15</t>
  </si>
  <si>
    <t>2.2.16</t>
  </si>
  <si>
    <t>2.3</t>
  </si>
  <si>
    <t>2.3.1</t>
  </si>
  <si>
    <t>2.3.2</t>
  </si>
  <si>
    <t>2.3.3</t>
  </si>
  <si>
    <t>2.3.4</t>
  </si>
  <si>
    <t>2.3.5</t>
  </si>
  <si>
    <t>2.3.6</t>
  </si>
  <si>
    <t>2.3.7</t>
  </si>
  <si>
    <t>2.3.8</t>
  </si>
  <si>
    <t>2.3.9</t>
  </si>
  <si>
    <t>2.3.10</t>
  </si>
  <si>
    <t>2.3.11</t>
  </si>
  <si>
    <t>2.3.12</t>
  </si>
  <si>
    <t>2.3.13</t>
  </si>
  <si>
    <t>2.3.14</t>
  </si>
  <si>
    <t>2.3.15</t>
  </si>
  <si>
    <t>2.3.16</t>
  </si>
  <si>
    <t>ITEM</t>
  </si>
  <si>
    <t>UNID.</t>
  </si>
  <si>
    <t>3.1</t>
  </si>
  <si>
    <t xml:space="preserve">Cavaletes de sinalização </t>
  </si>
  <si>
    <t>unidade</t>
  </si>
  <si>
    <t>3.2</t>
  </si>
  <si>
    <t xml:space="preserve">Cones de sinalização </t>
  </si>
  <si>
    <t>4.</t>
  </si>
  <si>
    <t>Veiculos</t>
  </si>
  <si>
    <t>4.1.</t>
  </si>
  <si>
    <t>4.1.1</t>
  </si>
  <si>
    <t>a) Custos fixos</t>
  </si>
  <si>
    <t>Valor Mensal:</t>
  </si>
  <si>
    <t>4.1.2</t>
  </si>
  <si>
    <t>1) Depreciação mensal:</t>
  </si>
  <si>
    <t>Depreciação anual / 12 meses</t>
  </si>
  <si>
    <t>4.1.3</t>
  </si>
  <si>
    <t>Preço Medio</t>
  </si>
  <si>
    <t>4.1.4</t>
  </si>
  <si>
    <t>1b) Depreciação anual:</t>
  </si>
  <si>
    <t>(Valor do veículo - Valor Residual) / Vida útil</t>
  </si>
  <si>
    <t>4.1.5</t>
  </si>
  <si>
    <t>1c) Valor Residual</t>
  </si>
  <si>
    <t>4.1.6</t>
  </si>
  <si>
    <t>1d) Vida Útil</t>
  </si>
  <si>
    <t>10 anos</t>
  </si>
  <si>
    <t>4.1.7</t>
  </si>
  <si>
    <t>2) Licenciamento:</t>
  </si>
  <si>
    <t>R$ 194,5/ 12</t>
  </si>
  <si>
    <t>4.1.8</t>
  </si>
  <si>
    <t>3) Seguro Obrigatório</t>
  </si>
  <si>
    <t>R$ 125,23 / 12</t>
  </si>
  <si>
    <t>4.1.9</t>
  </si>
  <si>
    <t>4) Apólice seguro</t>
  </si>
  <si>
    <t>6,00% do valor do veículo / 12</t>
  </si>
  <si>
    <t>4.1.10</t>
  </si>
  <si>
    <t>5) IPVA</t>
  </si>
  <si>
    <t>3,00% do valor do veículo / 12</t>
  </si>
  <si>
    <t>4.1.11</t>
  </si>
  <si>
    <t>b) Custos Variáveis:</t>
  </si>
  <si>
    <t>Quantidade mês estimada de km rodados:</t>
  </si>
  <si>
    <t>4.1.12</t>
  </si>
  <si>
    <t>1) Manutenção de Peças e mão de obra:</t>
  </si>
  <si>
    <t>5,00% do valor do veículo / 12</t>
  </si>
  <si>
    <t>4.1.13</t>
  </si>
  <si>
    <t>2) Manutenção de Pneus:</t>
  </si>
  <si>
    <t>01 troca por ano – 04 pneus a R$ 469,00 cada = R$ 1.876</t>
  </si>
  <si>
    <t>4.1.14</t>
  </si>
  <si>
    <t>3) Combustivel</t>
  </si>
  <si>
    <t>4.1.15</t>
  </si>
  <si>
    <t>6) Lubrificantes:</t>
  </si>
  <si>
    <t>troca de óleo a cada 10.000km – 02 trocas ao ano a R$ 350,00 cada</t>
  </si>
  <si>
    <t>4.1.16</t>
  </si>
  <si>
    <t>7) Lavagem:</t>
  </si>
  <si>
    <t>Custos fixos + Custos variáveis</t>
  </si>
  <si>
    <t>Total para a Frota</t>
  </si>
  <si>
    <t>4.2</t>
  </si>
  <si>
    <t>4.2.1</t>
  </si>
  <si>
    <t>4.2.2</t>
  </si>
  <si>
    <t>4.2.3</t>
  </si>
  <si>
    <t>4.2.4</t>
  </si>
  <si>
    <t>4.2.5</t>
  </si>
  <si>
    <t>4.2.6</t>
  </si>
  <si>
    <t>4.2.7</t>
  </si>
  <si>
    <t>4.2.8</t>
  </si>
  <si>
    <t>4.2.9</t>
  </si>
  <si>
    <t>4.2.10</t>
  </si>
  <si>
    <t>4.2.11</t>
  </si>
  <si>
    <t>Quantidade estimada de km rodados:</t>
  </si>
  <si>
    <t>4.2.12</t>
  </si>
  <si>
    <t>4.2.13</t>
  </si>
  <si>
    <t>01 troca por ano – 04 pneus a R$ 2.150,00 cada = R$ 8.600,00</t>
  </si>
  <si>
    <t>4.2.14</t>
  </si>
  <si>
    <t>(estimativa de 1.200 km rodados por mês, rendimento 3,65km/L - R$ 6,25)</t>
  </si>
  <si>
    <t>4.2.15</t>
  </si>
  <si>
    <t>troca de óleo a cada 10.000km – 02 trocas ao ano a R$ 654,00 cada</t>
  </si>
  <si>
    <t>4.2.16</t>
  </si>
  <si>
    <t>4.3</t>
  </si>
  <si>
    <t>Equipamentos</t>
  </si>
  <si>
    <t>4.3.1</t>
  </si>
  <si>
    <t>4.3.2</t>
  </si>
  <si>
    <t>4.3.3</t>
  </si>
  <si>
    <t>4.3.4</t>
  </si>
  <si>
    <t>4.3.5</t>
  </si>
  <si>
    <t>4.3.6</t>
  </si>
  <si>
    <t>5 anos</t>
  </si>
  <si>
    <t>4.3.7</t>
  </si>
  <si>
    <t>Quantidade estimada de 200 hrs mês X Unidades</t>
  </si>
  <si>
    <t>4.3.8</t>
  </si>
  <si>
    <t>4.3.9</t>
  </si>
  <si>
    <t>4.3.10</t>
  </si>
  <si>
    <t>troca de óleo a cada 1Hr –  20ml a R$ 0,74 cada</t>
  </si>
  <si>
    <t>4.3.11</t>
  </si>
  <si>
    <t>7) Limpeza</t>
  </si>
  <si>
    <t>4.4</t>
  </si>
  <si>
    <t>4.4.1</t>
  </si>
  <si>
    <t>4.4.2</t>
  </si>
  <si>
    <t>4.4.3</t>
  </si>
  <si>
    <t>4.4.4</t>
  </si>
  <si>
    <t>4.4.5</t>
  </si>
  <si>
    <t>4.4.6</t>
  </si>
  <si>
    <t>4.4.7</t>
  </si>
  <si>
    <t>Quantidade estimada de 200 hrs mes:</t>
  </si>
  <si>
    <t>4.4.8</t>
  </si>
  <si>
    <t>4.4.9</t>
  </si>
  <si>
    <t>4.4.10</t>
  </si>
  <si>
    <t>4.4.11</t>
  </si>
  <si>
    <t>4.5</t>
  </si>
  <si>
    <t>4.5.1</t>
  </si>
  <si>
    <t>4.5.2</t>
  </si>
  <si>
    <t>4.5.3</t>
  </si>
  <si>
    <t>4.5.4</t>
  </si>
  <si>
    <t>4.5.5</t>
  </si>
  <si>
    <t>4.5.6</t>
  </si>
  <si>
    <t>4.5.7</t>
  </si>
  <si>
    <t>4.5.8</t>
  </si>
  <si>
    <t>4.5.9</t>
  </si>
  <si>
    <t>5.0</t>
  </si>
  <si>
    <t>5.1</t>
  </si>
  <si>
    <t>Remuneração do Capital</t>
  </si>
  <si>
    <t>Discriminação</t>
  </si>
  <si>
    <t>Unidade</t>
  </si>
  <si>
    <t>Quantidade</t>
  </si>
  <si>
    <t>Custo unitário</t>
  </si>
  <si>
    <t>Subtotal</t>
  </si>
  <si>
    <r>
      <t xml:space="preserve">Total </t>
    </r>
    <r>
      <rPr>
        <b/>
        <u/>
        <sz val="9"/>
        <color rgb="FF000000"/>
        <rFont val="Arial"/>
        <family val="2"/>
      </rPr>
      <t>(R$)</t>
    </r>
  </si>
  <si>
    <t>5.1.1</t>
  </si>
  <si>
    <t>5.1.2</t>
  </si>
  <si>
    <t>Taxa de juros anual nominal (4)</t>
  </si>
  <si>
    <t>5.1.3</t>
  </si>
  <si>
    <t>Valor do veículo proposto (V0)</t>
  </si>
  <si>
    <t>R$</t>
  </si>
  <si>
    <t>Remuneração mensal de capital</t>
  </si>
  <si>
    <t>Total por veículo</t>
  </si>
  <si>
    <t>Total da frota</t>
  </si>
  <si>
    <t>Fator de utilização</t>
  </si>
  <si>
    <t>5.2</t>
  </si>
  <si>
    <t>5.2.1</t>
  </si>
  <si>
    <t>5.2.2</t>
  </si>
  <si>
    <t>5.2.3</t>
  </si>
  <si>
    <t>Total por Equipamento</t>
  </si>
  <si>
    <t>Total de Equipamentos</t>
  </si>
  <si>
    <t>6.</t>
  </si>
  <si>
    <t>CUSTOS OPERACIONAIS</t>
  </si>
  <si>
    <t>6.1</t>
  </si>
  <si>
    <t>Quantidade- Ano</t>
  </si>
  <si>
    <t>Custo Unitario</t>
  </si>
  <si>
    <t>6.1.1</t>
  </si>
  <si>
    <t>Recepiente Termico para Agua (5l)</t>
  </si>
  <si>
    <t>6.1.2</t>
  </si>
  <si>
    <t>Sacos plásticos 100 litros – unidade – 10 micras</t>
  </si>
  <si>
    <t>6.1.3</t>
  </si>
  <si>
    <t xml:space="preserve">Pá de Concha        </t>
  </si>
  <si>
    <t>6.1.4</t>
  </si>
  <si>
    <t>6.1.5</t>
  </si>
  <si>
    <t>6.1.6</t>
  </si>
  <si>
    <t>6.1.7</t>
  </si>
  <si>
    <t>6.1.8</t>
  </si>
  <si>
    <t>Carrinhos lutocares</t>
  </si>
  <si>
    <t>Total de materiais/mês</t>
  </si>
  <si>
    <t>Valor total mensal</t>
  </si>
  <si>
    <t>Seguros/Riscos/Garantias</t>
  </si>
  <si>
    <t>Despesas Financeiras</t>
  </si>
  <si>
    <t>Descrição</t>
  </si>
  <si>
    <t>Valor Mensal</t>
  </si>
  <si>
    <t>7.1</t>
  </si>
  <si>
    <t>m2</t>
  </si>
  <si>
    <t>CALCULO DESPESAS DE PESSOAL DE OPERAÇÃO E OUTROS SERVIÇOS TERCEIROS</t>
  </si>
  <si>
    <t>Outras despesas de pessoal decorrentes de contratos de terceirização</t>
  </si>
  <si>
    <t>Percentual</t>
  </si>
  <si>
    <t>item</t>
  </si>
  <si>
    <t>1.1</t>
  </si>
  <si>
    <t>1.2</t>
  </si>
  <si>
    <t>1.3</t>
  </si>
  <si>
    <t>1.4</t>
  </si>
  <si>
    <t>Valor Total</t>
  </si>
  <si>
    <t>Outros Serviços de Terceiros</t>
  </si>
  <si>
    <t>2.0</t>
  </si>
  <si>
    <t>3.0</t>
  </si>
  <si>
    <t>4.0</t>
  </si>
  <si>
    <t>6.0</t>
  </si>
  <si>
    <t>Valor Sub-Total</t>
  </si>
  <si>
    <t>TOTAL GERAL</t>
  </si>
  <si>
    <t>Valor Geral</t>
  </si>
  <si>
    <t>obs:</t>
  </si>
  <si>
    <t>Não está computado o valor de Mark-up</t>
  </si>
  <si>
    <t>não se enquadra nos itens supracitados</t>
  </si>
  <si>
    <t>Total Geral</t>
  </si>
  <si>
    <t>Lote 01</t>
  </si>
  <si>
    <t>qtde</t>
  </si>
  <si>
    <t>un</t>
  </si>
  <si>
    <t>M²</t>
  </si>
  <si>
    <t>ITENS PROPOSTA - FORMAÇÃO DE PREÇO</t>
  </si>
  <si>
    <t>Unid.</t>
  </si>
  <si>
    <t>R$ Unit.</t>
  </si>
  <si>
    <t>R$ Total Anual</t>
  </si>
  <si>
    <t>m²</t>
  </si>
  <si>
    <t>Totais</t>
  </si>
  <si>
    <t>Encargos Sociais</t>
  </si>
  <si>
    <t>Previdência Social</t>
  </si>
  <si>
    <t>Sesi/Sesc</t>
  </si>
  <si>
    <t>Senai/Senac</t>
  </si>
  <si>
    <t>Incra</t>
  </si>
  <si>
    <t>Salário Educação</t>
  </si>
  <si>
    <t>FGTS</t>
  </si>
  <si>
    <t>Seguro Acidente do Trabalho</t>
  </si>
  <si>
    <t>Sebrae</t>
  </si>
  <si>
    <t>Grupo A</t>
  </si>
  <si>
    <t>Encargos Trabalhistas</t>
  </si>
  <si>
    <t>13° salário</t>
  </si>
  <si>
    <t>1/3 de férias</t>
  </si>
  <si>
    <t>Incidência de encargos</t>
  </si>
  <si>
    <t>Grupo B</t>
  </si>
  <si>
    <t>Custo Reposição Profissional Ausente</t>
  </si>
  <si>
    <t>Férias</t>
  </si>
  <si>
    <t>Afastamento Maternidade</t>
  </si>
  <si>
    <t>Licença paternidade</t>
  </si>
  <si>
    <t>Auxilio Doença</t>
  </si>
  <si>
    <t>Faltas Legais</t>
  </si>
  <si>
    <t>Acidente do Trabalho</t>
  </si>
  <si>
    <t>Grupo C</t>
  </si>
  <si>
    <t>Provisão para rescisão</t>
  </si>
  <si>
    <t>Aviso Prédio Indenizado</t>
  </si>
  <si>
    <t>Incidência FGTS sobre aviso prévio indenizado</t>
  </si>
  <si>
    <t>Multa FGTS s/aviso prévio indenizado</t>
  </si>
  <si>
    <t>Aviso Prévio trabalhado</t>
  </si>
  <si>
    <t>Encargos sobre aviso prévio trabalhado</t>
  </si>
  <si>
    <t>FGTS Rescisões sem justa causa</t>
  </si>
  <si>
    <t>Grupo D</t>
  </si>
  <si>
    <t>Total</t>
  </si>
  <si>
    <t>4. Composição do BDI - Benefícios e Despesas Indiretas</t>
  </si>
  <si>
    <t>Referência estudo TCE</t>
  </si>
  <si>
    <t>1° Quartil</t>
  </si>
  <si>
    <t>Médio</t>
  </si>
  <si>
    <t>3° Quartil</t>
  </si>
  <si>
    <t>Administração Central</t>
  </si>
  <si>
    <t>AC</t>
  </si>
  <si>
    <t>SRG</t>
  </si>
  <si>
    <t>Lucro</t>
  </si>
  <si>
    <t>L</t>
  </si>
  <si>
    <t>DF</t>
  </si>
  <si>
    <t>i</t>
  </si>
  <si>
    <t>Tributos - ISS</t>
  </si>
  <si>
    <t>T</t>
  </si>
  <si>
    <t>DU</t>
  </si>
  <si>
    <t>Tributos - PIS/COFINS</t>
  </si>
  <si>
    <t>Fórmula para o cálculo do BDI:</t>
  </si>
  <si>
    <t>{[(1+AC+SRG) x (1+L) x (1+DF)] / (1-T)} -1</t>
  </si>
  <si>
    <t>Resultado do cálculo do BDI:</t>
  </si>
  <si>
    <t>Benefícios e Despesas Indiretas - BDI</t>
  </si>
  <si>
    <t>Custo Operacional</t>
  </si>
  <si>
    <r>
      <t xml:space="preserve">Total </t>
    </r>
    <r>
      <rPr>
        <b/>
        <u/>
        <sz val="9"/>
        <rFont val="Arial"/>
        <family val="2"/>
      </rPr>
      <t>(R$)</t>
    </r>
  </si>
  <si>
    <t>Benefícios e despesas indiretas</t>
  </si>
  <si>
    <t>BDI</t>
  </si>
  <si>
    <t>PLANILHA DE METRAGENS ANUAL POR LOTES/ITENS</t>
  </si>
  <si>
    <t>Enxada com Cabo</t>
  </si>
  <si>
    <t>Pá de Lixo</t>
  </si>
  <si>
    <t>vassoura com Cabo</t>
  </si>
  <si>
    <t>vassoura leque com Cabo</t>
  </si>
  <si>
    <t>1a) Valor estimado para aquisição de veículo p/01 Und.</t>
  </si>
  <si>
    <t>1a) Valor estimado aquisição veículo p/01Und.</t>
  </si>
  <si>
    <t>6.2</t>
  </si>
  <si>
    <t>CUSTO M2</t>
  </si>
  <si>
    <t>CUSTO TOTAL DOS SERVIÇOS  ANUAL</t>
  </si>
  <si>
    <t>DESCRIÇÃO</t>
  </si>
  <si>
    <t>Valor</t>
  </si>
  <si>
    <t>quantidades horas trabalhadas funcionario mês</t>
  </si>
  <si>
    <t>horas</t>
  </si>
  <si>
    <t>7.2</t>
  </si>
  <si>
    <t xml:space="preserve">Produção Operario </t>
  </si>
  <si>
    <t>m2/hrs</t>
  </si>
  <si>
    <t>7.3</t>
  </si>
  <si>
    <t>Area Corte por Operario mês</t>
  </si>
  <si>
    <t>m2/mês</t>
  </si>
  <si>
    <t>7.4</t>
  </si>
  <si>
    <t>Quantidade de operarios</t>
  </si>
  <si>
    <t>und</t>
  </si>
  <si>
    <t>7.5</t>
  </si>
  <si>
    <t>Area Total Corte</t>
  </si>
  <si>
    <t xml:space="preserve">MÃO-DE-OBRA DIRETA / Calculo Proporcional ao Número de Itens </t>
  </si>
  <si>
    <t>Lote 1 - item 1.2</t>
  </si>
  <si>
    <t>Lote 1 - item 1.1</t>
  </si>
  <si>
    <t>CUSTO TOTAL DOS SERVIÇOS  MENSAL</t>
  </si>
  <si>
    <t>2.1.17</t>
  </si>
  <si>
    <t>01 lavagens por mês a R$ 100,00 cada</t>
  </si>
  <si>
    <t>01 lavagens por mês a R$ 150,00 cada</t>
  </si>
  <si>
    <t>01 limpeza por mês a R$ 35,00 cada</t>
  </si>
  <si>
    <t>01 lavagens por mês a R$ 75,00 cada</t>
  </si>
  <si>
    <t>1.2.</t>
  </si>
  <si>
    <t>1.1.</t>
  </si>
  <si>
    <t>1.3.</t>
  </si>
  <si>
    <t>LOTE 1</t>
  </si>
  <si>
    <t>Outr.  Serv</t>
  </si>
  <si>
    <t>Substit. M.O.</t>
  </si>
  <si>
    <t>TOTAL LOTE 1</t>
  </si>
  <si>
    <t>MATERIAS E FERRAMENTAS (custo mensal) - Rateio p/ 4 itens</t>
  </si>
  <si>
    <t>Tela de proteção</t>
  </si>
  <si>
    <t>2.2.17</t>
  </si>
  <si>
    <t>2.3.17</t>
  </si>
  <si>
    <t>Corte Grama areas internas das unidades escolares municipais</t>
  </si>
  <si>
    <t xml:space="preserve">Corte Grama nos passeios das unidades escolares municipais </t>
  </si>
  <si>
    <t>Roçada nas areas internas das unidades escolares municipais</t>
  </si>
  <si>
    <t>Corte de Grama, Limpeza do Pátio, Recolhimento nas áreas Internas das Unidades Escolares Municipais</t>
  </si>
  <si>
    <t>Corte de Grama, Limpeza do Pátio, Recolhimento nos Passeios das Unidades Escolares Municipais</t>
  </si>
  <si>
    <t>Auxiliar de serviços Gerais/Jardineiro  - Rateio p/ 3 itens</t>
  </si>
  <si>
    <t>3. Equipamentos de proteção coletiva (EPC) - Rateio p/ 3 itens</t>
  </si>
  <si>
    <t>Remuneração Equipam. Investido - Rateio p/ 3 itens</t>
  </si>
  <si>
    <t>MATERIAS E FERRAMENTAS (custo mensal) - Rateio p/ 3 itens</t>
  </si>
  <si>
    <t>Capa de chuva</t>
  </si>
  <si>
    <t>Preposto/Encarregado - Rateio p/ 3 itens</t>
  </si>
  <si>
    <t>Motorista   - Rateio p/ 3 itens</t>
  </si>
  <si>
    <t>Veiculo Transporte /Funcionarios /Material/Equipamentos/ Recolhimento residuos- Rateio p/ 3 itens</t>
  </si>
  <si>
    <t>Cortador de grama tracionado com motor a gasolina - Rateio p/ 3 itens</t>
  </si>
  <si>
    <t>1a) Valor estimado para aquisição p/02 Und.</t>
  </si>
  <si>
    <t>(estimativa de 1.200 km rodados por mês, rendimento 7km/L - R$ 7,44)</t>
  </si>
  <si>
    <t>(estimativa de 200 hrs por mês, rendimento 1L/H - R$ 6,78)</t>
  </si>
  <si>
    <t>(estimativa de 200 hrs por mês, rendimento 2,8L/H - R$ 6,78)</t>
  </si>
  <si>
    <t>Roçadeira  a gasolina - Rateio p/ 3 itens</t>
  </si>
  <si>
    <t>1a) Valor estimado para aquisição por Unidade R$2.827,58 - Sendo 02 un. utilizadas</t>
  </si>
  <si>
    <t>Soprador  a gasolina - Rateio p/ 3 itens</t>
  </si>
  <si>
    <t>1a) Valor estimado para aquisição por Unidade R$1.088,45 - Sendo 01 un. utilizadas</t>
  </si>
  <si>
    <t xml:space="preserve"> - Rateio p/ 3 itens</t>
  </si>
  <si>
    <t xml:space="preserve">  - Rateio p/ 3 itens</t>
  </si>
  <si>
    <t>1a) Valor estimado para aquisição por Unidade R$1088,45- Sendo 01 un. utilizadas</t>
  </si>
  <si>
    <t>(estimativa de 200 hrs por mês, rendimento 1L/H - R$6,78)</t>
  </si>
  <si>
    <t>Remuneração Capital Investido - Rateio p/ 3 itens</t>
  </si>
  <si>
    <t>Quant. Estim. Anual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</si>
  <si>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</si>
  <si>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</si>
  <si>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</si>
  <si>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</si>
  <si>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</si>
  <si>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</si>
  <si>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</si>
  <si>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</si>
  <si>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</si>
  <si>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</si>
  <si>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</si>
  <si>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</si>
  <si>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1.1 Corte Grama areas internas das unidades escolares municipais</t>
  </si>
  <si>
    <t>Quantidade de cortes mensais</t>
  </si>
  <si>
    <t>Metragem da area de corte</t>
  </si>
  <si>
    <t xml:space="preserve">Metragem total mensal </t>
  </si>
  <si>
    <t>Valor mensal R$</t>
  </si>
  <si>
    <t>Mês</t>
  </si>
  <si>
    <t xml:space="preserve">1.2 Corte Grama nos passeios das unidades escolares municipais </t>
  </si>
  <si>
    <t>Bimestre</t>
  </si>
  <si>
    <t>Quantidade de cortes bimestrais</t>
  </si>
  <si>
    <t>Metragem total Bimestral</t>
  </si>
  <si>
    <t>Valor Bimestral R$</t>
  </si>
  <si>
    <t>1.3 Roçada nas areas internas das unidades escolares municipais</t>
  </si>
  <si>
    <t>Lote 1 - item 1.3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</si>
</sst>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4" formatCode="_-&quot;R$&quot;\ * #,##0.00_-;\-&quot;R$&quot;\ * #,##0.00_-;_-&quot;R$&quot;\ * &quot;-&quot;??_-;_-@_-"/>
    <numFmt numFmtId="164" formatCode="0.00&quot; &quot;"/>
    <numFmt numFmtId="165" formatCode="#,##0.00&quot; &quot;;#,##0.00&quot; &quot;;&quot;-&quot;#&quot; &quot;;&quot; &quot;@&quot; &quot;"/>
    <numFmt numFmtId="166" formatCode="[$-416]General"/>
    <numFmt numFmtId="167" formatCode="#,##0.00&quot; &quot;;&quot; (&quot;#,##0.00&quot;)&quot;;&quot; -&quot;#&quot; &quot;;@&quot; &quot;"/>
    <numFmt numFmtId="168" formatCode="#,##0.00;&quot;-&quot;#,##0.00"/>
    <numFmt numFmtId="169" formatCode="#,###"/>
    <numFmt numFmtId="170" formatCode="0&quot; &quot;"/>
    <numFmt numFmtId="171" formatCode="#,###.00;[Red]&quot;-&quot;#,###.00"/>
    <numFmt numFmtId="172" formatCode="#,###.00"/>
    <numFmt numFmtId="173" formatCode="[$R$-416]&quot; &quot;#,##0.00"/>
    <numFmt numFmtId="174" formatCode="#,##0;&quot;-&quot;#,##0"/>
    <numFmt numFmtId="175" formatCode="#,##0.00&quot; &quot;;&quot;(&quot;#,##0.00&quot;)&quot;;&quot;-&quot;#&quot; &quot;;&quot; &quot;@&quot; &quot;"/>
    <numFmt numFmtId="176" formatCode="&quot; &quot;#,##0.00&quot; &quot;;&quot;-&quot;#,##0.00&quot; &quot;;&quot; -&quot;00&quot; &quot;;&quot; &quot;@&quot; &quot;"/>
    <numFmt numFmtId="177" formatCode="[$R$-416]\ #,##0.00"/>
    <numFmt numFmtId="178" formatCode="_-&quot;R$&quot;\ * #,##0.000_-;\-&quot;R$&quot;\ * #,##0.000_-;_-&quot;R$&quot;\ * &quot;-&quot;??_-;_-@_-"/>
  </numFmts>
  <fonts count="41">
    <font>
      <sz val="11"/>
      <color rgb="FF000000"/>
      <name val="Arial"/>
      <family val="2"/>
    </font>
    <font>
      <sz val="11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FFFFFF"/>
      <name val="Arial"/>
      <family val="2"/>
    </font>
    <font>
      <sz val="10"/>
      <color rgb="FFCC0000"/>
      <name val="Arial"/>
      <family val="2"/>
    </font>
    <font>
      <b/>
      <sz val="10"/>
      <color rgb="FFFFFFFF"/>
      <name val="Arial"/>
      <family val="2"/>
    </font>
    <font>
      <sz val="10"/>
      <color rgb="FF000000"/>
      <name val="Arial1"/>
    </font>
    <font>
      <u/>
      <sz val="10"/>
      <color rgb="FF0000FF"/>
      <name val="Arial"/>
      <family val="2"/>
    </font>
    <font>
      <sz val="10"/>
      <color rgb="FF000000"/>
      <name val="Arial"/>
      <family val="2"/>
    </font>
    <font>
      <i/>
      <sz val="10"/>
      <color rgb="FF808080"/>
      <name val="Arial"/>
      <family val="2"/>
    </font>
    <font>
      <sz val="10"/>
      <color rgb="FF006600"/>
      <name val="Arial"/>
      <family val="2"/>
    </font>
    <font>
      <b/>
      <sz val="24"/>
      <color rgb="FF000000"/>
      <name val="Arial"/>
      <family val="2"/>
    </font>
    <font>
      <sz val="18"/>
      <color rgb="FF000000"/>
      <name val="Arial"/>
      <family val="2"/>
    </font>
    <font>
      <sz val="12"/>
      <color rgb="FF000000"/>
      <name val="Arial"/>
      <family val="2"/>
    </font>
    <font>
      <sz val="10"/>
      <color rgb="FF996600"/>
      <name val="Arial"/>
      <family val="2"/>
    </font>
    <font>
      <sz val="10"/>
      <color rgb="FF333333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Arial"/>
      <family val="2"/>
    </font>
    <font>
      <b/>
      <i/>
      <sz val="11"/>
      <color rgb="FF000000"/>
      <name val="Calibri"/>
      <family val="2"/>
    </font>
    <font>
      <i/>
      <sz val="11"/>
      <color rgb="FF000000"/>
      <name val="Calibri"/>
      <family val="2"/>
    </font>
    <font>
      <b/>
      <sz val="11"/>
      <color rgb="FF000000"/>
      <name val="Calibri"/>
      <family val="2"/>
    </font>
    <font>
      <u/>
      <sz val="11"/>
      <color rgb="FF000000"/>
      <name val="Calibri"/>
      <family val="2"/>
    </font>
    <font>
      <b/>
      <u/>
      <sz val="11"/>
      <color rgb="FF000000"/>
      <name val="Calibri"/>
      <family val="2"/>
    </font>
    <font>
      <b/>
      <sz val="9"/>
      <color rgb="FF000000"/>
      <name val="Arial"/>
      <family val="2"/>
    </font>
    <font>
      <b/>
      <u/>
      <sz val="9"/>
      <color rgb="FF000000"/>
      <name val="Arial"/>
      <family val="2"/>
    </font>
    <font>
      <b/>
      <sz val="10"/>
      <color rgb="FF000000"/>
      <name val="Calibri"/>
      <family val="2"/>
    </font>
    <font>
      <b/>
      <sz val="12"/>
      <color rgb="FF000000"/>
      <name val="Calibri"/>
      <family val="2"/>
    </font>
    <font>
      <b/>
      <sz val="11"/>
      <color rgb="FF00008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i/>
      <sz val="11"/>
      <name val="Calibri"/>
      <family val="2"/>
    </font>
    <font>
      <b/>
      <sz val="12"/>
      <color rgb="FF000000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BFBFBF"/>
        <bgColor rgb="FFBFBFBF"/>
      </patternFill>
    </fill>
    <fill>
      <patternFill patternType="solid">
        <fgColor rgb="FF0066CC"/>
        <bgColor rgb="FF0066CC"/>
      </patternFill>
    </fill>
    <fill>
      <patternFill patternType="solid">
        <fgColor rgb="FFCCCCFF"/>
        <bgColor rgb="FFCCCCFF"/>
      </patternFill>
    </fill>
    <fill>
      <patternFill patternType="solid">
        <fgColor rgb="FF99CCFF"/>
        <bgColor rgb="FF99CCFF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4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6">
    <xf numFmtId="0" fontId="0" fillId="0" borderId="0"/>
    <xf numFmtId="176" fontId="1" fillId="0" borderId="0" applyFont="0" applyFill="0" applyBorder="0" applyAlignment="0" applyProtection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5" fillId="6" borderId="0" applyNumberFormat="0" applyBorder="0" applyProtection="0"/>
    <xf numFmtId="167" fontId="6" fillId="0" borderId="0" applyBorder="0" applyProtection="0"/>
    <xf numFmtId="166" fontId="7" fillId="0" borderId="0" applyBorder="0" applyProtection="0"/>
    <xf numFmtId="166" fontId="6" fillId="0" borderId="0" applyBorder="0" applyProtection="0"/>
    <xf numFmtId="165" fontId="8" fillId="0" borderId="0" applyBorder="0" applyProtection="0"/>
    <xf numFmtId="165" fontId="8" fillId="0" borderId="0" applyBorder="0" applyProtection="0"/>
    <xf numFmtId="9" fontId="8" fillId="0" borderId="0" applyBorder="0" applyProtection="0"/>
    <xf numFmtId="0" fontId="9" fillId="0" borderId="0" applyNumberFormat="0" applyBorder="0" applyProtection="0"/>
    <xf numFmtId="0" fontId="10" fillId="7" borderId="0" applyNumberFormat="0" applyBorder="0" applyProtection="0"/>
    <xf numFmtId="0" fontId="11" fillId="0" borderId="0" applyNumberFormat="0" applyBorder="0" applyProtection="0"/>
    <xf numFmtId="0" fontId="12" fillId="0" borderId="0" applyNumberFormat="0" applyBorder="0" applyProtection="0"/>
    <xf numFmtId="0" fontId="13" fillId="0" borderId="0" applyNumberFormat="0" applyBorder="0" applyProtection="0"/>
    <xf numFmtId="0" fontId="14" fillId="8" borderId="0" applyNumberFormat="0" applyBorder="0" applyProtection="0"/>
    <xf numFmtId="0" fontId="15" fillId="8" borderId="1" applyNumberFormat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26">
    <xf numFmtId="0" fontId="0" fillId="0" borderId="0" xfId="0"/>
    <xf numFmtId="0" fontId="16" fillId="0" borderId="0" xfId="0" applyFont="1"/>
    <xf numFmtId="170" fontId="18" fillId="0" borderId="0" xfId="0" applyNumberFormat="1" applyFont="1" applyAlignment="1">
      <alignment horizontal="left"/>
    </xf>
    <xf numFmtId="164" fontId="18" fillId="0" borderId="0" xfId="0" applyNumberFormat="1" applyFont="1"/>
    <xf numFmtId="164" fontId="19" fillId="0" borderId="0" xfId="0" applyNumberFormat="1" applyFont="1"/>
    <xf numFmtId="164" fontId="18" fillId="0" borderId="0" xfId="0" applyNumberFormat="1" applyFont="1" applyAlignment="1">
      <alignment horizontal="left"/>
    </xf>
    <xf numFmtId="164" fontId="18" fillId="0" borderId="0" xfId="0" applyNumberFormat="1" applyFont="1" applyAlignment="1">
      <alignment horizontal="center"/>
    </xf>
    <xf numFmtId="164" fontId="18" fillId="9" borderId="5" xfId="0" applyNumberFormat="1" applyFont="1" applyFill="1" applyBorder="1" applyAlignment="1">
      <alignment horizontal="left"/>
    </xf>
    <xf numFmtId="164" fontId="18" fillId="9" borderId="0" xfId="0" applyNumberFormat="1" applyFont="1" applyFill="1"/>
    <xf numFmtId="164" fontId="18" fillId="9" borderId="6" xfId="0" applyNumberFormat="1" applyFont="1" applyFill="1" applyBorder="1" applyAlignment="1">
      <alignment horizontal="left"/>
    </xf>
    <xf numFmtId="164" fontId="18" fillId="9" borderId="6" xfId="0" applyNumberFormat="1" applyFont="1" applyFill="1" applyBorder="1" applyAlignment="1">
      <alignment horizontal="center"/>
    </xf>
    <xf numFmtId="164" fontId="18" fillId="9" borderId="7" xfId="0" applyNumberFormat="1" applyFont="1" applyFill="1" applyBorder="1" applyAlignment="1">
      <alignment horizontal="left"/>
    </xf>
    <xf numFmtId="164" fontId="19" fillId="9" borderId="8" xfId="0" applyNumberFormat="1" applyFont="1" applyFill="1" applyBorder="1" applyAlignment="1">
      <alignment horizontal="left"/>
    </xf>
    <xf numFmtId="164" fontId="19" fillId="9" borderId="8" xfId="0" applyNumberFormat="1" applyFont="1" applyFill="1" applyBorder="1" applyAlignment="1">
      <alignment horizontal="center"/>
    </xf>
    <xf numFmtId="164" fontId="19" fillId="9" borderId="8" xfId="0" applyNumberFormat="1" applyFont="1" applyFill="1" applyBorder="1"/>
    <xf numFmtId="165" fontId="19" fillId="10" borderId="8" xfId="0" applyNumberFormat="1" applyFont="1" applyFill="1" applyBorder="1"/>
    <xf numFmtId="10" fontId="19" fillId="9" borderId="8" xfId="0" applyNumberFormat="1" applyFont="1" applyFill="1" applyBorder="1"/>
    <xf numFmtId="165" fontId="19" fillId="10" borderId="9" xfId="0" applyNumberFormat="1" applyFont="1" applyFill="1" applyBorder="1"/>
    <xf numFmtId="164" fontId="18" fillId="9" borderId="5" xfId="0" applyNumberFormat="1" applyFont="1" applyFill="1" applyBorder="1" applyAlignment="1">
      <alignment horizontal="center"/>
    </xf>
    <xf numFmtId="164" fontId="19" fillId="9" borderId="0" xfId="0" applyNumberFormat="1" applyFont="1" applyFill="1"/>
    <xf numFmtId="164" fontId="19" fillId="9" borderId="10" xfId="0" applyNumberFormat="1" applyFont="1" applyFill="1" applyBorder="1" applyAlignment="1">
      <alignment horizontal="left"/>
    </xf>
    <xf numFmtId="164" fontId="19" fillId="9" borderId="10" xfId="0" applyNumberFormat="1" applyFont="1" applyFill="1" applyBorder="1" applyAlignment="1">
      <alignment horizontal="center"/>
    </xf>
    <xf numFmtId="10" fontId="19" fillId="10" borderId="10" xfId="0" applyNumberFormat="1" applyFont="1" applyFill="1" applyBorder="1" applyAlignment="1">
      <alignment horizontal="center"/>
    </xf>
    <xf numFmtId="165" fontId="19" fillId="10" borderId="5" xfId="0" applyNumberFormat="1" applyFont="1" applyFill="1" applyBorder="1"/>
    <xf numFmtId="164" fontId="19" fillId="9" borderId="5" xfId="0" applyNumberFormat="1" applyFont="1" applyFill="1" applyBorder="1" applyAlignment="1">
      <alignment horizontal="left"/>
    </xf>
    <xf numFmtId="164" fontId="19" fillId="9" borderId="9" xfId="0" applyNumberFormat="1" applyFont="1" applyFill="1" applyBorder="1" applyAlignment="1">
      <alignment horizontal="left"/>
    </xf>
    <xf numFmtId="168" fontId="18" fillId="10" borderId="5" xfId="0" applyNumberFormat="1" applyFont="1" applyFill="1" applyBorder="1"/>
    <xf numFmtId="164" fontId="19" fillId="9" borderId="5" xfId="0" applyNumberFormat="1" applyFont="1" applyFill="1" applyBorder="1" applyAlignment="1">
      <alignment horizontal="center"/>
    </xf>
    <xf numFmtId="165" fontId="19" fillId="10" borderId="10" xfId="0" applyNumberFormat="1" applyFont="1" applyFill="1" applyBorder="1"/>
    <xf numFmtId="164" fontId="18" fillId="9" borderId="0" xfId="0" applyNumberFormat="1" applyFont="1" applyFill="1" applyAlignment="1">
      <alignment horizontal="left"/>
    </xf>
    <xf numFmtId="168" fontId="18" fillId="9" borderId="0" xfId="0" applyNumberFormat="1" applyFont="1" applyFill="1"/>
    <xf numFmtId="10" fontId="19" fillId="9" borderId="8" xfId="0" applyNumberFormat="1" applyFont="1" applyFill="1" applyBorder="1" applyAlignment="1">
      <alignment horizontal="center"/>
    </xf>
    <xf numFmtId="164" fontId="18" fillId="0" borderId="5" xfId="0" applyNumberFormat="1" applyFont="1" applyBorder="1" applyAlignment="1">
      <alignment horizontal="left"/>
    </xf>
    <xf numFmtId="164" fontId="18" fillId="0" borderId="5" xfId="0" applyNumberFormat="1" applyFont="1" applyBorder="1"/>
    <xf numFmtId="164" fontId="18" fillId="0" borderId="6" xfId="0" applyNumberFormat="1" applyFont="1" applyBorder="1" applyAlignment="1">
      <alignment horizontal="center"/>
    </xf>
    <xf numFmtId="165" fontId="18" fillId="0" borderId="6" xfId="0" applyNumberFormat="1" applyFont="1" applyBorder="1" applyAlignment="1">
      <alignment horizontal="center"/>
    </xf>
    <xf numFmtId="164" fontId="18" fillId="0" borderId="7" xfId="0" applyNumberFormat="1" applyFont="1" applyBorder="1" applyAlignment="1">
      <alignment horizontal="left"/>
    </xf>
    <xf numFmtId="0" fontId="19" fillId="10" borderId="5" xfId="0" applyFont="1" applyFill="1" applyBorder="1" applyAlignment="1">
      <alignment horizontal="center"/>
    </xf>
    <xf numFmtId="4" fontId="19" fillId="0" borderId="9" xfId="0" applyNumberFormat="1" applyFont="1" applyBorder="1" applyAlignment="1">
      <alignment horizontal="center"/>
    </xf>
    <xf numFmtId="49" fontId="19" fillId="0" borderId="5" xfId="0" applyNumberFormat="1" applyFont="1" applyBorder="1" applyAlignment="1">
      <alignment horizontal="center"/>
    </xf>
    <xf numFmtId="164" fontId="19" fillId="10" borderId="5" xfId="0" applyNumberFormat="1" applyFont="1" applyFill="1" applyBorder="1" applyAlignment="1">
      <alignment horizontal="center"/>
    </xf>
    <xf numFmtId="4" fontId="19" fillId="0" borderId="0" xfId="0" applyNumberFormat="1" applyFont="1"/>
    <xf numFmtId="4" fontId="19" fillId="0" borderId="5" xfId="0" applyNumberFormat="1" applyFont="1" applyBorder="1"/>
    <xf numFmtId="164" fontId="18" fillId="0" borderId="3" xfId="0" applyNumberFormat="1" applyFont="1" applyBorder="1" applyAlignment="1">
      <alignment horizontal="left"/>
    </xf>
    <xf numFmtId="164" fontId="18" fillId="9" borderId="10" xfId="0" applyNumberFormat="1" applyFont="1" applyFill="1" applyBorder="1" applyAlignment="1">
      <alignment horizontal="center"/>
    </xf>
    <xf numFmtId="4" fontId="19" fillId="9" borderId="5" xfId="0" applyNumberFormat="1" applyFont="1" applyFill="1" applyBorder="1"/>
    <xf numFmtId="10" fontId="16" fillId="9" borderId="5" xfId="13" applyNumberFormat="1" applyFont="1" applyFill="1" applyBorder="1" applyAlignment="1">
      <alignment horizontal="right"/>
    </xf>
    <xf numFmtId="165" fontId="19" fillId="9" borderId="5" xfId="0" applyNumberFormat="1" applyFont="1" applyFill="1" applyBorder="1"/>
    <xf numFmtId="4" fontId="18" fillId="10" borderId="5" xfId="0" applyNumberFormat="1" applyFont="1" applyFill="1" applyBorder="1"/>
    <xf numFmtId="4" fontId="19" fillId="9" borderId="5" xfId="0" applyNumberFormat="1" applyFont="1" applyFill="1" applyBorder="1" applyAlignment="1">
      <alignment horizontal="center"/>
    </xf>
    <xf numFmtId="164" fontId="18" fillId="0" borderId="11" xfId="0" applyNumberFormat="1" applyFont="1" applyBorder="1"/>
    <xf numFmtId="10" fontId="16" fillId="9" borderId="5" xfId="13" applyNumberFormat="1" applyFont="1" applyFill="1" applyBorder="1" applyAlignment="1">
      <alignment horizontal="center"/>
    </xf>
    <xf numFmtId="4" fontId="19" fillId="9" borderId="0" xfId="0" applyNumberFormat="1" applyFont="1" applyFill="1"/>
    <xf numFmtId="4" fontId="19" fillId="9" borderId="0" xfId="0" applyNumberFormat="1" applyFont="1" applyFill="1" applyAlignment="1">
      <alignment horizontal="right"/>
    </xf>
    <xf numFmtId="4" fontId="18" fillId="0" borderId="0" xfId="0" applyNumberFormat="1" applyFont="1"/>
    <xf numFmtId="0" fontId="0" fillId="0" borderId="5" xfId="0" applyBorder="1"/>
    <xf numFmtId="164" fontId="19" fillId="0" borderId="0" xfId="0" applyNumberFormat="1" applyFont="1" applyAlignment="1">
      <alignment horizontal="left"/>
    </xf>
    <xf numFmtId="168" fontId="18" fillId="0" borderId="0" xfId="0" applyNumberFormat="1" applyFont="1"/>
    <xf numFmtId="170" fontId="18" fillId="0" borderId="5" xfId="0" applyNumberFormat="1" applyFont="1" applyBorder="1" applyAlignment="1">
      <alignment horizontal="left"/>
    </xf>
    <xf numFmtId="174" fontId="19" fillId="9" borderId="5" xfId="0" applyNumberFormat="1" applyFont="1" applyFill="1" applyBorder="1" applyAlignment="1">
      <alignment horizontal="center"/>
    </xf>
    <xf numFmtId="174" fontId="19" fillId="10" borderId="5" xfId="0" applyNumberFormat="1" applyFont="1" applyFill="1" applyBorder="1" applyAlignment="1">
      <alignment horizontal="center"/>
    </xf>
    <xf numFmtId="174" fontId="19" fillId="9" borderId="0" xfId="0" applyNumberFormat="1" applyFont="1" applyFill="1"/>
    <xf numFmtId="175" fontId="18" fillId="10" borderId="5" xfId="0" applyNumberFormat="1" applyFont="1" applyFill="1" applyBorder="1"/>
    <xf numFmtId="164" fontId="18" fillId="9" borderId="0" xfId="0" applyNumberFormat="1" applyFont="1" applyFill="1" applyAlignment="1">
      <alignment horizontal="center"/>
    </xf>
    <xf numFmtId="175" fontId="18" fillId="9" borderId="0" xfId="0" applyNumberFormat="1" applyFont="1" applyFill="1"/>
    <xf numFmtId="0" fontId="0" fillId="0" borderId="0" xfId="0" applyAlignment="1">
      <alignment vertical="center"/>
    </xf>
    <xf numFmtId="0" fontId="20" fillId="0" borderId="5" xfId="0" applyFont="1" applyBorder="1"/>
    <xf numFmtId="175" fontId="18" fillId="0" borderId="0" xfId="0" applyNumberFormat="1" applyFont="1" applyAlignment="1">
      <alignment horizontal="center"/>
    </xf>
    <xf numFmtId="0" fontId="21" fillId="0" borderId="5" xfId="0" applyFont="1" applyBorder="1"/>
    <xf numFmtId="0" fontId="16" fillId="0" borderId="5" xfId="0" applyFont="1" applyBorder="1" applyAlignment="1">
      <alignment wrapText="1"/>
    </xf>
    <xf numFmtId="165" fontId="16" fillId="0" borderId="5" xfId="0" applyNumberFormat="1" applyFont="1" applyBorder="1"/>
    <xf numFmtId="0" fontId="16" fillId="0" borderId="5" xfId="0" applyFont="1" applyBorder="1"/>
    <xf numFmtId="165" fontId="16" fillId="10" borderId="5" xfId="0" applyNumberFormat="1" applyFont="1" applyFill="1" applyBorder="1"/>
    <xf numFmtId="165" fontId="16" fillId="10" borderId="5" xfId="12" applyFont="1" applyFill="1" applyBorder="1"/>
    <xf numFmtId="9" fontId="16" fillId="0" borderId="5" xfId="0" applyNumberFormat="1" applyFont="1" applyBorder="1" applyAlignment="1">
      <alignment horizontal="center" wrapText="1"/>
    </xf>
    <xf numFmtId="9" fontId="16" fillId="0" borderId="5" xfId="0" applyNumberFormat="1" applyFont="1" applyBorder="1" applyAlignment="1">
      <alignment horizontal="left" wrapText="1"/>
    </xf>
    <xf numFmtId="3" fontId="16" fillId="0" borderId="5" xfId="0" applyNumberFormat="1" applyFont="1" applyBorder="1" applyAlignment="1">
      <alignment horizontal="center"/>
    </xf>
    <xf numFmtId="0" fontId="16" fillId="0" borderId="5" xfId="0" applyFont="1" applyBorder="1" applyAlignment="1">
      <alignment horizontal="right" wrapText="1"/>
    </xf>
    <xf numFmtId="1" fontId="20" fillId="0" borderId="5" xfId="0" applyNumberFormat="1" applyFont="1" applyBorder="1" applyAlignment="1">
      <alignment horizontal="center"/>
    </xf>
    <xf numFmtId="0" fontId="16" fillId="9" borderId="5" xfId="0" applyFont="1" applyFill="1" applyBorder="1"/>
    <xf numFmtId="0" fontId="16" fillId="9" borderId="5" xfId="0" applyFont="1" applyFill="1" applyBorder="1" applyAlignment="1">
      <alignment wrapText="1"/>
    </xf>
    <xf numFmtId="165" fontId="16" fillId="9" borderId="5" xfId="0" applyNumberFormat="1" applyFont="1" applyFill="1" applyBorder="1"/>
    <xf numFmtId="0" fontId="16" fillId="9" borderId="0" xfId="0" applyFont="1" applyFill="1"/>
    <xf numFmtId="165" fontId="21" fillId="9" borderId="5" xfId="0" applyNumberFormat="1" applyFont="1" applyFill="1" applyBorder="1"/>
    <xf numFmtId="165" fontId="16" fillId="9" borderId="3" xfId="0" applyNumberFormat="1" applyFont="1" applyFill="1" applyBorder="1"/>
    <xf numFmtId="0" fontId="20" fillId="0" borderId="12" xfId="0" applyFont="1" applyBorder="1"/>
    <xf numFmtId="0" fontId="16" fillId="0" borderId="2" xfId="0" applyFont="1" applyBorder="1"/>
    <xf numFmtId="165" fontId="16" fillId="0" borderId="2" xfId="0" applyNumberFormat="1" applyFont="1" applyBorder="1"/>
    <xf numFmtId="165" fontId="16" fillId="10" borderId="0" xfId="0" applyNumberFormat="1" applyFont="1" applyFill="1"/>
    <xf numFmtId="165" fontId="16" fillId="9" borderId="0" xfId="0" applyNumberFormat="1" applyFont="1" applyFill="1"/>
    <xf numFmtId="165" fontId="16" fillId="10" borderId="3" xfId="0" applyNumberFormat="1" applyFont="1" applyFill="1" applyBorder="1"/>
    <xf numFmtId="0" fontId="20" fillId="0" borderId="0" xfId="0" applyFont="1"/>
    <xf numFmtId="165" fontId="16" fillId="0" borderId="0" xfId="0" applyNumberFormat="1" applyFont="1"/>
    <xf numFmtId="165" fontId="16" fillId="10" borderId="8" xfId="0" applyNumberFormat="1" applyFont="1" applyFill="1" applyBorder="1"/>
    <xf numFmtId="0" fontId="22" fillId="0" borderId="5" xfId="0" applyFont="1" applyBorder="1"/>
    <xf numFmtId="0" fontId="16" fillId="0" borderId="13" xfId="0" applyFont="1" applyBorder="1"/>
    <xf numFmtId="165" fontId="16" fillId="0" borderId="7" xfId="0" applyNumberFormat="1" applyFont="1" applyBorder="1"/>
    <xf numFmtId="0" fontId="16" fillId="0" borderId="5" xfId="0" applyFont="1" applyBorder="1" applyAlignment="1">
      <alignment horizontal="center" wrapText="1"/>
    </xf>
    <xf numFmtId="166" fontId="2" fillId="0" borderId="14" xfId="10" applyFont="1" applyBorder="1" applyAlignment="1">
      <alignment vertical="center"/>
    </xf>
    <xf numFmtId="166" fontId="7" fillId="0" borderId="0" xfId="9" applyAlignment="1">
      <alignment vertical="center"/>
    </xf>
    <xf numFmtId="166" fontId="23" fillId="10" borderId="5" xfId="10" applyFont="1" applyFill="1" applyBorder="1" applyAlignment="1">
      <alignment horizontal="center" vertical="center"/>
    </xf>
    <xf numFmtId="167" fontId="23" fillId="10" borderId="5" xfId="8" applyFont="1" applyFill="1" applyBorder="1" applyAlignment="1">
      <alignment horizontal="center" vertical="center"/>
    </xf>
    <xf numFmtId="166" fontId="8" fillId="0" borderId="5" xfId="10" applyFont="1" applyBorder="1" applyAlignment="1">
      <alignment vertical="center"/>
    </xf>
    <xf numFmtId="166" fontId="8" fillId="0" borderId="5" xfId="10" applyFont="1" applyBorder="1" applyAlignment="1">
      <alignment horizontal="center" vertical="center"/>
    </xf>
    <xf numFmtId="166" fontId="8" fillId="0" borderId="7" xfId="10" applyFont="1" applyBorder="1" applyAlignment="1">
      <alignment horizontal="center" vertical="center"/>
    </xf>
    <xf numFmtId="167" fontId="8" fillId="0" borderId="5" xfId="8" applyFont="1" applyBorder="1" applyAlignment="1">
      <alignment horizontal="center" vertical="center"/>
    </xf>
    <xf numFmtId="167" fontId="8" fillId="0" borderId="0" xfId="8" applyFont="1" applyAlignment="1">
      <alignment horizontal="center" vertical="center"/>
    </xf>
    <xf numFmtId="167" fontId="8" fillId="0" borderId="5" xfId="10" applyNumberFormat="1" applyFont="1" applyBorder="1" applyAlignment="1">
      <alignment horizontal="center" vertical="center"/>
    </xf>
    <xf numFmtId="166" fontId="2" fillId="0" borderId="14" xfId="10" applyFont="1" applyBorder="1" applyAlignment="1">
      <alignment horizontal="center" vertical="center"/>
    </xf>
    <xf numFmtId="167" fontId="2" fillId="0" borderId="14" xfId="8" applyFont="1" applyBorder="1" applyAlignment="1">
      <alignment horizontal="center" vertical="center"/>
    </xf>
    <xf numFmtId="166" fontId="2" fillId="0" borderId="3" xfId="10" applyFont="1" applyBorder="1" applyAlignment="1">
      <alignment vertical="center"/>
    </xf>
    <xf numFmtId="166" fontId="2" fillId="0" borderId="0" xfId="10" applyFont="1" applyAlignment="1">
      <alignment horizontal="center" vertical="center"/>
    </xf>
    <xf numFmtId="167" fontId="2" fillId="0" borderId="0" xfId="8" applyFont="1" applyAlignment="1">
      <alignment horizontal="center" vertical="center"/>
    </xf>
    <xf numFmtId="167" fontId="2" fillId="0" borderId="3" xfId="8" applyFont="1" applyBorder="1" applyAlignment="1">
      <alignment horizontal="center" vertical="center"/>
    </xf>
    <xf numFmtId="166" fontId="2" fillId="0" borderId="5" xfId="10" applyFont="1" applyBorder="1" applyAlignment="1">
      <alignment vertical="center"/>
    </xf>
    <xf numFmtId="166" fontId="2" fillId="0" borderId="5" xfId="10" applyFont="1" applyBorder="1" applyAlignment="1">
      <alignment horizontal="center" vertical="center"/>
    </xf>
    <xf numFmtId="167" fontId="2" fillId="0" borderId="5" xfId="8" applyFont="1" applyBorder="1" applyAlignment="1">
      <alignment horizontal="center" vertical="center"/>
    </xf>
    <xf numFmtId="166" fontId="8" fillId="0" borderId="0" xfId="10" applyFont="1" applyAlignment="1">
      <alignment vertical="center"/>
    </xf>
    <xf numFmtId="166" fontId="8" fillId="0" borderId="0" xfId="10" applyFont="1" applyAlignment="1">
      <alignment horizontal="center" vertical="center"/>
    </xf>
    <xf numFmtId="167" fontId="8" fillId="0" borderId="0" xfId="8" applyFont="1" applyAlignment="1">
      <alignment horizontal="right" vertical="center"/>
    </xf>
    <xf numFmtId="167" fontId="8" fillId="0" borderId="5" xfId="8" applyFont="1" applyBorder="1" applyAlignment="1">
      <alignment vertical="center"/>
    </xf>
    <xf numFmtId="167" fontId="2" fillId="10" borderId="5" xfId="8" applyFont="1" applyFill="1" applyBorder="1" applyAlignment="1">
      <alignment horizontal="center" vertical="center"/>
    </xf>
    <xf numFmtId="168" fontId="19" fillId="0" borderId="0" xfId="0" applyNumberFormat="1" applyFont="1"/>
    <xf numFmtId="10" fontId="0" fillId="0" borderId="0" xfId="0" applyNumberFormat="1"/>
    <xf numFmtId="169" fontId="19" fillId="9" borderId="5" xfId="0" applyNumberFormat="1" applyFont="1" applyFill="1" applyBorder="1" applyAlignment="1">
      <alignment horizontal="center"/>
    </xf>
    <xf numFmtId="164" fontId="18" fillId="9" borderId="12" xfId="0" applyNumberFormat="1" applyFont="1" applyFill="1" applyBorder="1" applyAlignment="1">
      <alignment horizontal="left"/>
    </xf>
    <xf numFmtId="0" fontId="19" fillId="9" borderId="13" xfId="0" applyFont="1" applyFill="1" applyBorder="1" applyAlignment="1">
      <alignment horizontal="left"/>
    </xf>
    <xf numFmtId="0" fontId="19" fillId="9" borderId="6" xfId="0" applyFont="1" applyFill="1" applyBorder="1" applyAlignment="1">
      <alignment horizontal="left"/>
    </xf>
    <xf numFmtId="164" fontId="18" fillId="0" borderId="5" xfId="0" applyNumberFormat="1" applyFont="1" applyBorder="1" applyAlignment="1">
      <alignment horizontal="center"/>
    </xf>
    <xf numFmtId="4" fontId="0" fillId="0" borderId="0" xfId="0" applyNumberFormat="1"/>
    <xf numFmtId="0" fontId="20" fillId="0" borderId="5" xfId="0" applyFont="1" applyBorder="1" applyAlignment="1">
      <alignment horizontal="center"/>
    </xf>
    <xf numFmtId="17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26" fillId="0" borderId="0" xfId="0" applyNumberFormat="1" applyFont="1" applyAlignment="1">
      <alignment horizontal="center"/>
    </xf>
    <xf numFmtId="10" fontId="20" fillId="0" borderId="0" xfId="0" applyNumberFormat="1" applyFont="1" applyAlignment="1">
      <alignment horizontal="center"/>
    </xf>
    <xf numFmtId="171" fontId="0" fillId="0" borderId="0" xfId="0" applyNumberFormat="1"/>
    <xf numFmtId="0" fontId="0" fillId="11" borderId="0" xfId="0" applyFill="1"/>
    <xf numFmtId="0" fontId="0" fillId="0" borderId="5" xfId="0" applyBorder="1" applyAlignment="1">
      <alignment horizontal="center"/>
    </xf>
    <xf numFmtId="4" fontId="0" fillId="0" borderId="5" xfId="0" applyNumberFormat="1" applyBorder="1"/>
    <xf numFmtId="172" fontId="0" fillId="0" borderId="0" xfId="0" applyNumberFormat="1"/>
    <xf numFmtId="0" fontId="0" fillId="0" borderId="0" xfId="0" applyAlignment="1">
      <alignment wrapText="1"/>
    </xf>
    <xf numFmtId="0" fontId="17" fillId="0" borderId="5" xfId="0" applyFont="1" applyBorder="1"/>
    <xf numFmtId="173" fontId="0" fillId="0" borderId="5" xfId="0" applyNumberFormat="1" applyBorder="1"/>
    <xf numFmtId="170" fontId="27" fillId="0" borderId="0" xfId="0" applyNumberFormat="1" applyFont="1" applyAlignment="1">
      <alignment horizontal="left"/>
    </xf>
    <xf numFmtId="0" fontId="8" fillId="0" borderId="15" xfId="0" applyFont="1" applyBorder="1"/>
    <xf numFmtId="10" fontId="8" fillId="0" borderId="10" xfId="0" applyNumberFormat="1" applyFont="1" applyBorder="1"/>
    <xf numFmtId="0" fontId="8" fillId="0" borderId="11" xfId="0" applyFont="1" applyBorder="1"/>
    <xf numFmtId="10" fontId="8" fillId="0" borderId="9" xfId="0" applyNumberFormat="1" applyFont="1" applyBorder="1"/>
    <xf numFmtId="0" fontId="8" fillId="13" borderId="11" xfId="0" applyFont="1" applyFill="1" applyBorder="1"/>
    <xf numFmtId="10" fontId="8" fillId="10" borderId="9" xfId="0" applyNumberFormat="1" applyFont="1" applyFill="1" applyBorder="1"/>
    <xf numFmtId="0" fontId="8" fillId="9" borderId="11" xfId="0" applyFont="1" applyFill="1" applyBorder="1"/>
    <xf numFmtId="10" fontId="8" fillId="9" borderId="9" xfId="0" applyNumberFormat="1" applyFont="1" applyFill="1" applyBorder="1"/>
    <xf numFmtId="0" fontId="8" fillId="14" borderId="11" xfId="0" applyFont="1" applyFill="1" applyBorder="1"/>
    <xf numFmtId="10" fontId="8" fillId="0" borderId="9" xfId="11" applyNumberFormat="1" applyBorder="1"/>
    <xf numFmtId="10" fontId="0" fillId="0" borderId="9" xfId="0" applyNumberFormat="1" applyBorder="1"/>
    <xf numFmtId="0" fontId="0" fillId="14" borderId="12" xfId="0" applyFill="1" applyBorder="1"/>
    <xf numFmtId="10" fontId="8" fillId="10" borderId="8" xfId="0" applyNumberFormat="1" applyFont="1" applyFill="1" applyBorder="1"/>
    <xf numFmtId="0" fontId="28" fillId="0" borderId="20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21" xfId="0" applyFont="1" applyBorder="1" applyAlignment="1">
      <alignment horizontal="center" vertical="center"/>
    </xf>
    <xf numFmtId="0" fontId="29" fillId="0" borderId="20" xfId="0" applyFont="1" applyBorder="1" applyAlignment="1">
      <alignment horizontal="left" vertical="center"/>
    </xf>
    <xf numFmtId="0" fontId="30" fillId="0" borderId="0" xfId="0" applyFont="1" applyAlignment="1">
      <alignment vertical="center"/>
    </xf>
    <xf numFmtId="0" fontId="30" fillId="0" borderId="0" xfId="0" applyFont="1"/>
    <xf numFmtId="0" fontId="30" fillId="0" borderId="20" xfId="0" applyFont="1" applyBorder="1"/>
    <xf numFmtId="9" fontId="30" fillId="0" borderId="25" xfId="24" applyFont="1" applyBorder="1"/>
    <xf numFmtId="9" fontId="30" fillId="0" borderId="16" xfId="24" applyFont="1" applyBorder="1" applyAlignment="1">
      <alignment horizontal="center"/>
    </xf>
    <xf numFmtId="9" fontId="30" fillId="0" borderId="26" xfId="24" applyFont="1" applyBorder="1"/>
    <xf numFmtId="0" fontId="30" fillId="0" borderId="22" xfId="0" applyFont="1" applyBorder="1" applyAlignment="1">
      <alignment horizontal="left" vertical="center"/>
    </xf>
    <xf numFmtId="0" fontId="30" fillId="0" borderId="23" xfId="0" applyFont="1" applyBorder="1" applyAlignment="1">
      <alignment horizontal="center" vertical="center"/>
    </xf>
    <xf numFmtId="10" fontId="30" fillId="16" borderId="24" xfId="0" applyNumberFormat="1" applyFont="1" applyFill="1" applyBorder="1" applyAlignment="1">
      <alignment horizontal="center" vertical="center"/>
    </xf>
    <xf numFmtId="10" fontId="30" fillId="0" borderId="25" xfId="24" applyNumberFormat="1" applyFont="1" applyBorder="1" applyAlignment="1">
      <alignment horizontal="right"/>
    </xf>
    <xf numFmtId="10" fontId="30" fillId="0" borderId="16" xfId="24" applyNumberFormat="1" applyFont="1" applyBorder="1" applyAlignment="1">
      <alignment horizontal="right"/>
    </xf>
    <xf numFmtId="10" fontId="30" fillId="0" borderId="26" xfId="24" applyNumberFormat="1" applyFont="1" applyBorder="1" applyAlignment="1">
      <alignment horizontal="right"/>
    </xf>
    <xf numFmtId="0" fontId="30" fillId="0" borderId="25" xfId="0" applyFont="1" applyBorder="1" applyAlignment="1">
      <alignment horizontal="left" vertical="center"/>
    </xf>
    <xf numFmtId="0" fontId="30" fillId="0" borderId="16" xfId="0" applyFont="1" applyBorder="1" applyAlignment="1">
      <alignment horizontal="center" vertical="center"/>
    </xf>
    <xf numFmtId="10" fontId="30" fillId="16" borderId="26" xfId="0" applyNumberFormat="1" applyFont="1" applyFill="1" applyBorder="1" applyAlignment="1">
      <alignment horizontal="center" vertical="center"/>
    </xf>
    <xf numFmtId="10" fontId="30" fillId="16" borderId="16" xfId="24" applyNumberFormat="1" applyFont="1" applyFill="1" applyBorder="1" applyAlignment="1">
      <alignment horizontal="center"/>
    </xf>
    <xf numFmtId="10" fontId="30" fillId="0" borderId="26" xfId="24" applyNumberFormat="1" applyFont="1" applyBorder="1"/>
    <xf numFmtId="0" fontId="30" fillId="0" borderId="25" xfId="0" applyFont="1" applyBorder="1" applyAlignment="1">
      <alignment horizontal="right"/>
    </xf>
    <xf numFmtId="0" fontId="30" fillId="16" borderId="16" xfId="0" applyFont="1" applyFill="1" applyBorder="1" applyAlignment="1">
      <alignment horizontal="center"/>
    </xf>
    <xf numFmtId="0" fontId="30" fillId="0" borderId="26" xfId="0" applyFont="1" applyBorder="1"/>
    <xf numFmtId="0" fontId="30" fillId="0" borderId="27" xfId="0" applyFont="1" applyBorder="1" applyAlignment="1">
      <alignment horizontal="left" vertical="center"/>
    </xf>
    <xf numFmtId="10" fontId="30" fillId="16" borderId="29" xfId="0" applyNumberFormat="1" applyFont="1" applyFill="1" applyBorder="1" applyAlignment="1">
      <alignment horizontal="center" vertical="center"/>
    </xf>
    <xf numFmtId="0" fontId="30" fillId="0" borderId="25" xfId="0" applyFont="1" applyBorder="1"/>
    <xf numFmtId="0" fontId="30" fillId="0" borderId="16" xfId="0" applyFont="1" applyBorder="1" applyAlignment="1">
      <alignment horizontal="center"/>
    </xf>
    <xf numFmtId="0" fontId="30" fillId="0" borderId="17" xfId="0" applyFont="1" applyBorder="1" applyAlignment="1">
      <alignment vertical="center"/>
    </xf>
    <xf numFmtId="0" fontId="30" fillId="0" borderId="18" xfId="0" applyFont="1" applyBorder="1" applyAlignment="1">
      <alignment vertical="center"/>
    </xf>
    <xf numFmtId="10" fontId="30" fillId="0" borderId="19" xfId="0" applyNumberFormat="1" applyFont="1" applyBorder="1" applyAlignment="1">
      <alignment vertical="center"/>
    </xf>
    <xf numFmtId="0" fontId="30" fillId="0" borderId="30" xfId="0" applyFont="1" applyBorder="1" applyAlignment="1">
      <alignment horizontal="left" vertical="center"/>
    </xf>
    <xf numFmtId="0" fontId="30" fillId="0" borderId="31" xfId="0" applyFont="1" applyBorder="1" applyAlignment="1">
      <alignment horizontal="left" vertical="center"/>
    </xf>
    <xf numFmtId="0" fontId="30" fillId="0" borderId="32" xfId="0" applyFont="1" applyBorder="1" applyAlignment="1">
      <alignment vertical="center"/>
    </xf>
    <xf numFmtId="0" fontId="29" fillId="17" borderId="33" xfId="0" applyFont="1" applyFill="1" applyBorder="1" applyAlignment="1">
      <alignment vertical="center" wrapText="1"/>
    </xf>
    <xf numFmtId="0" fontId="30" fillId="17" borderId="34" xfId="0" applyFont="1" applyFill="1" applyBorder="1" applyAlignment="1">
      <alignment vertical="center"/>
    </xf>
    <xf numFmtId="10" fontId="29" fillId="17" borderId="35" xfId="0" applyNumberFormat="1" applyFont="1" applyFill="1" applyBorder="1" applyAlignment="1">
      <alignment horizontal="center" vertical="center" wrapText="1"/>
    </xf>
    <xf numFmtId="10" fontId="30" fillId="0" borderId="27" xfId="24" applyNumberFormat="1" applyFont="1" applyBorder="1" applyAlignment="1">
      <alignment horizontal="right"/>
    </xf>
    <xf numFmtId="10" fontId="30" fillId="0" borderId="28" xfId="24" applyNumberFormat="1" applyFont="1" applyBorder="1" applyAlignment="1">
      <alignment horizontal="right"/>
    </xf>
    <xf numFmtId="10" fontId="30" fillId="0" borderId="29" xfId="24" applyNumberFormat="1" applyFont="1" applyBorder="1" applyAlignment="1">
      <alignment horizontal="right"/>
    </xf>
    <xf numFmtId="10" fontId="33" fillId="0" borderId="16" xfId="0" applyNumberFormat="1" applyFont="1" applyBorder="1" applyAlignment="1">
      <alignment horizontal="center" vertical="center"/>
    </xf>
    <xf numFmtId="164" fontId="18" fillId="9" borderId="3" xfId="0" applyNumberFormat="1" applyFont="1" applyFill="1" applyBorder="1" applyAlignment="1">
      <alignment horizontal="left"/>
    </xf>
    <xf numFmtId="0" fontId="34" fillId="0" borderId="16" xfId="0" applyFont="1" applyBorder="1" applyAlignment="1">
      <alignment vertical="center"/>
    </xf>
    <xf numFmtId="0" fontId="35" fillId="18" borderId="36" xfId="0" applyFont="1" applyFill="1" applyBorder="1" applyAlignment="1">
      <alignment horizontal="center" vertical="center"/>
    </xf>
    <xf numFmtId="0" fontId="35" fillId="18" borderId="37" xfId="0" applyFont="1" applyFill="1" applyBorder="1" applyAlignment="1">
      <alignment horizontal="center" vertical="center"/>
    </xf>
    <xf numFmtId="176" fontId="35" fillId="18" borderId="37" xfId="1" applyFont="1" applyFill="1" applyBorder="1" applyAlignment="1">
      <alignment horizontal="center" vertical="center"/>
    </xf>
    <xf numFmtId="176" fontId="35" fillId="18" borderId="38" xfId="1" applyFont="1" applyFill="1" applyBorder="1" applyAlignment="1">
      <alignment horizontal="center" vertical="center"/>
    </xf>
    <xf numFmtId="0" fontId="37" fillId="0" borderId="0" xfId="0" applyFont="1" applyAlignment="1">
      <alignment vertical="center"/>
    </xf>
    <xf numFmtId="0" fontId="34" fillId="0" borderId="39" xfId="0" applyFont="1" applyBorder="1" applyAlignment="1">
      <alignment vertical="center"/>
    </xf>
    <xf numFmtId="0" fontId="34" fillId="0" borderId="39" xfId="0" applyFont="1" applyBorder="1" applyAlignment="1">
      <alignment horizontal="center" vertical="center"/>
    </xf>
    <xf numFmtId="176" fontId="34" fillId="0" borderId="39" xfId="1" applyFont="1" applyBorder="1" applyAlignment="1">
      <alignment horizontal="center" vertical="center"/>
    </xf>
    <xf numFmtId="176" fontId="37" fillId="0" borderId="0" xfId="1" applyFont="1" applyAlignment="1">
      <alignment vertical="center"/>
    </xf>
    <xf numFmtId="165" fontId="0" fillId="0" borderId="0" xfId="0" applyNumberFormat="1"/>
    <xf numFmtId="176" fontId="34" fillId="18" borderId="40" xfId="1" applyFont="1" applyFill="1" applyBorder="1" applyAlignment="1">
      <alignment horizontal="center" vertical="center"/>
    </xf>
    <xf numFmtId="170" fontId="18" fillId="0" borderId="16" xfId="0" applyNumberFormat="1" applyFont="1" applyBorder="1" applyAlignment="1">
      <alignment horizontal="left"/>
    </xf>
    <xf numFmtId="164" fontId="18" fillId="0" borderId="16" xfId="0" applyNumberFormat="1" applyFont="1" applyBorder="1" applyAlignment="1">
      <alignment horizontal="left"/>
    </xf>
    <xf numFmtId="164" fontId="19" fillId="0" borderId="16" xfId="0" applyNumberFormat="1" applyFont="1" applyBorder="1"/>
    <xf numFmtId="10" fontId="34" fillId="19" borderId="16" xfId="1" applyNumberFormat="1" applyFont="1" applyFill="1" applyBorder="1" applyAlignment="1">
      <alignment horizontal="center" vertical="center"/>
    </xf>
    <xf numFmtId="4" fontId="18" fillId="10" borderId="6" xfId="0" applyNumberFormat="1" applyFont="1" applyFill="1" applyBorder="1"/>
    <xf numFmtId="4" fontId="18" fillId="9" borderId="0" xfId="0" applyNumberFormat="1" applyFont="1" applyFill="1"/>
    <xf numFmtId="164" fontId="18" fillId="0" borderId="13" xfId="0" applyNumberFormat="1" applyFont="1" applyBorder="1" applyAlignment="1">
      <alignment horizontal="center"/>
    </xf>
    <xf numFmtId="49" fontId="16" fillId="0" borderId="13" xfId="11" applyNumberFormat="1" applyFont="1" applyBorder="1" applyAlignment="1">
      <alignment horizontal="center" vertical="center"/>
    </xf>
    <xf numFmtId="165" fontId="19" fillId="10" borderId="5" xfId="0" applyNumberFormat="1" applyFont="1" applyFill="1" applyBorder="1" applyAlignment="1">
      <alignment horizontal="right"/>
    </xf>
    <xf numFmtId="0" fontId="0" fillId="0" borderId="16" xfId="0" applyBorder="1"/>
    <xf numFmtId="4" fontId="0" fillId="0" borderId="16" xfId="0" applyNumberFormat="1" applyBorder="1"/>
    <xf numFmtId="0" fontId="0" fillId="0" borderId="16" xfId="0" applyBorder="1" applyAlignment="1">
      <alignment horizontal="center"/>
    </xf>
    <xf numFmtId="172" fontId="0" fillId="0" borderId="16" xfId="0" applyNumberFormat="1" applyBorder="1"/>
    <xf numFmtId="0" fontId="17" fillId="0" borderId="16" xfId="0" applyFont="1" applyBorder="1"/>
    <xf numFmtId="173" fontId="17" fillId="0" borderId="5" xfId="0" applyNumberFormat="1" applyFont="1" applyBorder="1"/>
    <xf numFmtId="0" fontId="17" fillId="16" borderId="5" xfId="0" applyFont="1" applyFill="1" applyBorder="1" applyAlignment="1">
      <alignment horizontal="center"/>
    </xf>
    <xf numFmtId="0" fontId="17" fillId="16" borderId="5" xfId="0" applyFont="1" applyFill="1" applyBorder="1"/>
    <xf numFmtId="173" fontId="17" fillId="16" borderId="5" xfId="0" applyNumberFormat="1" applyFont="1" applyFill="1" applyBorder="1"/>
    <xf numFmtId="0" fontId="0" fillId="16" borderId="16" xfId="0" applyFill="1" applyBorder="1"/>
    <xf numFmtId="0" fontId="17" fillId="16" borderId="16" xfId="0" applyFont="1" applyFill="1" applyBorder="1"/>
    <xf numFmtId="172" fontId="17" fillId="16" borderId="16" xfId="0" applyNumberFormat="1" applyFont="1" applyFill="1" applyBorder="1"/>
    <xf numFmtId="0" fontId="0" fillId="16" borderId="16" xfId="0" applyFill="1" applyBorder="1" applyAlignment="1">
      <alignment horizontal="center"/>
    </xf>
    <xf numFmtId="165" fontId="19" fillId="21" borderId="5" xfId="0" applyNumberFormat="1" applyFont="1" applyFill="1" applyBorder="1"/>
    <xf numFmtId="174" fontId="19" fillId="21" borderId="5" xfId="0" applyNumberFormat="1" applyFont="1" applyFill="1" applyBorder="1" applyAlignment="1">
      <alignment horizontal="center"/>
    </xf>
    <xf numFmtId="164" fontId="18" fillId="21" borderId="0" xfId="0" applyNumberFormat="1" applyFont="1" applyFill="1"/>
    <xf numFmtId="0" fontId="0" fillId="20" borderId="0" xfId="0" applyFill="1"/>
    <xf numFmtId="164" fontId="18" fillId="20" borderId="5" xfId="0" applyNumberFormat="1" applyFont="1" applyFill="1" applyBorder="1" applyAlignment="1">
      <alignment horizontal="left"/>
    </xf>
    <xf numFmtId="164" fontId="19" fillId="20" borderId="0" xfId="0" applyNumberFormat="1" applyFont="1" applyFill="1"/>
    <xf numFmtId="49" fontId="16" fillId="20" borderId="5" xfId="0" applyNumberFormat="1" applyFont="1" applyFill="1" applyBorder="1" applyAlignment="1">
      <alignment horizontal="justify" vertical="center" wrapText="1"/>
    </xf>
    <xf numFmtId="0" fontId="16" fillId="20" borderId="5" xfId="0" applyFont="1" applyFill="1" applyBorder="1" applyAlignment="1">
      <alignment wrapText="1"/>
    </xf>
    <xf numFmtId="165" fontId="16" fillId="20" borderId="5" xfId="0" applyNumberFormat="1" applyFont="1" applyFill="1" applyBorder="1"/>
    <xf numFmtId="0" fontId="16" fillId="20" borderId="0" xfId="0" applyFont="1" applyFill="1"/>
    <xf numFmtId="49" fontId="16" fillId="0" borderId="15" xfId="11" applyNumberFormat="1" applyFont="1" applyBorder="1" applyAlignment="1">
      <alignment horizontal="center" vertical="center"/>
    </xf>
    <xf numFmtId="165" fontId="19" fillId="10" borderId="3" xfId="0" applyNumberFormat="1" applyFont="1" applyFill="1" applyBorder="1"/>
    <xf numFmtId="4" fontId="16" fillId="0" borderId="0" xfId="0" applyNumberFormat="1" applyFont="1"/>
    <xf numFmtId="177" fontId="0" fillId="0" borderId="0" xfId="0" applyNumberFormat="1"/>
    <xf numFmtId="164" fontId="18" fillId="21" borderId="0" xfId="0" applyNumberFormat="1" applyFont="1" applyFill="1" applyAlignment="1">
      <alignment horizontal="left"/>
    </xf>
    <xf numFmtId="164" fontId="19" fillId="21" borderId="0" xfId="0" applyNumberFormat="1" applyFont="1" applyFill="1"/>
    <xf numFmtId="165" fontId="19" fillId="10" borderId="16" xfId="0" applyNumberFormat="1" applyFont="1" applyFill="1" applyBorder="1"/>
    <xf numFmtId="44" fontId="0" fillId="0" borderId="0" xfId="25" applyFont="1"/>
    <xf numFmtId="49" fontId="16" fillId="0" borderId="16" xfId="11" applyNumberFormat="1" applyFont="1" applyBorder="1" applyAlignment="1">
      <alignment horizontal="center" vertical="center"/>
    </xf>
    <xf numFmtId="44" fontId="0" fillId="0" borderId="16" xfId="25" applyFont="1" applyBorder="1"/>
    <xf numFmtId="44" fontId="17" fillId="0" borderId="16" xfId="25" applyFont="1" applyBorder="1"/>
    <xf numFmtId="44" fontId="0" fillId="0" borderId="16" xfId="0" applyNumberFormat="1" applyBorder="1"/>
    <xf numFmtId="44" fontId="17" fillId="0" borderId="16" xfId="0" applyNumberFormat="1" applyFont="1" applyBorder="1"/>
    <xf numFmtId="10" fontId="0" fillId="0" borderId="16" xfId="0" applyNumberFormat="1" applyBorder="1"/>
    <xf numFmtId="164" fontId="18" fillId="20" borderId="0" xfId="0" applyNumberFormat="1" applyFont="1" applyFill="1" applyAlignment="1">
      <alignment horizontal="left"/>
    </xf>
    <xf numFmtId="164" fontId="18" fillId="20" borderId="0" xfId="0" applyNumberFormat="1" applyFont="1" applyFill="1" applyAlignment="1">
      <alignment horizontal="center"/>
    </xf>
    <xf numFmtId="4" fontId="19" fillId="20" borderId="0" xfId="0" applyNumberFormat="1" applyFont="1" applyFill="1"/>
    <xf numFmtId="164" fontId="18" fillId="20" borderId="0" xfId="0" applyNumberFormat="1" applyFont="1" applyFill="1"/>
    <xf numFmtId="165" fontId="39" fillId="9" borderId="5" xfId="0" applyNumberFormat="1" applyFont="1" applyFill="1" applyBorder="1"/>
    <xf numFmtId="0" fontId="17" fillId="0" borderId="16" xfId="0" applyFont="1" applyBorder="1" applyAlignment="1">
      <alignment horizontal="center" vertical="center" wrapText="1"/>
    </xf>
    <xf numFmtId="44" fontId="17" fillId="16" borderId="16" xfId="0" applyNumberFormat="1" applyFont="1" applyFill="1" applyBorder="1"/>
    <xf numFmtId="0" fontId="17" fillId="16" borderId="39" xfId="0" applyFont="1" applyFill="1" applyBorder="1"/>
    <xf numFmtId="44" fontId="17" fillId="16" borderId="39" xfId="0" applyNumberFormat="1" applyFont="1" applyFill="1" applyBorder="1"/>
    <xf numFmtId="0" fontId="17" fillId="0" borderId="16" xfId="0" applyFont="1" applyBorder="1" applyAlignment="1">
      <alignment horizontal="center" vertical="center"/>
    </xf>
    <xf numFmtId="4" fontId="17" fillId="0" borderId="16" xfId="0" applyNumberFormat="1" applyFont="1" applyBorder="1" applyAlignment="1">
      <alignment horizontal="center" vertical="center" wrapText="1"/>
    </xf>
    <xf numFmtId="0" fontId="17" fillId="20" borderId="0" xfId="0" applyFont="1" applyFill="1"/>
    <xf numFmtId="44" fontId="17" fillId="20" borderId="0" xfId="0" applyNumberFormat="1" applyFont="1" applyFill="1"/>
    <xf numFmtId="44" fontId="17" fillId="16" borderId="16" xfId="25" applyFont="1" applyFill="1" applyBorder="1"/>
    <xf numFmtId="178" fontId="0" fillId="0" borderId="16" xfId="25" applyNumberFormat="1" applyFont="1" applyBorder="1"/>
    <xf numFmtId="164" fontId="18" fillId="0" borderId="5" xfId="0" applyNumberFormat="1" applyFont="1" applyBorder="1" applyAlignment="1">
      <alignment horizontal="center" vertical="center"/>
    </xf>
    <xf numFmtId="164" fontId="18" fillId="0" borderId="5" xfId="0" applyNumberFormat="1" applyFont="1" applyBorder="1" applyAlignment="1">
      <alignment horizontal="left" vertical="center"/>
    </xf>
    <xf numFmtId="164" fontId="19" fillId="9" borderId="5" xfId="0" applyNumberFormat="1" applyFont="1" applyFill="1" applyBorder="1" applyAlignment="1">
      <alignment horizontal="left"/>
    </xf>
    <xf numFmtId="164" fontId="18" fillId="9" borderId="5" xfId="0" applyNumberFormat="1" applyFont="1" applyFill="1" applyBorder="1" applyAlignment="1">
      <alignment horizontal="center"/>
    </xf>
    <xf numFmtId="165" fontId="20" fillId="10" borderId="5" xfId="12" applyFont="1" applyFill="1" applyBorder="1" applyAlignment="1">
      <alignment horizontal="center"/>
    </xf>
    <xf numFmtId="0" fontId="0" fillId="0" borderId="5" xfId="0" applyBorder="1"/>
    <xf numFmtId="164" fontId="19" fillId="9" borderId="5" xfId="0" applyNumberFormat="1" applyFont="1" applyFill="1" applyBorder="1" applyAlignment="1">
      <alignment horizontal="center"/>
    </xf>
    <xf numFmtId="0" fontId="20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164" fontId="19" fillId="21" borderId="5" xfId="0" applyNumberFormat="1" applyFont="1" applyFill="1" applyBorder="1" applyAlignment="1">
      <alignment horizontal="left"/>
    </xf>
    <xf numFmtId="164" fontId="18" fillId="9" borderId="5" xfId="0" applyNumberFormat="1" applyFont="1" applyFill="1" applyBorder="1" applyAlignment="1">
      <alignment horizontal="left" vertical="center"/>
    </xf>
    <xf numFmtId="164" fontId="18" fillId="0" borderId="5" xfId="0" applyNumberFormat="1" applyFont="1" applyBorder="1" applyAlignment="1">
      <alignment horizontal="center"/>
    </xf>
    <xf numFmtId="164" fontId="19" fillId="0" borderId="5" xfId="0" applyNumberFormat="1" applyFont="1" applyBorder="1" applyAlignment="1">
      <alignment horizontal="left"/>
    </xf>
    <xf numFmtId="164" fontId="19" fillId="0" borderId="3" xfId="0" applyNumberFormat="1" applyFont="1" applyBorder="1" applyAlignment="1">
      <alignment horizontal="left"/>
    </xf>
    <xf numFmtId="164" fontId="19" fillId="0" borderId="16" xfId="0" applyNumberFormat="1" applyFont="1" applyBorder="1" applyAlignment="1">
      <alignment horizontal="left"/>
    </xf>
    <xf numFmtId="0" fontId="1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0" fontId="18" fillId="0" borderId="3" xfId="0" applyNumberFormat="1" applyFont="1" applyBorder="1" applyAlignment="1">
      <alignment horizontal="center"/>
    </xf>
    <xf numFmtId="170" fontId="18" fillId="0" borderId="4" xfId="0" applyNumberFormat="1" applyFont="1" applyBorder="1" applyAlignment="1">
      <alignment horizontal="center"/>
    </xf>
    <xf numFmtId="164" fontId="20" fillId="0" borderId="6" xfId="0" applyNumberFormat="1" applyFont="1" applyBorder="1" applyAlignment="1">
      <alignment horizontal="center"/>
    </xf>
    <xf numFmtId="164" fontId="20" fillId="0" borderId="5" xfId="0" applyNumberFormat="1" applyFont="1" applyBorder="1" applyAlignment="1">
      <alignment horizontal="center"/>
    </xf>
    <xf numFmtId="164" fontId="18" fillId="0" borderId="0" xfId="0" applyNumberFormat="1" applyFont="1" applyAlignment="1">
      <alignment horizontal="center"/>
    </xf>
    <xf numFmtId="164" fontId="18" fillId="10" borderId="5" xfId="0" applyNumberFormat="1" applyFont="1" applyFill="1" applyBorder="1" applyAlignment="1">
      <alignment horizontal="left" vertical="center"/>
    </xf>
    <xf numFmtId="0" fontId="20" fillId="0" borderId="5" xfId="0" applyFont="1" applyBorder="1" applyAlignment="1">
      <alignment horizontal="center"/>
    </xf>
    <xf numFmtId="4" fontId="20" fillId="0" borderId="5" xfId="0" applyNumberFormat="1" applyFont="1" applyBorder="1" applyAlignment="1">
      <alignment horizontal="center"/>
    </xf>
    <xf numFmtId="10" fontId="20" fillId="0" borderId="5" xfId="0" applyNumberFormat="1" applyFont="1" applyBorder="1" applyAlignment="1">
      <alignment horizontal="center"/>
    </xf>
    <xf numFmtId="4" fontId="0" fillId="0" borderId="5" xfId="0" applyNumberFormat="1" applyBorder="1"/>
    <xf numFmtId="10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4" fontId="26" fillId="0" borderId="5" xfId="0" applyNumberFormat="1" applyFont="1" applyBorder="1" applyAlignment="1">
      <alignment horizontal="center"/>
    </xf>
    <xf numFmtId="4" fontId="0" fillId="0" borderId="5" xfId="0" applyNumberFormat="1" applyBorder="1" applyAlignment="1">
      <alignment horizontal="center"/>
    </xf>
    <xf numFmtId="0" fontId="25" fillId="0" borderId="3" xfId="0" applyFont="1" applyBorder="1"/>
    <xf numFmtId="170" fontId="18" fillId="0" borderId="5" xfId="0" applyNumberFormat="1" applyFont="1" applyBorder="1" applyAlignment="1">
      <alignment horizontal="center"/>
    </xf>
    <xf numFmtId="170" fontId="18" fillId="0" borderId="3" xfId="0" applyNumberFormat="1" applyFont="1" applyBorder="1" applyAlignment="1">
      <alignment horizontal="center" wrapText="1"/>
    </xf>
    <xf numFmtId="0" fontId="17" fillId="16" borderId="16" xfId="0" applyFont="1" applyFill="1" applyBorder="1" applyAlignment="1">
      <alignment horizontal="center"/>
    </xf>
    <xf numFmtId="0" fontId="0" fillId="20" borderId="5" xfId="0" applyFill="1" applyBorder="1" applyAlignment="1">
      <alignment horizontal="center"/>
    </xf>
    <xf numFmtId="0" fontId="17" fillId="0" borderId="13" xfId="0" applyFont="1" applyBorder="1" applyAlignment="1">
      <alignment horizontal="center"/>
    </xf>
    <xf numFmtId="0" fontId="17" fillId="0" borderId="41" xfId="0" applyFont="1" applyBorder="1" applyAlignment="1">
      <alignment horizontal="center"/>
    </xf>
    <xf numFmtId="0" fontId="17" fillId="0" borderId="6" xfId="0" applyFont="1" applyBorder="1" applyAlignment="1">
      <alignment horizontal="center"/>
    </xf>
    <xf numFmtId="4" fontId="40" fillId="16" borderId="16" xfId="0" applyNumberFormat="1" applyFont="1" applyFill="1" applyBorder="1" applyAlignment="1">
      <alignment horizontal="center"/>
    </xf>
    <xf numFmtId="4" fontId="40" fillId="16" borderId="16" xfId="0" applyNumberFormat="1" applyFont="1" applyFill="1" applyBorder="1" applyAlignment="1">
      <alignment horizontal="center" vertical="center" wrapText="1"/>
    </xf>
    <xf numFmtId="0" fontId="0" fillId="0" borderId="0" xfId="0"/>
    <xf numFmtId="0" fontId="8" fillId="12" borderId="5" xfId="0" applyFont="1" applyFill="1" applyBorder="1" applyAlignment="1">
      <alignment horizontal="center"/>
    </xf>
    <xf numFmtId="0" fontId="28" fillId="15" borderId="17" xfId="0" applyFont="1" applyFill="1" applyBorder="1" applyAlignment="1">
      <alignment horizontal="center" vertical="center"/>
    </xf>
    <xf numFmtId="0" fontId="28" fillId="15" borderId="18" xfId="0" applyFont="1" applyFill="1" applyBorder="1" applyAlignment="1">
      <alignment horizontal="center" vertical="center"/>
    </xf>
    <xf numFmtId="0" fontId="28" fillId="15" borderId="19" xfId="0" applyFont="1" applyFill="1" applyBorder="1" applyAlignment="1">
      <alignment horizontal="center" vertical="center"/>
    </xf>
    <xf numFmtId="9" fontId="29" fillId="0" borderId="22" xfId="24" applyFont="1" applyBorder="1" applyAlignment="1">
      <alignment horizontal="center"/>
    </xf>
    <xf numFmtId="9" fontId="29" fillId="0" borderId="23" xfId="24" applyFont="1" applyBorder="1" applyAlignment="1">
      <alignment horizontal="center"/>
    </xf>
    <xf numFmtId="9" fontId="29" fillId="0" borderId="24" xfId="24" applyFont="1" applyBorder="1" applyAlignment="1">
      <alignment horizontal="center"/>
    </xf>
    <xf numFmtId="0" fontId="30" fillId="0" borderId="16" xfId="0" applyFont="1" applyBorder="1" applyAlignment="1">
      <alignment horizontal="center" vertical="center"/>
    </xf>
    <xf numFmtId="0" fontId="30" fillId="0" borderId="28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/>
    </xf>
  </cellXfs>
  <cellStyles count="26">
    <cellStyle name="Accent" xfId="2" xr:uid="{00000000-0005-0000-0000-000000000000}"/>
    <cellStyle name="Accent 1" xfId="3" xr:uid="{00000000-0005-0000-0000-000001000000}"/>
    <cellStyle name="Accent 2" xfId="4" xr:uid="{00000000-0005-0000-0000-000002000000}"/>
    <cellStyle name="Accent 3" xfId="5" xr:uid="{00000000-0005-0000-0000-000003000000}"/>
    <cellStyle name="Bad" xfId="6" xr:uid="{00000000-0005-0000-0000-000004000000}"/>
    <cellStyle name="Error" xfId="7" xr:uid="{00000000-0005-0000-0000-000005000000}"/>
    <cellStyle name="Excel Built-in Comma" xfId="8" xr:uid="{00000000-0005-0000-0000-000006000000}"/>
    <cellStyle name="Excel Built-in Hyperlink" xfId="9" xr:uid="{00000000-0005-0000-0000-000007000000}"/>
    <cellStyle name="Excel Built-in Normal" xfId="10" xr:uid="{00000000-0005-0000-0000-000008000000}"/>
    <cellStyle name="Excel_BuiltIn_Comma" xfId="11" xr:uid="{00000000-0005-0000-0000-000009000000}"/>
    <cellStyle name="Excel_BuiltIn_Currency" xfId="12" xr:uid="{00000000-0005-0000-0000-00000A000000}"/>
    <cellStyle name="Excel_BuiltIn_Percent" xfId="13" xr:uid="{00000000-0005-0000-0000-00000B000000}"/>
    <cellStyle name="Footnote" xfId="14" xr:uid="{00000000-0005-0000-0000-00000C000000}"/>
    <cellStyle name="Good" xfId="15" xr:uid="{00000000-0005-0000-0000-00000D000000}"/>
    <cellStyle name="Heading (user)" xfId="16" xr:uid="{00000000-0005-0000-0000-00000E000000}"/>
    <cellStyle name="Heading 1" xfId="17" xr:uid="{00000000-0005-0000-0000-00000F000000}"/>
    <cellStyle name="Heading 2" xfId="18" xr:uid="{00000000-0005-0000-0000-000010000000}"/>
    <cellStyle name="Moeda" xfId="25" builtinId="4"/>
    <cellStyle name="Neutral" xfId="19" xr:uid="{00000000-0005-0000-0000-000011000000}"/>
    <cellStyle name="Normal" xfId="0" builtinId="0" customBuiltin="1"/>
    <cellStyle name="Note" xfId="20" xr:uid="{00000000-0005-0000-0000-000013000000}"/>
    <cellStyle name="Porcentagem" xfId="24" builtinId="5"/>
    <cellStyle name="Status" xfId="21" xr:uid="{00000000-0005-0000-0000-000015000000}"/>
    <cellStyle name="Text" xfId="22" xr:uid="{00000000-0005-0000-0000-000016000000}"/>
    <cellStyle name="Vírgula" xfId="1" builtinId="3" customBuiltin="1"/>
    <cellStyle name="Warning" xfId="23" xr:uid="{00000000-0005-0000-0000-00001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55398" cy="547917"/>
    <xdr:pic>
      <xdr:nvPicPr>
        <xdr:cNvPr id="2" name="Picture 312">
          <a:extLst>
            <a:ext uri="{FF2B5EF4-FFF2-40B4-BE49-F238E27FC236}">
              <a16:creationId xmlns:a16="http://schemas.microsoft.com/office/drawing/2014/main" id="{F140CFBC-88D2-4C25-82BC-7B203565C4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0" y="0"/>
          <a:ext cx="455398" cy="547917"/>
        </a:xfrm>
        <a:prstGeom prst="rect">
          <a:avLst/>
        </a:prstGeom>
        <a:solidFill>
          <a:srgbClr val="FFFFFF"/>
        </a:solidFill>
        <a:ln cap="flat"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55398" cy="547917"/>
    <xdr:pic>
      <xdr:nvPicPr>
        <xdr:cNvPr id="2" name="Picture 312">
          <a:extLst>
            <a:ext uri="{FF2B5EF4-FFF2-40B4-BE49-F238E27FC236}">
              <a16:creationId xmlns:a16="http://schemas.microsoft.com/office/drawing/2014/main" id="{D53E912C-7916-407D-A29E-BCE0ECBCC0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0" y="0"/>
          <a:ext cx="455398" cy="547917"/>
        </a:xfrm>
        <a:prstGeom prst="rect">
          <a:avLst/>
        </a:prstGeom>
        <a:solidFill>
          <a:srgbClr val="FFFFFF"/>
        </a:solidFill>
        <a:ln cap="flat">
          <a:noFill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55398" cy="547917"/>
    <xdr:pic>
      <xdr:nvPicPr>
        <xdr:cNvPr id="2" name="Picture 312">
          <a:extLst>
            <a:ext uri="{FF2B5EF4-FFF2-40B4-BE49-F238E27FC236}">
              <a16:creationId xmlns:a16="http://schemas.microsoft.com/office/drawing/2014/main" id="{2FC57ACD-3380-4FBF-B568-62BF78D620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0" y="0"/>
          <a:ext cx="455398" cy="547917"/>
        </a:xfrm>
        <a:prstGeom prst="rect">
          <a:avLst/>
        </a:prstGeom>
        <a:solidFill>
          <a:srgbClr val="FFFFFF"/>
        </a:solidFill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/>
  <dimension ref="A1:J296"/>
  <sheetViews>
    <sheetView zoomScale="90" zoomScaleNormal="90" workbookViewId="0">
      <selection activeCell="F290" sqref="F290"/>
    </sheetView>
  </sheetViews>
  <sheetFormatPr defaultRowHeight="15.75" customHeight="1"/>
  <cols>
    <col min="1" max="1" width="6.875" style="1" customWidth="1"/>
    <col min="2" max="2" width="42" style="1" bestFit="1" customWidth="1"/>
    <col min="3" max="3" width="19.875" style="1" customWidth="1"/>
    <col min="4" max="4" width="13.875" style="1" bestFit="1" customWidth="1"/>
    <col min="5" max="5" width="14.875" style="1" bestFit="1" customWidth="1"/>
    <col min="6" max="6" width="15.25" style="1" customWidth="1"/>
    <col min="7" max="7" width="9.25" style="1" bestFit="1" customWidth="1"/>
    <col min="8" max="8" width="7.875" customWidth="1"/>
    <col min="9" max="9" width="12.125" customWidth="1"/>
    <col min="10" max="1023" width="7.875" customWidth="1"/>
    <col min="1024" max="1024" width="8.75" customWidth="1"/>
  </cols>
  <sheetData>
    <row r="1" spans="1:7" ht="15.75" customHeight="1">
      <c r="B1" s="287" t="s">
        <v>0</v>
      </c>
      <c r="C1" s="287"/>
      <c r="D1" s="287"/>
      <c r="E1" s="287"/>
      <c r="F1" s="287"/>
      <c r="G1" s="287"/>
    </row>
    <row r="2" spans="1:7" ht="15.75" customHeight="1">
      <c r="B2" s="288" t="s">
        <v>1</v>
      </c>
      <c r="C2" s="288"/>
      <c r="D2" s="288"/>
      <c r="E2" s="288"/>
      <c r="F2" s="288"/>
      <c r="G2" s="288"/>
    </row>
    <row r="3" spans="1:7" ht="15.75" customHeight="1">
      <c r="B3" s="289" t="s">
        <v>2</v>
      </c>
      <c r="C3" s="289"/>
      <c r="D3" s="289"/>
      <c r="E3" s="289"/>
      <c r="F3" s="289"/>
      <c r="G3" s="289"/>
    </row>
    <row r="4" spans="1:7" ht="15.75" customHeight="1">
      <c r="A4" s="2"/>
      <c r="B4" s="290" t="s">
        <v>3</v>
      </c>
      <c r="C4" s="290"/>
      <c r="D4" s="290"/>
      <c r="E4" s="290"/>
      <c r="F4" s="290"/>
      <c r="G4" s="3"/>
    </row>
    <row r="5" spans="1:7" ht="15.75" customHeight="1">
      <c r="A5" s="4"/>
      <c r="B5" s="291" t="s">
        <v>438</v>
      </c>
      <c r="C5" s="291"/>
      <c r="D5" s="291"/>
      <c r="E5" s="291"/>
      <c r="F5" s="291"/>
      <c r="G5" s="3"/>
    </row>
    <row r="6" spans="1:7" ht="15.75" customHeight="1">
      <c r="A6" s="211">
        <v>1</v>
      </c>
      <c r="B6" s="212" t="s">
        <v>4</v>
      </c>
      <c r="C6" s="213"/>
      <c r="D6" s="292" t="s">
        <v>417</v>
      </c>
      <c r="E6" s="293"/>
      <c r="F6" s="293"/>
      <c r="G6" s="3"/>
    </row>
    <row r="7" spans="1:7" ht="15.75" customHeight="1">
      <c r="A7" s="5" t="s">
        <v>5</v>
      </c>
      <c r="B7" s="294" t="s">
        <v>415</v>
      </c>
      <c r="C7" s="294"/>
      <c r="D7" s="294"/>
      <c r="E7" s="294"/>
      <c r="F7" s="294"/>
      <c r="G7" s="3"/>
    </row>
    <row r="8" spans="1:7" ht="15.75" customHeight="1">
      <c r="A8" s="7" t="s">
        <v>6</v>
      </c>
      <c r="B8" s="295" t="s">
        <v>445</v>
      </c>
      <c r="C8" s="295"/>
      <c r="D8" s="295"/>
      <c r="E8" s="295"/>
      <c r="F8" s="8"/>
      <c r="G8" s="8"/>
    </row>
    <row r="9" spans="1:7" ht="15.75" customHeight="1">
      <c r="A9" s="7"/>
      <c r="B9" s="9" t="s">
        <v>7</v>
      </c>
      <c r="C9" s="10" t="s">
        <v>8</v>
      </c>
      <c r="D9" s="10" t="s">
        <v>9</v>
      </c>
      <c r="E9" s="10" t="s">
        <v>10</v>
      </c>
      <c r="F9" s="10" t="s">
        <v>11</v>
      </c>
      <c r="G9" s="10" t="s">
        <v>12</v>
      </c>
    </row>
    <row r="10" spans="1:7" ht="15.75" customHeight="1">
      <c r="A10" s="11" t="s">
        <v>13</v>
      </c>
      <c r="B10" s="12" t="s">
        <v>14</v>
      </c>
      <c r="C10" s="13" t="s">
        <v>15</v>
      </c>
      <c r="D10" s="14">
        <v>220</v>
      </c>
      <c r="E10" s="15">
        <f>F10/D10</f>
        <v>6.13</v>
      </c>
      <c r="F10" s="15">
        <f>4045.46/3</f>
        <v>1348.49</v>
      </c>
      <c r="G10"/>
    </row>
    <row r="11" spans="1:7" ht="15.75" customHeight="1">
      <c r="A11" s="11" t="s">
        <v>16</v>
      </c>
      <c r="B11" s="12" t="s">
        <v>17</v>
      </c>
      <c r="C11" s="13"/>
      <c r="D11" s="16">
        <v>0</v>
      </c>
      <c r="E11" s="17">
        <f>(F10)</f>
        <v>1348.49</v>
      </c>
      <c r="F11" s="15">
        <f>F10*D11</f>
        <v>0</v>
      </c>
      <c r="G11"/>
    </row>
    <row r="12" spans="1:7" ht="15.75" customHeight="1">
      <c r="A12" s="11" t="s">
        <v>18</v>
      </c>
      <c r="B12"/>
      <c r="C12"/>
      <c r="D12"/>
      <c r="E12" s="18" t="s">
        <v>19</v>
      </c>
      <c r="F12" s="15">
        <f>F10+F11</f>
        <v>1348.49</v>
      </c>
      <c r="G12"/>
    </row>
    <row r="13" spans="1:7" ht="15.75" customHeight="1">
      <c r="A13"/>
      <c r="B13"/>
      <c r="C13"/>
      <c r="D13"/>
      <c r="E13" s="19"/>
      <c r="F13" s="19"/>
      <c r="G13"/>
    </row>
    <row r="14" spans="1:7" ht="15.75" customHeight="1">
      <c r="A14" s="11" t="s">
        <v>20</v>
      </c>
      <c r="B14" s="20" t="s">
        <v>21</v>
      </c>
      <c r="C14" s="21" t="s">
        <v>22</v>
      </c>
      <c r="D14" s="22">
        <f>Encargos_Sociais!B35</f>
        <v>0.71599999999999997</v>
      </c>
      <c r="E14" s="15">
        <f>F12</f>
        <v>1348.49</v>
      </c>
      <c r="F14" s="23">
        <f>E14*D14</f>
        <v>965.52</v>
      </c>
      <c r="G14"/>
    </row>
    <row r="15" spans="1:7" ht="15.75" customHeight="1">
      <c r="A15" s="11" t="s">
        <v>23</v>
      </c>
      <c r="B15" s="274" t="s">
        <v>24</v>
      </c>
      <c r="C15" s="274"/>
      <c r="D15" s="274"/>
      <c r="E15" s="274"/>
      <c r="F15" s="15">
        <f>SUM(F12:F14)</f>
        <v>2314.0100000000002</v>
      </c>
      <c r="G15"/>
    </row>
    <row r="16" spans="1:7" ht="15.75" customHeight="1">
      <c r="A16" s="11" t="s">
        <v>25</v>
      </c>
      <c r="B16" s="25" t="s">
        <v>26</v>
      </c>
      <c r="C16" s="13" t="s">
        <v>27</v>
      </c>
      <c r="D16" s="13">
        <v>1</v>
      </c>
      <c r="E16" s="15">
        <f>(F15)</f>
        <v>2314.0100000000002</v>
      </c>
      <c r="F16" s="15">
        <f>D16*E16</f>
        <v>2314.0100000000002</v>
      </c>
      <c r="G16"/>
    </row>
    <row r="17" spans="1:7" ht="15.75" customHeight="1">
      <c r="A17" s="11"/>
      <c r="B17" s="7" t="s">
        <v>28</v>
      </c>
      <c r="C17"/>
      <c r="D17"/>
      <c r="E17"/>
      <c r="F17"/>
      <c r="G17" s="26">
        <f>(F16)</f>
        <v>2314.0100000000002</v>
      </c>
    </row>
    <row r="18" spans="1:7" ht="15.75" customHeight="1">
      <c r="A18" s="4"/>
      <c r="B18" s="4"/>
      <c r="C18"/>
      <c r="D18"/>
      <c r="E18"/>
      <c r="F18"/>
      <c r="G18" s="4"/>
    </row>
    <row r="19" spans="1:7" ht="15.75" customHeight="1">
      <c r="A19" s="7" t="s">
        <v>29</v>
      </c>
      <c r="B19" s="295" t="s">
        <v>440</v>
      </c>
      <c r="C19" s="295"/>
      <c r="D19" s="295"/>
      <c r="E19" s="295"/>
      <c r="F19" s="8"/>
      <c r="G19" s="8"/>
    </row>
    <row r="20" spans="1:7" ht="15.75" customHeight="1">
      <c r="A20" s="7"/>
      <c r="B20" s="9" t="s">
        <v>7</v>
      </c>
      <c r="C20" s="10" t="s">
        <v>8</v>
      </c>
      <c r="D20" s="10" t="s">
        <v>9</v>
      </c>
      <c r="E20" s="10" t="s">
        <v>10</v>
      </c>
      <c r="F20" s="10" t="s">
        <v>11</v>
      </c>
      <c r="G20" s="10" t="s">
        <v>12</v>
      </c>
    </row>
    <row r="21" spans="1:7" ht="15.75" customHeight="1">
      <c r="A21" s="11" t="s">
        <v>30</v>
      </c>
      <c r="B21" s="12" t="s">
        <v>14</v>
      </c>
      <c r="C21" s="13" t="s">
        <v>15</v>
      </c>
      <c r="D21" s="14">
        <v>220</v>
      </c>
      <c r="E21" s="15">
        <f>F21/D21</f>
        <v>2.68</v>
      </c>
      <c r="F21" s="23">
        <f>1765.86/3</f>
        <v>588.62</v>
      </c>
      <c r="G21" s="8"/>
    </row>
    <row r="22" spans="1:7" ht="15.75" customHeight="1">
      <c r="A22" s="11" t="s">
        <v>31</v>
      </c>
      <c r="B22" s="12" t="s">
        <v>17</v>
      </c>
      <c r="C22" s="13"/>
      <c r="D22" s="16">
        <v>0.2</v>
      </c>
      <c r="E22" s="17">
        <f>(F21)</f>
        <v>588.62</v>
      </c>
      <c r="F22" s="15">
        <f>F21*D22</f>
        <v>117.72</v>
      </c>
      <c r="G22" s="8"/>
    </row>
    <row r="23" spans="1:7" ht="15.75" customHeight="1">
      <c r="A23" s="11" t="s">
        <v>32</v>
      </c>
      <c r="B23" s="19"/>
      <c r="C23" s="19"/>
      <c r="D23" s="19"/>
      <c r="E23" s="27" t="s">
        <v>19</v>
      </c>
      <c r="F23" s="15">
        <f>F21+F22</f>
        <v>706.34</v>
      </c>
      <c r="G23" s="8"/>
    </row>
    <row r="24" spans="1:7" ht="15.75" customHeight="1">
      <c r="A24" s="8"/>
      <c r="B24" s="19"/>
      <c r="C24" s="19"/>
      <c r="D24" s="19"/>
      <c r="E24" s="19"/>
      <c r="F24" s="19"/>
      <c r="G24" s="8"/>
    </row>
    <row r="25" spans="1:7" ht="15.75" customHeight="1">
      <c r="A25" s="11" t="s">
        <v>33</v>
      </c>
      <c r="B25" s="20" t="s">
        <v>21</v>
      </c>
      <c r="C25" s="21" t="s">
        <v>22</v>
      </c>
      <c r="D25" s="22">
        <f>Encargos_Sociais!B35</f>
        <v>0.71599999999999997</v>
      </c>
      <c r="E25" s="28">
        <f>F23</f>
        <v>706.34</v>
      </c>
      <c r="F25" s="23">
        <f>E25*D25</f>
        <v>505.74</v>
      </c>
      <c r="G25" s="8"/>
    </row>
    <row r="26" spans="1:7" ht="15.75" customHeight="1">
      <c r="A26" s="11" t="s">
        <v>34</v>
      </c>
      <c r="B26" s="274" t="s">
        <v>24</v>
      </c>
      <c r="C26" s="274"/>
      <c r="D26" s="274"/>
      <c r="E26" s="274"/>
      <c r="F26" s="15">
        <f>SUM(F23:F25)</f>
        <v>1212.08</v>
      </c>
      <c r="G26" s="8"/>
    </row>
    <row r="27" spans="1:7" ht="15.75" customHeight="1">
      <c r="A27" s="11" t="s">
        <v>35</v>
      </c>
      <c r="B27" s="25" t="s">
        <v>26</v>
      </c>
      <c r="C27" s="13" t="s">
        <v>27</v>
      </c>
      <c r="D27" s="13">
        <v>2</v>
      </c>
      <c r="E27" s="15">
        <f>(F26)</f>
        <v>1212.08</v>
      </c>
      <c r="F27" s="15">
        <f>D27*E27</f>
        <v>2424.16</v>
      </c>
      <c r="G27" s="8"/>
    </row>
    <row r="28" spans="1:7" ht="15.75" customHeight="1">
      <c r="A28" s="11"/>
      <c r="B28" s="7" t="s">
        <v>28</v>
      </c>
      <c r="C28" s="19"/>
      <c r="D28" s="19"/>
      <c r="E28" s="19"/>
      <c r="F28" s="19"/>
      <c r="G28" s="26">
        <f>(F27)</f>
        <v>2424.16</v>
      </c>
    </row>
    <row r="29" spans="1:7" ht="15.75" customHeight="1">
      <c r="A29" s="29"/>
      <c r="B29" s="29"/>
      <c r="C29" s="19"/>
      <c r="D29" s="19"/>
      <c r="E29" s="19"/>
      <c r="F29" s="19"/>
      <c r="G29" s="30"/>
    </row>
    <row r="30" spans="1:7" ht="15.75" customHeight="1">
      <c r="A30" s="7" t="s">
        <v>36</v>
      </c>
      <c r="B30" s="295" t="s">
        <v>446</v>
      </c>
      <c r="C30" s="295"/>
      <c r="D30" s="295"/>
      <c r="E30" s="295"/>
      <c r="F30" s="8"/>
      <c r="G30" s="8"/>
    </row>
    <row r="31" spans="1:7" ht="15.75" customHeight="1">
      <c r="A31" s="7"/>
      <c r="B31" s="9" t="s">
        <v>7</v>
      </c>
      <c r="C31" s="10" t="s">
        <v>8</v>
      </c>
      <c r="D31" s="10" t="s">
        <v>9</v>
      </c>
      <c r="E31" s="10" t="s">
        <v>10</v>
      </c>
      <c r="F31" s="10" t="s">
        <v>11</v>
      </c>
      <c r="G31" s="10" t="s">
        <v>12</v>
      </c>
    </row>
    <row r="32" spans="1:7" ht="15.75" customHeight="1">
      <c r="A32" s="11" t="s">
        <v>37</v>
      </c>
      <c r="B32" s="12" t="s">
        <v>14</v>
      </c>
      <c r="C32" s="13" t="s">
        <v>15</v>
      </c>
      <c r="D32" s="14">
        <v>220</v>
      </c>
      <c r="E32" s="15">
        <f>F32/D32</f>
        <v>3.72</v>
      </c>
      <c r="F32" s="23">
        <f>2457/3</f>
        <v>819</v>
      </c>
      <c r="G32" s="8"/>
    </row>
    <row r="33" spans="1:7" ht="15.75" customHeight="1">
      <c r="A33" s="11" t="s">
        <v>38</v>
      </c>
      <c r="B33" s="12" t="s">
        <v>17</v>
      </c>
      <c r="C33" s="13"/>
      <c r="D33" s="31">
        <v>0.2</v>
      </c>
      <c r="E33" s="17">
        <f>(F32)</f>
        <v>819</v>
      </c>
      <c r="F33" s="15">
        <f>F32*D33</f>
        <v>163.80000000000001</v>
      </c>
      <c r="G33" s="8"/>
    </row>
    <row r="34" spans="1:7" ht="15.75" customHeight="1">
      <c r="A34" s="11" t="s">
        <v>39</v>
      </c>
      <c r="B34" s="19"/>
      <c r="C34" s="19"/>
      <c r="D34" s="19"/>
      <c r="E34" s="18" t="s">
        <v>19</v>
      </c>
      <c r="F34" s="15">
        <f>F32+F33</f>
        <v>982.8</v>
      </c>
      <c r="G34" s="8"/>
    </row>
    <row r="35" spans="1:7" ht="15.75" customHeight="1">
      <c r="A35" s="8"/>
      <c r="B35" s="19"/>
      <c r="C35" s="19"/>
      <c r="D35" s="19"/>
      <c r="E35" s="19"/>
      <c r="F35" s="19"/>
      <c r="G35" s="8"/>
    </row>
    <row r="36" spans="1:7" ht="15.75" customHeight="1">
      <c r="A36" s="11" t="s">
        <v>40</v>
      </c>
      <c r="B36" s="20" t="s">
        <v>21</v>
      </c>
      <c r="C36" s="21" t="s">
        <v>22</v>
      </c>
      <c r="D36" s="22">
        <f>Encargos_Sociais!B35</f>
        <v>0.71599999999999997</v>
      </c>
      <c r="E36" s="28">
        <f>F34</f>
        <v>982.8</v>
      </c>
      <c r="F36" s="23">
        <f>E36*D36</f>
        <v>703.68</v>
      </c>
      <c r="G36" s="8"/>
    </row>
    <row r="37" spans="1:7" ht="15.75" customHeight="1">
      <c r="A37" s="11" t="s">
        <v>41</v>
      </c>
      <c r="B37" s="274" t="s">
        <v>24</v>
      </c>
      <c r="C37" s="274"/>
      <c r="D37" s="274"/>
      <c r="E37" s="274"/>
      <c r="F37" s="15">
        <f>SUM(F34:F36)</f>
        <v>1686.48</v>
      </c>
      <c r="G37" s="8"/>
    </row>
    <row r="38" spans="1:7" ht="15.75" customHeight="1">
      <c r="A38" s="11" t="s">
        <v>42</v>
      </c>
      <c r="B38" s="25" t="s">
        <v>26</v>
      </c>
      <c r="C38" s="13" t="s">
        <v>27</v>
      </c>
      <c r="D38" s="13">
        <v>1</v>
      </c>
      <c r="E38" s="15">
        <f>(F37)</f>
        <v>1686.48</v>
      </c>
      <c r="F38" s="15">
        <f>D38*E38</f>
        <v>1686.48</v>
      </c>
      <c r="G38" s="8"/>
    </row>
    <row r="39" spans="1:7" ht="15.75" customHeight="1">
      <c r="A39" s="11"/>
      <c r="B39" s="7" t="s">
        <v>28</v>
      </c>
      <c r="C39" s="19"/>
      <c r="D39" s="19"/>
      <c r="E39" s="19"/>
      <c r="F39" s="19"/>
      <c r="G39" s="26">
        <f>(F38)</f>
        <v>1686.48</v>
      </c>
    </row>
    <row r="40" spans="1:7" s="236" customFormat="1" ht="15.75" customHeight="1">
      <c r="A40" s="247"/>
      <c r="B40" s="247"/>
      <c r="C40" s="248"/>
      <c r="D40" s="248"/>
      <c r="E40" s="248"/>
      <c r="F40" s="248"/>
      <c r="G40" s="238"/>
    </row>
    <row r="41" spans="1:7" ht="15.75" customHeight="1">
      <c r="A41" s="32" t="s">
        <v>43</v>
      </c>
      <c r="B41" s="273" t="s">
        <v>44</v>
      </c>
      <c r="C41" s="273"/>
      <c r="D41" s="273"/>
      <c r="E41" s="33"/>
      <c r="F41" s="3"/>
      <c r="G41" s="3"/>
    </row>
    <row r="42" spans="1:7" ht="15.75" customHeight="1">
      <c r="A42" s="32"/>
      <c r="B42" s="272" t="s">
        <v>7</v>
      </c>
      <c r="C42" s="272"/>
      <c r="D42" s="34" t="s">
        <v>9</v>
      </c>
      <c r="E42" s="34" t="s">
        <v>10</v>
      </c>
      <c r="F42" s="34" t="s">
        <v>11</v>
      </c>
      <c r="G42" s="34" t="s">
        <v>12</v>
      </c>
    </row>
    <row r="43" spans="1:7" ht="15.75" customHeight="1">
      <c r="A43" s="32" t="s">
        <v>45</v>
      </c>
      <c r="B43" s="273" t="str">
        <f>B8</f>
        <v>Preposto/Encarregado - Rateio p/ 3 itens</v>
      </c>
      <c r="C43" s="273"/>
      <c r="D43" s="34"/>
      <c r="E43" s="34"/>
      <c r="F43" s="35"/>
      <c r="G43" s="26">
        <f>F44-F45</f>
        <v>162.93</v>
      </c>
    </row>
    <row r="44" spans="1:7" ht="15.75" customHeight="1">
      <c r="A44" s="36"/>
      <c r="B44" s="284" t="s">
        <v>46</v>
      </c>
      <c r="C44" s="284"/>
      <c r="D44" s="37">
        <f>(20*4)*(D45)</f>
        <v>80</v>
      </c>
      <c r="E44" s="38">
        <v>6.5</v>
      </c>
      <c r="F44" s="17">
        <f>SUM(E44*D44)/3</f>
        <v>173.33</v>
      </c>
      <c r="G44" s="3"/>
    </row>
    <row r="45" spans="1:7" ht="15.75" customHeight="1">
      <c r="A45" s="36"/>
      <c r="B45" s="284" t="s">
        <v>47</v>
      </c>
      <c r="C45" s="284"/>
      <c r="D45" s="37">
        <f>D16</f>
        <v>1</v>
      </c>
      <c r="E45" s="39" t="s">
        <v>48</v>
      </c>
      <c r="F45" s="23">
        <f>(F44*E45)</f>
        <v>10.4</v>
      </c>
      <c r="G45" s="3"/>
    </row>
    <row r="46" spans="1:7" ht="15.75" customHeight="1">
      <c r="A46" s="32" t="s">
        <v>49</v>
      </c>
      <c r="B46" s="273" t="str">
        <f>B19</f>
        <v>Auxiliar de serviços Gerais/Jardineiro  - Rateio p/ 3 itens</v>
      </c>
      <c r="C46" s="273"/>
      <c r="D46" s="34"/>
      <c r="E46" s="34"/>
      <c r="F46" s="35"/>
      <c r="G46" s="26">
        <f>F47-F48</f>
        <v>325.87</v>
      </c>
    </row>
    <row r="47" spans="1:7" ht="15.75" customHeight="1">
      <c r="A47" s="36"/>
      <c r="B47" s="284" t="s">
        <v>46</v>
      </c>
      <c r="C47" s="284"/>
      <c r="D47" s="37">
        <f>(20*4)*(D48)</f>
        <v>160</v>
      </c>
      <c r="E47" s="38">
        <f>E44</f>
        <v>6.5</v>
      </c>
      <c r="F47" s="17">
        <f>SUM(E47*D47)/3</f>
        <v>346.67</v>
      </c>
      <c r="G47" s="3"/>
    </row>
    <row r="48" spans="1:7" ht="15.75" customHeight="1">
      <c r="A48" s="36"/>
      <c r="B48" s="284" t="s">
        <v>47</v>
      </c>
      <c r="C48" s="284"/>
      <c r="D48" s="37">
        <f>D27</f>
        <v>2</v>
      </c>
      <c r="E48" s="39" t="s">
        <v>48</v>
      </c>
      <c r="F48" s="23">
        <f>(F47*E48)</f>
        <v>20.8</v>
      </c>
      <c r="G48" s="3"/>
    </row>
    <row r="49" spans="1:7" ht="15.75" customHeight="1">
      <c r="A49" s="32" t="s">
        <v>50</v>
      </c>
      <c r="B49" s="273" t="str">
        <f>B30</f>
        <v>Motorista   - Rateio p/ 3 itens</v>
      </c>
      <c r="C49" s="273"/>
      <c r="D49" s="34"/>
      <c r="E49" s="34"/>
      <c r="F49" s="35"/>
      <c r="G49" s="26">
        <f>F50-F51</f>
        <v>162.93</v>
      </c>
    </row>
    <row r="50" spans="1:7" ht="15.75" customHeight="1">
      <c r="A50" s="36"/>
      <c r="B50" s="284" t="s">
        <v>46</v>
      </c>
      <c r="C50" s="284"/>
      <c r="D50" s="37">
        <f>(20*4)*(D51)</f>
        <v>80</v>
      </c>
      <c r="E50" s="38">
        <f>E47</f>
        <v>6.5</v>
      </c>
      <c r="F50" s="17">
        <f>SUM(E50*D50)/3</f>
        <v>173.33</v>
      </c>
      <c r="G50" s="3"/>
    </row>
    <row r="51" spans="1:7" ht="15.75" customHeight="1">
      <c r="A51" s="36"/>
      <c r="B51" s="284" t="s">
        <v>47</v>
      </c>
      <c r="C51" s="284"/>
      <c r="D51" s="40">
        <f>D38</f>
        <v>1</v>
      </c>
      <c r="E51" s="39" t="s">
        <v>48</v>
      </c>
      <c r="F51" s="23">
        <f>(F50*E51)</f>
        <v>10.4</v>
      </c>
      <c r="G51" s="3"/>
    </row>
    <row r="52" spans="1:7" ht="15.75" customHeight="1">
      <c r="A52" s="32"/>
      <c r="B52" s="283" t="s">
        <v>28</v>
      </c>
      <c r="C52" s="283"/>
      <c r="D52" s="4"/>
      <c r="E52" s="41"/>
      <c r="F52" s="4"/>
      <c r="G52" s="26">
        <f>G43+G46+G49</f>
        <v>651.73</v>
      </c>
    </row>
    <row r="53" spans="1:7" s="236" customFormat="1" ht="15.75" customHeight="1">
      <c r="A53" s="257"/>
      <c r="B53" s="258"/>
      <c r="C53" s="258"/>
      <c r="D53" s="238"/>
      <c r="E53" s="259"/>
      <c r="F53" s="238"/>
      <c r="G53" s="260"/>
    </row>
    <row r="54" spans="1:7" ht="15.75" customHeight="1">
      <c r="A54" s="32" t="s">
        <v>51</v>
      </c>
      <c r="B54" s="273" t="s">
        <v>52</v>
      </c>
      <c r="C54" s="273"/>
      <c r="D54" s="273"/>
      <c r="E54" s="42"/>
      <c r="F54" s="4"/>
      <c r="G54" s="3"/>
    </row>
    <row r="55" spans="1:7" ht="15.75" customHeight="1">
      <c r="A55" s="43"/>
      <c r="B55" s="275" t="s">
        <v>7</v>
      </c>
      <c r="C55" s="275"/>
      <c r="D55" s="44" t="s">
        <v>9</v>
      </c>
      <c r="E55" s="44" t="s">
        <v>10</v>
      </c>
      <c r="F55" s="44" t="s">
        <v>11</v>
      </c>
      <c r="G55" s="34" t="s">
        <v>12</v>
      </c>
    </row>
    <row r="56" spans="1:7" ht="15.75" customHeight="1">
      <c r="A56" s="32" t="s">
        <v>53</v>
      </c>
      <c r="B56" s="273" t="str">
        <f>B43</f>
        <v>Preposto/Encarregado - Rateio p/ 3 itens</v>
      </c>
      <c r="C56" s="273"/>
      <c r="D56" s="45"/>
      <c r="E56" s="46"/>
      <c r="F56" s="47"/>
      <c r="G56" s="48">
        <f>F57-F58</f>
        <v>146.61000000000001</v>
      </c>
    </row>
    <row r="57" spans="1:7" ht="15.75" customHeight="1">
      <c r="A57" s="32"/>
      <c r="B57" s="274" t="s">
        <v>54</v>
      </c>
      <c r="C57" s="274"/>
      <c r="D57" s="37">
        <f>(20)*(D58)</f>
        <v>20</v>
      </c>
      <c r="E57" s="49">
        <v>27.15</v>
      </c>
      <c r="F57" s="23">
        <f>(E57*D57)/3</f>
        <v>181</v>
      </c>
      <c r="G57" s="50"/>
    </row>
    <row r="58" spans="1:7" ht="15.75" customHeight="1">
      <c r="A58" s="32"/>
      <c r="B58" s="274" t="s">
        <v>55</v>
      </c>
      <c r="C58" s="274"/>
      <c r="D58" s="37">
        <f>D45</f>
        <v>1</v>
      </c>
      <c r="E58" s="51">
        <v>0.19</v>
      </c>
      <c r="F58" s="23">
        <f>F57*E58</f>
        <v>34.39</v>
      </c>
      <c r="G58" s="3"/>
    </row>
    <row r="59" spans="1:7" ht="15.75" customHeight="1">
      <c r="A59" s="32" t="s">
        <v>56</v>
      </c>
      <c r="B59" s="273" t="str">
        <f>B46</f>
        <v>Auxiliar de serviços Gerais/Jardineiro  - Rateio p/ 3 itens</v>
      </c>
      <c r="C59" s="273"/>
      <c r="D59" s="45"/>
      <c r="E59" s="51"/>
      <c r="F59" s="47"/>
      <c r="G59" s="48">
        <f>F60-F61</f>
        <v>293.22000000000003</v>
      </c>
    </row>
    <row r="60" spans="1:7" ht="15.75" customHeight="1">
      <c r="A60" s="32"/>
      <c r="B60" s="274" t="s">
        <v>54</v>
      </c>
      <c r="C60" s="274"/>
      <c r="D60" s="37">
        <f>(20)*(D61)</f>
        <v>40</v>
      </c>
      <c r="E60" s="49">
        <f>E57</f>
        <v>27.15</v>
      </c>
      <c r="F60" s="23">
        <f>(E60*D60)/3</f>
        <v>362</v>
      </c>
      <c r="G60" s="3"/>
    </row>
    <row r="61" spans="1:7" ht="15.75" customHeight="1">
      <c r="A61" s="32"/>
      <c r="B61" s="274" t="s">
        <v>55</v>
      </c>
      <c r="C61" s="274"/>
      <c r="D61" s="37">
        <f>D48</f>
        <v>2</v>
      </c>
      <c r="E61" s="51">
        <v>0.19</v>
      </c>
      <c r="F61" s="23">
        <f>F60*E61</f>
        <v>68.78</v>
      </c>
      <c r="G61" s="3"/>
    </row>
    <row r="62" spans="1:7" ht="15.75" customHeight="1">
      <c r="A62" s="32" t="s">
        <v>56</v>
      </c>
      <c r="B62" s="273" t="str">
        <f>B49</f>
        <v>Motorista   - Rateio p/ 3 itens</v>
      </c>
      <c r="C62" s="273"/>
      <c r="D62" s="45"/>
      <c r="E62" s="51"/>
      <c r="F62" s="47"/>
      <c r="G62" s="48">
        <f>F63-F64</f>
        <v>146.61000000000001</v>
      </c>
    </row>
    <row r="63" spans="1:7" ht="15.75" customHeight="1">
      <c r="A63" s="32"/>
      <c r="B63" s="274" t="s">
        <v>54</v>
      </c>
      <c r="C63" s="274"/>
      <c r="D63" s="37">
        <f>(20)*(D64)</f>
        <v>20</v>
      </c>
      <c r="E63" s="49">
        <f>E57</f>
        <v>27.15</v>
      </c>
      <c r="F63" s="23">
        <f>(E63*D63)/3</f>
        <v>181</v>
      </c>
      <c r="G63" s="3"/>
    </row>
    <row r="64" spans="1:7" ht="15.75" customHeight="1">
      <c r="A64" s="32"/>
      <c r="B64" s="274" t="s">
        <v>55</v>
      </c>
      <c r="C64" s="274"/>
      <c r="D64" s="37">
        <f>D51</f>
        <v>1</v>
      </c>
      <c r="E64" s="51">
        <v>0.19</v>
      </c>
      <c r="F64" s="23">
        <f>F63*E64</f>
        <v>34.39</v>
      </c>
      <c r="G64" s="3"/>
    </row>
    <row r="65" spans="1:7" ht="15.75" customHeight="1">
      <c r="A65" s="32"/>
      <c r="B65" s="275" t="s">
        <v>28</v>
      </c>
      <c r="C65" s="275"/>
      <c r="D65" s="52"/>
      <c r="E65" s="53"/>
      <c r="F65" s="52"/>
      <c r="G65" s="48">
        <f>G56+G59+G62</f>
        <v>586.44000000000005</v>
      </c>
    </row>
    <row r="66" spans="1:7" ht="15.75" customHeight="1">
      <c r="A66"/>
      <c r="B66"/>
      <c r="C66"/>
      <c r="D66"/>
      <c r="E66"/>
      <c r="F66"/>
      <c r="G66" s="54"/>
    </row>
    <row r="67" spans="1:7" ht="15.75" customHeight="1">
      <c r="A67" s="32" t="s">
        <v>57</v>
      </c>
      <c r="B67" s="273" t="s">
        <v>58</v>
      </c>
      <c r="C67" s="273"/>
      <c r="D67" s="273"/>
      <c r="E67" s="55"/>
      <c r="F67"/>
      <c r="G67" s="3"/>
    </row>
    <row r="68" spans="1:7" ht="15.75" customHeight="1">
      <c r="A68" s="43"/>
      <c r="B68" s="275" t="s">
        <v>7</v>
      </c>
      <c r="C68" s="275"/>
      <c r="D68" s="44" t="s">
        <v>9</v>
      </c>
      <c r="E68" s="44" t="s">
        <v>10</v>
      </c>
      <c r="F68" s="44" t="s">
        <v>11</v>
      </c>
      <c r="G68" s="34" t="s">
        <v>12</v>
      </c>
    </row>
    <row r="69" spans="1:7" ht="15.75" customHeight="1">
      <c r="A69" s="32" t="s">
        <v>59</v>
      </c>
      <c r="B69" s="273" t="str">
        <f>B56</f>
        <v>Preposto/Encarregado - Rateio p/ 3 itens</v>
      </c>
      <c r="C69" s="273"/>
      <c r="D69" s="45"/>
      <c r="E69" s="46"/>
      <c r="F69" s="47"/>
      <c r="G69" s="48">
        <f>F70</f>
        <v>8.51</v>
      </c>
    </row>
    <row r="70" spans="1:7" ht="15.75" customHeight="1">
      <c r="A70" s="32"/>
      <c r="B70" s="274" t="s">
        <v>60</v>
      </c>
      <c r="C70" s="274"/>
      <c r="D70" s="37">
        <f>D16</f>
        <v>1</v>
      </c>
      <c r="E70" s="49">
        <v>25.52</v>
      </c>
      <c r="F70" s="23">
        <f>(E70*D70)/3</f>
        <v>8.51</v>
      </c>
      <c r="G70" s="50"/>
    </row>
    <row r="71" spans="1:7" ht="15.75" customHeight="1">
      <c r="A71" s="32" t="s">
        <v>61</v>
      </c>
      <c r="B71" s="273" t="str">
        <f>B59</f>
        <v>Auxiliar de serviços Gerais/Jardineiro  - Rateio p/ 3 itens</v>
      </c>
      <c r="C71" s="273"/>
      <c r="D71" s="45"/>
      <c r="E71" s="51"/>
      <c r="F71" s="47"/>
      <c r="G71" s="48">
        <f>F72</f>
        <v>17.010000000000002</v>
      </c>
    </row>
    <row r="72" spans="1:7" ht="15.75" customHeight="1">
      <c r="A72" s="32"/>
      <c r="B72" s="274" t="s">
        <v>60</v>
      </c>
      <c r="C72" s="274"/>
      <c r="D72" s="37">
        <f>D27</f>
        <v>2</v>
      </c>
      <c r="E72" s="49">
        <f>E70</f>
        <v>25.52</v>
      </c>
      <c r="F72" s="23">
        <f>(E72*D72)/3</f>
        <v>17.010000000000002</v>
      </c>
      <c r="G72" s="3"/>
    </row>
    <row r="73" spans="1:7" ht="15.75" customHeight="1">
      <c r="A73" s="32" t="s">
        <v>62</v>
      </c>
      <c r="B73" s="273" t="str">
        <f>B62</f>
        <v>Motorista   - Rateio p/ 3 itens</v>
      </c>
      <c r="C73" s="273"/>
      <c r="D73" s="45"/>
      <c r="E73" s="51"/>
      <c r="F73" s="47"/>
      <c r="G73" s="48">
        <f>F74</f>
        <v>8.51</v>
      </c>
    </row>
    <row r="74" spans="1:7" ht="15.75" customHeight="1">
      <c r="A74" s="32"/>
      <c r="B74" s="274" t="s">
        <v>60</v>
      </c>
      <c r="C74" s="274"/>
      <c r="D74" s="37">
        <f>D64</f>
        <v>1</v>
      </c>
      <c r="E74" s="49">
        <f>E72</f>
        <v>25.52</v>
      </c>
      <c r="F74" s="23">
        <f>(E74*D74)/3</f>
        <v>8.51</v>
      </c>
      <c r="G74" s="3"/>
    </row>
    <row r="75" spans="1:7" ht="15.75" customHeight="1">
      <c r="A75" s="32"/>
      <c r="B75" s="275" t="s">
        <v>28</v>
      </c>
      <c r="C75" s="275"/>
      <c r="D75" s="52"/>
      <c r="E75" s="53"/>
      <c r="F75" s="52"/>
      <c r="G75" s="48">
        <f>G69+G71+G73</f>
        <v>34.03</v>
      </c>
    </row>
    <row r="76" spans="1:7" ht="15.75" customHeight="1">
      <c r="A76" s="5"/>
      <c r="B76" s="56"/>
      <c r="C76" s="4"/>
      <c r="D76" s="4"/>
      <c r="E76" s="4"/>
      <c r="F76" s="4"/>
      <c r="G76" s="57"/>
    </row>
    <row r="77" spans="1:7" ht="15.75" customHeight="1">
      <c r="A77" s="58">
        <v>2</v>
      </c>
      <c r="B77" s="272" t="s">
        <v>63</v>
      </c>
      <c r="C77" s="272"/>
      <c r="D77" s="272"/>
      <c r="E77" s="272"/>
      <c r="F77" s="4"/>
      <c r="G77" s="3"/>
    </row>
    <row r="78" spans="1:7" ht="15.75" customHeight="1">
      <c r="A78" s="32" t="s">
        <v>64</v>
      </c>
      <c r="B78" s="282" t="str">
        <f>B69</f>
        <v>Preposto/Encarregado - Rateio p/ 3 itens</v>
      </c>
      <c r="C78" s="282"/>
      <c r="D78" s="282"/>
      <c r="E78" s="282"/>
      <c r="F78" s="4"/>
      <c r="G78" s="3"/>
    </row>
    <row r="79" spans="1:7" ht="15.75" customHeight="1">
      <c r="A79" s="7"/>
      <c r="B79" s="275" t="s">
        <v>65</v>
      </c>
      <c r="C79" s="275"/>
      <c r="D79" s="44" t="s">
        <v>66</v>
      </c>
      <c r="E79" s="44" t="s">
        <v>10</v>
      </c>
      <c r="F79" s="44" t="s">
        <v>67</v>
      </c>
      <c r="G79" s="10" t="s">
        <v>12</v>
      </c>
    </row>
    <row r="80" spans="1:7" ht="15.75" customHeight="1">
      <c r="A80" s="7" t="s">
        <v>68</v>
      </c>
      <c r="B80" s="274" t="s">
        <v>69</v>
      </c>
      <c r="C80" s="274"/>
      <c r="D80" s="59">
        <v>3</v>
      </c>
      <c r="E80" s="47">
        <v>72.2</v>
      </c>
      <c r="F80" s="23">
        <f>(D80)*E80/12/3</f>
        <v>6.02</v>
      </c>
      <c r="G80" s="8"/>
    </row>
    <row r="81" spans="1:7" ht="15.75" customHeight="1">
      <c r="A81" s="7" t="s">
        <v>70</v>
      </c>
      <c r="B81" s="274" t="s">
        <v>71</v>
      </c>
      <c r="C81" s="274"/>
      <c r="D81" s="59">
        <v>3</v>
      </c>
      <c r="E81" s="47">
        <v>52.07</v>
      </c>
      <c r="F81" s="23">
        <f t="shared" ref="F81:F96" si="0">(D81)*E81/12/3</f>
        <v>4.34</v>
      </c>
      <c r="G81" s="8"/>
    </row>
    <row r="82" spans="1:7" ht="15.75" customHeight="1">
      <c r="A82" s="7" t="s">
        <v>72</v>
      </c>
      <c r="B82" s="274" t="s">
        <v>444</v>
      </c>
      <c r="C82" s="274"/>
      <c r="D82" s="59">
        <v>1</v>
      </c>
      <c r="E82" s="47">
        <v>31.8</v>
      </c>
      <c r="F82" s="23">
        <f t="shared" si="0"/>
        <v>0.88</v>
      </c>
      <c r="G82" s="8"/>
    </row>
    <row r="83" spans="1:7" ht="15.75" customHeight="1">
      <c r="A83" s="7" t="s">
        <v>73</v>
      </c>
      <c r="B83" s="274" t="s">
        <v>74</v>
      </c>
      <c r="C83" s="274"/>
      <c r="D83" s="59">
        <v>0</v>
      </c>
      <c r="E83" s="47">
        <v>31.25</v>
      </c>
      <c r="F83" s="23">
        <f t="shared" si="0"/>
        <v>0</v>
      </c>
      <c r="G83" s="8"/>
    </row>
    <row r="84" spans="1:7" ht="15.75" customHeight="1">
      <c r="A84" s="7" t="s">
        <v>75</v>
      </c>
      <c r="B84" s="274" t="s">
        <v>76</v>
      </c>
      <c r="C84" s="274"/>
      <c r="D84" s="59">
        <v>0</v>
      </c>
      <c r="E84" s="47">
        <v>115.13</v>
      </c>
      <c r="F84" s="23">
        <f t="shared" si="0"/>
        <v>0</v>
      </c>
      <c r="G84" s="8"/>
    </row>
    <row r="85" spans="1:7" ht="15.75" customHeight="1">
      <c r="A85" s="7" t="s">
        <v>77</v>
      </c>
      <c r="B85" s="274" t="s">
        <v>78</v>
      </c>
      <c r="C85" s="274"/>
      <c r="D85" s="59">
        <v>2</v>
      </c>
      <c r="E85" s="47">
        <v>29.74</v>
      </c>
      <c r="F85" s="23">
        <f t="shared" si="0"/>
        <v>1.65</v>
      </c>
      <c r="G85" s="8"/>
    </row>
    <row r="86" spans="1:7" ht="15.75" customHeight="1">
      <c r="A86" s="7" t="s">
        <v>79</v>
      </c>
      <c r="B86" s="274" t="s">
        <v>80</v>
      </c>
      <c r="C86" s="274"/>
      <c r="D86" s="59">
        <v>1</v>
      </c>
      <c r="E86" s="47">
        <v>30.09</v>
      </c>
      <c r="F86" s="23">
        <f t="shared" si="0"/>
        <v>0.84</v>
      </c>
      <c r="G86" s="8"/>
    </row>
    <row r="87" spans="1:7" ht="15.75" customHeight="1">
      <c r="A87" s="7" t="s">
        <v>81</v>
      </c>
      <c r="B87" s="274" t="s">
        <v>82</v>
      </c>
      <c r="C87" s="274"/>
      <c r="D87" s="59">
        <v>0</v>
      </c>
      <c r="E87" s="47">
        <v>0</v>
      </c>
      <c r="F87" s="23">
        <f t="shared" si="0"/>
        <v>0</v>
      </c>
      <c r="G87" s="8"/>
    </row>
    <row r="88" spans="1:7" ht="15.75" customHeight="1">
      <c r="A88" s="7" t="s">
        <v>83</v>
      </c>
      <c r="B88" s="274" t="s">
        <v>84</v>
      </c>
      <c r="C88" s="274"/>
      <c r="D88" s="59">
        <v>2</v>
      </c>
      <c r="E88" s="47">
        <v>73.31</v>
      </c>
      <c r="F88" s="23">
        <f t="shared" si="0"/>
        <v>4.07</v>
      </c>
      <c r="G88" s="8"/>
    </row>
    <row r="89" spans="1:7" ht="15.75" customHeight="1">
      <c r="A89" s="7" t="s">
        <v>85</v>
      </c>
      <c r="B89" s="281" t="s">
        <v>86</v>
      </c>
      <c r="C89" s="281"/>
      <c r="D89" s="59">
        <v>0</v>
      </c>
      <c r="E89" s="233">
        <v>0</v>
      </c>
      <c r="F89" s="23">
        <f t="shared" si="0"/>
        <v>0</v>
      </c>
      <c r="G89" s="8"/>
    </row>
    <row r="90" spans="1:7" ht="15.75" customHeight="1">
      <c r="A90" s="7" t="s">
        <v>87</v>
      </c>
      <c r="B90" s="274" t="s">
        <v>88</v>
      </c>
      <c r="C90" s="274"/>
      <c r="D90" s="59">
        <v>0</v>
      </c>
      <c r="E90" s="233">
        <v>59.04</v>
      </c>
      <c r="F90" s="23">
        <f t="shared" si="0"/>
        <v>0</v>
      </c>
      <c r="G90" s="8"/>
    </row>
    <row r="91" spans="1:7" ht="15.75" customHeight="1">
      <c r="A91" s="7" t="s">
        <v>89</v>
      </c>
      <c r="B91" s="274" t="s">
        <v>90</v>
      </c>
      <c r="C91" s="274"/>
      <c r="D91" s="59">
        <v>0</v>
      </c>
      <c r="E91" s="47">
        <v>4.04</v>
      </c>
      <c r="F91" s="23">
        <f t="shared" si="0"/>
        <v>0</v>
      </c>
      <c r="G91" s="8"/>
    </row>
    <row r="92" spans="1:7" ht="15.75" customHeight="1">
      <c r="A92" s="7" t="s">
        <v>91</v>
      </c>
      <c r="B92" s="274" t="s">
        <v>92</v>
      </c>
      <c r="C92" s="274"/>
      <c r="D92" s="59">
        <v>1</v>
      </c>
      <c r="E92" s="47">
        <v>14.64</v>
      </c>
      <c r="F92" s="23">
        <f t="shared" si="0"/>
        <v>0.41</v>
      </c>
      <c r="G92" s="8"/>
    </row>
    <row r="93" spans="1:7" ht="15.75" customHeight="1">
      <c r="A93" s="7" t="s">
        <v>93</v>
      </c>
      <c r="B93" s="274" t="s">
        <v>94</v>
      </c>
      <c r="C93" s="274"/>
      <c r="D93" s="59">
        <v>0</v>
      </c>
      <c r="E93" s="47">
        <v>12.7</v>
      </c>
      <c r="F93" s="23">
        <f t="shared" si="0"/>
        <v>0</v>
      </c>
      <c r="G93" s="8"/>
    </row>
    <row r="94" spans="1:7" ht="15.75" customHeight="1">
      <c r="A94" s="7" t="s">
        <v>95</v>
      </c>
      <c r="B94" s="274" t="s">
        <v>96</v>
      </c>
      <c r="C94" s="274"/>
      <c r="D94" s="59">
        <v>0</v>
      </c>
      <c r="E94" s="47">
        <v>7.36</v>
      </c>
      <c r="F94" s="23">
        <f t="shared" si="0"/>
        <v>0</v>
      </c>
      <c r="G94" s="8"/>
    </row>
    <row r="95" spans="1:7" ht="15.75" customHeight="1">
      <c r="A95" s="7" t="s">
        <v>97</v>
      </c>
      <c r="B95" s="274" t="s">
        <v>98</v>
      </c>
      <c r="C95" s="274"/>
      <c r="D95" s="59">
        <v>0</v>
      </c>
      <c r="E95" s="47">
        <v>16.329999999999998</v>
      </c>
      <c r="F95" s="23">
        <f t="shared" si="0"/>
        <v>0</v>
      </c>
      <c r="G95" s="8"/>
    </row>
    <row r="96" spans="1:7" s="236" customFormat="1" ht="15.75" customHeight="1">
      <c r="A96" s="7" t="s">
        <v>419</v>
      </c>
      <c r="B96" s="281" t="s">
        <v>99</v>
      </c>
      <c r="C96" s="281"/>
      <c r="D96" s="234">
        <v>0</v>
      </c>
      <c r="E96" s="233">
        <v>100</v>
      </c>
      <c r="F96" s="23">
        <f t="shared" si="0"/>
        <v>0</v>
      </c>
      <c r="G96" s="235"/>
    </row>
    <row r="97" spans="1:7" ht="15.75" customHeight="1">
      <c r="A97" s="7"/>
      <c r="B97" s="274" t="s">
        <v>100</v>
      </c>
      <c r="C97" s="274"/>
      <c r="D97" s="274"/>
      <c r="E97" s="274"/>
      <c r="F97" s="23">
        <f>SUM(F80:F96)</f>
        <v>18.21</v>
      </c>
      <c r="G97" s="8"/>
    </row>
    <row r="98" spans="1:7" ht="15.75" customHeight="1">
      <c r="A98" s="7"/>
      <c r="B98" s="278" t="s">
        <v>101</v>
      </c>
      <c r="C98" s="278"/>
      <c r="D98" s="60">
        <f>D16</f>
        <v>1</v>
      </c>
      <c r="E98" s="23">
        <f>(F97)</f>
        <v>18.21</v>
      </c>
      <c r="F98" s="23">
        <f>SUM(D98*E98)</f>
        <v>18.21</v>
      </c>
      <c r="G98" s="8"/>
    </row>
    <row r="99" spans="1:7" ht="15.75" customHeight="1">
      <c r="A99" s="7"/>
      <c r="B99" s="275" t="s">
        <v>28</v>
      </c>
      <c r="C99" s="275"/>
      <c r="D99" s="61"/>
      <c r="E99" s="19"/>
      <c r="F99" s="19"/>
      <c r="G99" s="62">
        <f>(F98)</f>
        <v>18.21</v>
      </c>
    </row>
    <row r="100" spans="1:7" ht="15.75" customHeight="1">
      <c r="A100" s="5"/>
      <c r="B100" s="56"/>
      <c r="C100" s="4"/>
      <c r="D100" s="4"/>
      <c r="E100" s="4"/>
      <c r="F100" s="4"/>
      <c r="G100" s="57"/>
    </row>
    <row r="101" spans="1:7" ht="15.75" customHeight="1">
      <c r="A101" s="58">
        <v>2</v>
      </c>
      <c r="B101" s="272" t="s">
        <v>63</v>
      </c>
      <c r="C101" s="272"/>
      <c r="D101" s="272"/>
      <c r="E101" s="272"/>
      <c r="F101" s="4"/>
      <c r="G101" s="3"/>
    </row>
    <row r="102" spans="1:7" ht="15.75" customHeight="1">
      <c r="A102" s="32" t="s">
        <v>102</v>
      </c>
      <c r="B102" s="282" t="str">
        <f>B71</f>
        <v>Auxiliar de serviços Gerais/Jardineiro  - Rateio p/ 3 itens</v>
      </c>
      <c r="C102" s="282"/>
      <c r="D102" s="282"/>
      <c r="E102" s="282"/>
      <c r="F102" s="4"/>
      <c r="G102" s="3"/>
    </row>
    <row r="103" spans="1:7" ht="15.75" customHeight="1">
      <c r="A103" s="7"/>
      <c r="B103" s="275" t="s">
        <v>65</v>
      </c>
      <c r="C103" s="275"/>
      <c r="D103" s="44" t="s">
        <v>66</v>
      </c>
      <c r="E103" s="44" t="s">
        <v>10</v>
      </c>
      <c r="F103" s="44" t="s">
        <v>67</v>
      </c>
      <c r="G103" s="10" t="s">
        <v>12</v>
      </c>
    </row>
    <row r="104" spans="1:7" ht="15.75" customHeight="1">
      <c r="A104" s="7" t="s">
        <v>103</v>
      </c>
      <c r="B104" s="274" t="s">
        <v>69</v>
      </c>
      <c r="C104" s="274"/>
      <c r="D104" s="59">
        <v>16</v>
      </c>
      <c r="E104" s="47">
        <v>72.2</v>
      </c>
      <c r="F104" s="23">
        <f>(D104)*E104/12/3</f>
        <v>32.090000000000003</v>
      </c>
      <c r="G104" s="8"/>
    </row>
    <row r="105" spans="1:7" ht="15.75" customHeight="1">
      <c r="A105" s="7" t="s">
        <v>104</v>
      </c>
      <c r="B105" s="274" t="s">
        <v>71</v>
      </c>
      <c r="C105" s="274"/>
      <c r="D105" s="59">
        <v>16</v>
      </c>
      <c r="E105" s="47">
        <v>52.07</v>
      </c>
      <c r="F105" s="23">
        <f t="shared" ref="F105:F120" si="1">(D105)*E105/12/3</f>
        <v>23.14</v>
      </c>
      <c r="G105" s="8"/>
    </row>
    <row r="106" spans="1:7" ht="15.75" customHeight="1">
      <c r="A106" s="7" t="s">
        <v>105</v>
      </c>
      <c r="B106" s="274" t="s">
        <v>444</v>
      </c>
      <c r="C106" s="274"/>
      <c r="D106" s="59">
        <v>1</v>
      </c>
      <c r="E106" s="47">
        <v>31.8</v>
      </c>
      <c r="F106" s="23">
        <f t="shared" si="1"/>
        <v>0.88</v>
      </c>
      <c r="G106" s="8"/>
    </row>
    <row r="107" spans="1:7" ht="15.75" customHeight="1">
      <c r="A107" s="7" t="s">
        <v>106</v>
      </c>
      <c r="B107" s="274" t="s">
        <v>74</v>
      </c>
      <c r="C107" s="274"/>
      <c r="D107" s="59">
        <v>4</v>
      </c>
      <c r="E107" s="47">
        <v>31.25</v>
      </c>
      <c r="F107" s="23">
        <f t="shared" si="1"/>
        <v>3.47</v>
      </c>
      <c r="G107" s="8"/>
    </row>
    <row r="108" spans="1:7" ht="15.75" customHeight="1">
      <c r="A108" s="7" t="s">
        <v>107</v>
      </c>
      <c r="B108" s="274" t="s">
        <v>76</v>
      </c>
      <c r="C108" s="274"/>
      <c r="D108" s="59">
        <v>4</v>
      </c>
      <c r="E108" s="47">
        <v>115.13</v>
      </c>
      <c r="F108" s="23">
        <f t="shared" si="1"/>
        <v>12.79</v>
      </c>
      <c r="G108" s="8"/>
    </row>
    <row r="109" spans="1:7" ht="15.75" customHeight="1">
      <c r="A109" s="7" t="s">
        <v>108</v>
      </c>
      <c r="B109" s="274" t="s">
        <v>78</v>
      </c>
      <c r="C109" s="274"/>
      <c r="D109" s="59">
        <v>12</v>
      </c>
      <c r="E109" s="47">
        <v>29.74</v>
      </c>
      <c r="F109" s="23">
        <f t="shared" si="1"/>
        <v>9.91</v>
      </c>
      <c r="G109" s="8"/>
    </row>
    <row r="110" spans="1:7" ht="15.75" customHeight="1">
      <c r="A110" s="7" t="s">
        <v>109</v>
      </c>
      <c r="B110" s="274" t="s">
        <v>80</v>
      </c>
      <c r="C110" s="274"/>
      <c r="D110" s="59">
        <v>4</v>
      </c>
      <c r="E110" s="47">
        <v>30.09</v>
      </c>
      <c r="F110" s="23">
        <f t="shared" si="1"/>
        <v>3.34</v>
      </c>
      <c r="G110" s="8"/>
    </row>
    <row r="111" spans="1:7" ht="15.75" customHeight="1">
      <c r="A111" s="7" t="s">
        <v>110</v>
      </c>
      <c r="B111" s="274" t="s">
        <v>82</v>
      </c>
      <c r="C111" s="274"/>
      <c r="D111" s="59">
        <v>0</v>
      </c>
      <c r="E111" s="47">
        <v>0</v>
      </c>
      <c r="F111" s="23">
        <f t="shared" si="1"/>
        <v>0</v>
      </c>
      <c r="G111" s="8"/>
    </row>
    <row r="112" spans="1:7" ht="15.75" customHeight="1">
      <c r="A112" s="7" t="s">
        <v>111</v>
      </c>
      <c r="B112" s="274" t="s">
        <v>84</v>
      </c>
      <c r="C112" s="274"/>
      <c r="D112" s="59">
        <v>8</v>
      </c>
      <c r="E112" s="47">
        <v>73.31</v>
      </c>
      <c r="F112" s="23">
        <f t="shared" si="1"/>
        <v>16.29</v>
      </c>
      <c r="G112" s="8"/>
    </row>
    <row r="113" spans="1:7" ht="15.75" customHeight="1">
      <c r="A113" s="7" t="s">
        <v>112</v>
      </c>
      <c r="B113" s="274" t="s">
        <v>86</v>
      </c>
      <c r="C113" s="274"/>
      <c r="D113" s="59">
        <v>0</v>
      </c>
      <c r="E113" s="233">
        <v>0</v>
      </c>
      <c r="F113" s="23">
        <f t="shared" si="1"/>
        <v>0</v>
      </c>
      <c r="G113" s="8"/>
    </row>
    <row r="114" spans="1:7" ht="15.75" customHeight="1">
      <c r="A114" s="7" t="s">
        <v>113</v>
      </c>
      <c r="B114" s="274" t="s">
        <v>88</v>
      </c>
      <c r="C114" s="274"/>
      <c r="D114" s="59">
        <v>2</v>
      </c>
      <c r="E114" s="233">
        <v>59.04</v>
      </c>
      <c r="F114" s="23">
        <f t="shared" si="1"/>
        <v>3.28</v>
      </c>
      <c r="G114" s="8"/>
    </row>
    <row r="115" spans="1:7" ht="15.75" customHeight="1">
      <c r="A115" s="7" t="s">
        <v>114</v>
      </c>
      <c r="B115" s="274" t="s">
        <v>90</v>
      </c>
      <c r="C115" s="274"/>
      <c r="D115" s="59">
        <v>8</v>
      </c>
      <c r="E115" s="47">
        <v>4.04</v>
      </c>
      <c r="F115" s="23">
        <f t="shared" si="1"/>
        <v>0.9</v>
      </c>
      <c r="G115" s="8"/>
    </row>
    <row r="116" spans="1:7" ht="15.75" customHeight="1">
      <c r="A116" s="7" t="s">
        <v>115</v>
      </c>
      <c r="B116" s="274" t="s">
        <v>92</v>
      </c>
      <c r="C116" s="274"/>
      <c r="D116" s="59">
        <v>6</v>
      </c>
      <c r="E116" s="47">
        <v>14.64</v>
      </c>
      <c r="F116" s="23">
        <f t="shared" si="1"/>
        <v>2.44</v>
      </c>
      <c r="G116" s="8"/>
    </row>
    <row r="117" spans="1:7" ht="15.75" customHeight="1">
      <c r="A117" s="7" t="s">
        <v>116</v>
      </c>
      <c r="B117" s="274" t="s">
        <v>94</v>
      </c>
      <c r="C117" s="274"/>
      <c r="D117" s="59">
        <v>24</v>
      </c>
      <c r="E117" s="47">
        <v>12.7</v>
      </c>
      <c r="F117" s="23">
        <f t="shared" si="1"/>
        <v>8.4700000000000006</v>
      </c>
      <c r="G117" s="8"/>
    </row>
    <row r="118" spans="1:7" ht="15.75" customHeight="1">
      <c r="A118" s="7" t="s">
        <v>117</v>
      </c>
      <c r="B118" s="274" t="s">
        <v>96</v>
      </c>
      <c r="C118" s="274"/>
      <c r="D118" s="59">
        <v>72</v>
      </c>
      <c r="E118" s="47">
        <v>7.36</v>
      </c>
      <c r="F118" s="23">
        <f t="shared" si="1"/>
        <v>14.72</v>
      </c>
      <c r="G118" s="8"/>
    </row>
    <row r="119" spans="1:7" ht="15.75" customHeight="1">
      <c r="A119" s="7" t="s">
        <v>118</v>
      </c>
      <c r="B119" s="274" t="s">
        <v>98</v>
      </c>
      <c r="C119" s="274"/>
      <c r="D119" s="59">
        <v>8</v>
      </c>
      <c r="E119" s="47">
        <v>16.329999999999998</v>
      </c>
      <c r="F119" s="23">
        <f t="shared" si="1"/>
        <v>3.63</v>
      </c>
      <c r="G119" s="8"/>
    </row>
    <row r="120" spans="1:7" s="236" customFormat="1" ht="15.75" customHeight="1">
      <c r="A120" s="7" t="s">
        <v>433</v>
      </c>
      <c r="B120" s="281" t="s">
        <v>99</v>
      </c>
      <c r="C120" s="281"/>
      <c r="D120" s="234">
        <v>0</v>
      </c>
      <c r="E120" s="233">
        <v>100</v>
      </c>
      <c r="F120" s="23">
        <f t="shared" si="1"/>
        <v>0</v>
      </c>
      <c r="G120" s="235"/>
    </row>
    <row r="121" spans="1:7" ht="15.75" customHeight="1">
      <c r="A121" s="7"/>
      <c r="B121" s="274" t="s">
        <v>100</v>
      </c>
      <c r="C121" s="274"/>
      <c r="D121" s="274"/>
      <c r="E121" s="274"/>
      <c r="F121" s="23">
        <f>SUM(F104:F120)</f>
        <v>135.35</v>
      </c>
      <c r="G121" s="8"/>
    </row>
    <row r="122" spans="1:7" ht="15.75" customHeight="1">
      <c r="A122" s="7"/>
      <c r="B122" s="278" t="s">
        <v>101</v>
      </c>
      <c r="C122" s="278"/>
      <c r="D122" s="60">
        <v>1</v>
      </c>
      <c r="E122" s="23">
        <f>(F121)</f>
        <v>135.35</v>
      </c>
      <c r="F122" s="23">
        <f>SUM(D122*E122)</f>
        <v>135.35</v>
      </c>
      <c r="G122" s="8"/>
    </row>
    <row r="123" spans="1:7" ht="15.75" customHeight="1">
      <c r="A123" s="7"/>
      <c r="B123" s="275" t="s">
        <v>28</v>
      </c>
      <c r="C123" s="275"/>
      <c r="D123" s="61"/>
      <c r="E123" s="19"/>
      <c r="F123" s="19"/>
      <c r="G123" s="62">
        <f>(F122)</f>
        <v>135.35</v>
      </c>
    </row>
    <row r="124" spans="1:7" ht="15.75" customHeight="1">
      <c r="A124" s="5"/>
      <c r="B124" s="56"/>
      <c r="C124" s="4"/>
      <c r="D124" s="4"/>
      <c r="E124" s="4"/>
      <c r="F124" s="4"/>
      <c r="G124" s="57"/>
    </row>
    <row r="125" spans="1:7" ht="15.75" customHeight="1">
      <c r="A125" s="58">
        <v>2</v>
      </c>
      <c r="B125" s="272" t="s">
        <v>63</v>
      </c>
      <c r="C125" s="272"/>
      <c r="D125" s="272"/>
      <c r="E125" s="272"/>
      <c r="F125" s="4"/>
      <c r="G125" s="3"/>
    </row>
    <row r="126" spans="1:7" ht="15.75" customHeight="1">
      <c r="A126" s="32" t="s">
        <v>119</v>
      </c>
      <c r="B126" s="282" t="str">
        <f>B73</f>
        <v>Motorista   - Rateio p/ 3 itens</v>
      </c>
      <c r="C126" s="282"/>
      <c r="D126" s="282"/>
      <c r="E126" s="282"/>
      <c r="F126" s="4"/>
      <c r="G126" s="3"/>
    </row>
    <row r="127" spans="1:7" ht="15.75" customHeight="1">
      <c r="A127" s="7"/>
      <c r="B127" s="275" t="s">
        <v>65</v>
      </c>
      <c r="C127" s="275"/>
      <c r="D127" s="44" t="s">
        <v>66</v>
      </c>
      <c r="E127" s="44" t="s">
        <v>10</v>
      </c>
      <c r="F127" s="44" t="s">
        <v>67</v>
      </c>
      <c r="G127" s="10" t="s">
        <v>12</v>
      </c>
    </row>
    <row r="128" spans="1:7" ht="15.75" customHeight="1">
      <c r="A128" s="7" t="s">
        <v>120</v>
      </c>
      <c r="B128" s="274" t="s">
        <v>69</v>
      </c>
      <c r="C128" s="274"/>
      <c r="D128" s="59">
        <v>3</v>
      </c>
      <c r="E128" s="47">
        <v>72.2</v>
      </c>
      <c r="F128" s="23">
        <f>(D128)*E128/12/3</f>
        <v>6.02</v>
      </c>
      <c r="G128" s="8"/>
    </row>
    <row r="129" spans="1:7" ht="15.75" customHeight="1">
      <c r="A129" s="7" t="s">
        <v>121</v>
      </c>
      <c r="B129" s="274" t="s">
        <v>71</v>
      </c>
      <c r="C129" s="274"/>
      <c r="D129" s="59">
        <v>3</v>
      </c>
      <c r="E129" s="47">
        <v>52.07</v>
      </c>
      <c r="F129" s="23">
        <f t="shared" ref="F129:F144" si="2">(D129)*E129/12/3</f>
        <v>4.34</v>
      </c>
      <c r="G129" s="8"/>
    </row>
    <row r="130" spans="1:7" ht="15.75" customHeight="1">
      <c r="A130" s="7" t="s">
        <v>122</v>
      </c>
      <c r="B130" s="274" t="s">
        <v>444</v>
      </c>
      <c r="C130" s="274"/>
      <c r="D130" s="59">
        <v>1</v>
      </c>
      <c r="E130" s="47">
        <v>31.8</v>
      </c>
      <c r="F130" s="23">
        <f t="shared" si="2"/>
        <v>0.88</v>
      </c>
      <c r="G130" s="8"/>
    </row>
    <row r="131" spans="1:7" ht="15.75" customHeight="1">
      <c r="A131" s="7" t="s">
        <v>123</v>
      </c>
      <c r="B131" s="274" t="s">
        <v>74</v>
      </c>
      <c r="C131" s="274"/>
      <c r="D131" s="59">
        <v>0</v>
      </c>
      <c r="E131" s="47">
        <v>31.25</v>
      </c>
      <c r="F131" s="23">
        <f t="shared" si="2"/>
        <v>0</v>
      </c>
      <c r="G131" s="8"/>
    </row>
    <row r="132" spans="1:7" ht="15.75" customHeight="1">
      <c r="A132" s="7" t="s">
        <v>124</v>
      </c>
      <c r="B132" s="274" t="s">
        <v>76</v>
      </c>
      <c r="C132" s="274"/>
      <c r="D132" s="59">
        <v>0</v>
      </c>
      <c r="E132" s="47">
        <v>115.13</v>
      </c>
      <c r="F132" s="23">
        <f t="shared" si="2"/>
        <v>0</v>
      </c>
      <c r="G132" s="8"/>
    </row>
    <row r="133" spans="1:7" ht="15.75" customHeight="1">
      <c r="A133" s="7" t="s">
        <v>125</v>
      </c>
      <c r="B133" s="274" t="s">
        <v>78</v>
      </c>
      <c r="C133" s="274"/>
      <c r="D133" s="59">
        <v>2</v>
      </c>
      <c r="E133" s="47">
        <v>29.74</v>
      </c>
      <c r="F133" s="23">
        <f t="shared" si="2"/>
        <v>1.65</v>
      </c>
      <c r="G133" s="8"/>
    </row>
    <row r="134" spans="1:7" ht="15.75" customHeight="1">
      <c r="A134" s="7" t="s">
        <v>126</v>
      </c>
      <c r="B134" s="274" t="s">
        <v>80</v>
      </c>
      <c r="C134" s="274"/>
      <c r="D134" s="59">
        <v>1</v>
      </c>
      <c r="E134" s="47">
        <v>30.09</v>
      </c>
      <c r="F134" s="23">
        <f t="shared" si="2"/>
        <v>0.84</v>
      </c>
      <c r="G134" s="8"/>
    </row>
    <row r="135" spans="1:7" ht="15.75" customHeight="1">
      <c r="A135" s="7" t="s">
        <v>127</v>
      </c>
      <c r="B135" s="274" t="s">
        <v>82</v>
      </c>
      <c r="C135" s="274"/>
      <c r="D135" s="59">
        <v>0</v>
      </c>
      <c r="E135" s="47">
        <v>0</v>
      </c>
      <c r="F135" s="23">
        <f t="shared" si="2"/>
        <v>0</v>
      </c>
      <c r="G135" s="8"/>
    </row>
    <row r="136" spans="1:7" ht="15.75" customHeight="1">
      <c r="A136" s="7" t="s">
        <v>128</v>
      </c>
      <c r="B136" s="274" t="s">
        <v>84</v>
      </c>
      <c r="C136" s="274"/>
      <c r="D136" s="59">
        <v>2</v>
      </c>
      <c r="E136" s="47">
        <v>73.31</v>
      </c>
      <c r="F136" s="23">
        <f t="shared" si="2"/>
        <v>4.07</v>
      </c>
      <c r="G136" s="8"/>
    </row>
    <row r="137" spans="1:7" ht="15.75" customHeight="1">
      <c r="A137" s="7" t="s">
        <v>129</v>
      </c>
      <c r="B137" s="274" t="s">
        <v>86</v>
      </c>
      <c r="C137" s="274"/>
      <c r="D137" s="59">
        <v>0</v>
      </c>
      <c r="E137" s="233">
        <v>0</v>
      </c>
      <c r="F137" s="23">
        <f t="shared" si="2"/>
        <v>0</v>
      </c>
      <c r="G137" s="8"/>
    </row>
    <row r="138" spans="1:7" ht="15.75" customHeight="1">
      <c r="A138" s="7" t="s">
        <v>130</v>
      </c>
      <c r="B138" s="274" t="s">
        <v>88</v>
      </c>
      <c r="C138" s="274"/>
      <c r="D138" s="59">
        <v>0</v>
      </c>
      <c r="E138" s="233">
        <v>59.04</v>
      </c>
      <c r="F138" s="23">
        <f t="shared" si="2"/>
        <v>0</v>
      </c>
      <c r="G138" s="8"/>
    </row>
    <row r="139" spans="1:7" ht="15.75" customHeight="1">
      <c r="A139" s="7" t="s">
        <v>131</v>
      </c>
      <c r="B139" s="274" t="s">
        <v>90</v>
      </c>
      <c r="C139" s="274"/>
      <c r="D139" s="59">
        <v>0</v>
      </c>
      <c r="E139" s="47">
        <v>4.04</v>
      </c>
      <c r="F139" s="23">
        <f t="shared" si="2"/>
        <v>0</v>
      </c>
      <c r="G139" s="8"/>
    </row>
    <row r="140" spans="1:7" ht="15.75" customHeight="1">
      <c r="A140" s="7" t="s">
        <v>132</v>
      </c>
      <c r="B140" s="274" t="s">
        <v>92</v>
      </c>
      <c r="C140" s="274"/>
      <c r="D140" s="59">
        <v>1</v>
      </c>
      <c r="E140" s="47">
        <v>14.64</v>
      </c>
      <c r="F140" s="23">
        <f t="shared" si="2"/>
        <v>0.41</v>
      </c>
      <c r="G140" s="8"/>
    </row>
    <row r="141" spans="1:7" ht="15.75" customHeight="1">
      <c r="A141" s="7" t="s">
        <v>133</v>
      </c>
      <c r="B141" s="274" t="s">
        <v>94</v>
      </c>
      <c r="C141" s="274"/>
      <c r="D141" s="59">
        <v>0</v>
      </c>
      <c r="E141" s="47">
        <v>12.7</v>
      </c>
      <c r="F141" s="23">
        <f t="shared" si="2"/>
        <v>0</v>
      </c>
      <c r="G141" s="8"/>
    </row>
    <row r="142" spans="1:7" ht="15.75" customHeight="1">
      <c r="A142" s="7" t="s">
        <v>134</v>
      </c>
      <c r="B142" s="274" t="s">
        <v>96</v>
      </c>
      <c r="C142" s="274"/>
      <c r="D142" s="59">
        <v>0</v>
      </c>
      <c r="E142" s="47">
        <v>7.36</v>
      </c>
      <c r="F142" s="23">
        <f t="shared" si="2"/>
        <v>0</v>
      </c>
      <c r="G142" s="8"/>
    </row>
    <row r="143" spans="1:7" ht="15.75" customHeight="1">
      <c r="A143" s="7" t="s">
        <v>135</v>
      </c>
      <c r="B143" s="274" t="s">
        <v>98</v>
      </c>
      <c r="C143" s="274"/>
      <c r="D143" s="59">
        <v>0</v>
      </c>
      <c r="E143" s="47">
        <v>16.329999999999998</v>
      </c>
      <c r="F143" s="23">
        <f t="shared" si="2"/>
        <v>0</v>
      </c>
      <c r="G143" s="8"/>
    </row>
    <row r="144" spans="1:7" s="236" customFormat="1" ht="15.75" customHeight="1">
      <c r="A144" s="7" t="s">
        <v>434</v>
      </c>
      <c r="B144" s="281" t="s">
        <v>99</v>
      </c>
      <c r="C144" s="281"/>
      <c r="D144" s="234">
        <v>0</v>
      </c>
      <c r="E144" s="233">
        <v>100</v>
      </c>
      <c r="F144" s="23">
        <f t="shared" si="2"/>
        <v>0</v>
      </c>
      <c r="G144" s="235"/>
    </row>
    <row r="145" spans="1:7" ht="15.75" customHeight="1">
      <c r="A145" s="7"/>
      <c r="B145" s="274" t="s">
        <v>100</v>
      </c>
      <c r="C145" s="274"/>
      <c r="D145" s="274"/>
      <c r="E145" s="274"/>
      <c r="F145" s="23">
        <f>SUM(F128:F144)</f>
        <v>18.21</v>
      </c>
      <c r="G145" s="8"/>
    </row>
    <row r="146" spans="1:7" ht="15.75" customHeight="1">
      <c r="A146" s="7"/>
      <c r="B146" s="278" t="s">
        <v>101</v>
      </c>
      <c r="C146" s="278"/>
      <c r="D146" s="60">
        <v>1</v>
      </c>
      <c r="E146" s="23">
        <f>(F145)</f>
        <v>18.21</v>
      </c>
      <c r="F146" s="23">
        <f>SUM(D146*E146)</f>
        <v>18.21</v>
      </c>
      <c r="G146" s="8"/>
    </row>
    <row r="147" spans="1:7" ht="15.75" customHeight="1">
      <c r="A147" s="7"/>
      <c r="B147" s="275" t="s">
        <v>28</v>
      </c>
      <c r="C147" s="275"/>
      <c r="D147" s="61"/>
      <c r="E147" s="19"/>
      <c r="F147" s="19"/>
      <c r="G147" s="62">
        <f>(F146)</f>
        <v>18.21</v>
      </c>
    </row>
    <row r="148" spans="1:7" ht="15.75" customHeight="1">
      <c r="A148" s="29"/>
      <c r="B148" s="63"/>
      <c r="C148" s="63"/>
      <c r="D148" s="61"/>
      <c r="E148" s="19"/>
      <c r="F148" s="19"/>
      <c r="G148" s="64"/>
    </row>
    <row r="149" spans="1:7" ht="15.75" customHeight="1">
      <c r="A149" s="29"/>
      <c r="B149" s="63"/>
      <c r="C149" s="63"/>
      <c r="D149" s="61"/>
      <c r="E149" s="19"/>
      <c r="F149" s="19"/>
      <c r="G149" s="64"/>
    </row>
    <row r="150" spans="1:7" s="65" customFormat="1" ht="15">
      <c r="A150" s="273" t="s">
        <v>441</v>
      </c>
      <c r="B150" s="273"/>
      <c r="C150" s="273"/>
      <c r="D150" s="273"/>
      <c r="E150" s="277"/>
      <c r="F150" s="277"/>
    </row>
    <row r="151" spans="1:7" s="65" customFormat="1" ht="15" hidden="1">
      <c r="A151" s="44" t="s">
        <v>136</v>
      </c>
      <c r="B151" s="44" t="s">
        <v>7</v>
      </c>
      <c r="C151" s="44" t="s">
        <v>137</v>
      </c>
      <c r="D151" s="44" t="s">
        <v>9</v>
      </c>
      <c r="E151" s="44" t="s">
        <v>10</v>
      </c>
      <c r="F151" s="44" t="s">
        <v>67</v>
      </c>
    </row>
    <row r="152" spans="1:7" s="65" customFormat="1" ht="15" hidden="1" customHeight="1">
      <c r="A152" s="7" t="s">
        <v>138</v>
      </c>
      <c r="B152" s="24" t="s">
        <v>139</v>
      </c>
      <c r="C152" s="24" t="s">
        <v>140</v>
      </c>
      <c r="D152" s="47">
        <v>0</v>
      </c>
      <c r="E152" s="47">
        <v>0</v>
      </c>
      <c r="F152" s="47">
        <f>ROUND(D152*E152,2)/12/3</f>
        <v>0</v>
      </c>
    </row>
    <row r="153" spans="1:7" s="65" customFormat="1" ht="15" hidden="1" customHeight="1">
      <c r="A153" s="7" t="s">
        <v>141</v>
      </c>
      <c r="B153" s="24" t="s">
        <v>142</v>
      </c>
      <c r="C153" s="24" t="s">
        <v>140</v>
      </c>
      <c r="D153" s="47">
        <v>0</v>
      </c>
      <c r="E153" s="47">
        <v>0</v>
      </c>
      <c r="F153" s="47">
        <f>ROUND(D153*E153,2)/12/3</f>
        <v>0</v>
      </c>
    </row>
    <row r="154" spans="1:7" s="65" customFormat="1" ht="15.75" hidden="1" customHeight="1">
      <c r="A154" s="7" t="s">
        <v>141</v>
      </c>
      <c r="B154" s="24" t="s">
        <v>432</v>
      </c>
      <c r="C154" s="24" t="s">
        <v>140</v>
      </c>
      <c r="D154" s="47">
        <v>0</v>
      </c>
      <c r="E154" s="47">
        <v>0</v>
      </c>
      <c r="F154" s="47">
        <f>ROUND(D154*E154,2)/12/3</f>
        <v>0</v>
      </c>
      <c r="G154" s="62">
        <f>SUM(F152:F154)</f>
        <v>0</v>
      </c>
    </row>
    <row r="155" spans="1:7" ht="15.75" customHeight="1">
      <c r="A155" s="29"/>
      <c r="B155" s="63"/>
      <c r="C155" s="63"/>
      <c r="D155" s="61"/>
      <c r="E155" s="19"/>
      <c r="F155" s="19"/>
      <c r="G155" s="64"/>
    </row>
    <row r="156" spans="1:7" ht="15.75" customHeight="1">
      <c r="A156" s="66" t="s">
        <v>143</v>
      </c>
      <c r="B156" s="279" t="s">
        <v>144</v>
      </c>
      <c r="C156" s="279"/>
      <c r="D156" s="279"/>
      <c r="E156" s="279"/>
    </row>
    <row r="157" spans="1:7" ht="15.75" customHeight="1">
      <c r="A157" s="32" t="s">
        <v>145</v>
      </c>
      <c r="B157" s="280" t="s">
        <v>447</v>
      </c>
      <c r="C157" s="280"/>
      <c r="D157" s="280"/>
      <c r="E157" s="280"/>
      <c r="F157"/>
      <c r="G157" s="67"/>
    </row>
    <row r="158" spans="1:7" ht="15.75" customHeight="1">
      <c r="A158" s="32" t="s">
        <v>146</v>
      </c>
      <c r="B158" s="68" t="s">
        <v>147</v>
      </c>
      <c r="C158" s="69"/>
      <c r="D158" s="70"/>
      <c r="E158" s="71" t="s">
        <v>148</v>
      </c>
      <c r="F158" s="72">
        <f>(D159+D164+D165+D166+D167)/3</f>
        <v>1073.8499999999999</v>
      </c>
    </row>
    <row r="159" spans="1:7" ht="30">
      <c r="A159" s="32" t="s">
        <v>149</v>
      </c>
      <c r="B159" s="71" t="s">
        <v>150</v>
      </c>
      <c r="C159" s="69" t="s">
        <v>151</v>
      </c>
      <c r="D159" s="72">
        <f>D161/12</f>
        <v>1503.48</v>
      </c>
      <c r="E159" s="70"/>
      <c r="F159" s="70"/>
    </row>
    <row r="160" spans="1:7" ht="15.75" customHeight="1">
      <c r="A160" s="32" t="s">
        <v>152</v>
      </c>
      <c r="B160" s="71" t="s">
        <v>395</v>
      </c>
      <c r="C160" s="69" t="s">
        <v>153</v>
      </c>
      <c r="D160" s="70">
        <v>225521.51</v>
      </c>
      <c r="E160" s="70"/>
      <c r="F160" s="70"/>
    </row>
    <row r="161" spans="1:7" ht="45.2" customHeight="1">
      <c r="A161" s="32" t="s">
        <v>154</v>
      </c>
      <c r="B161" s="71" t="s">
        <v>155</v>
      </c>
      <c r="C161" s="69" t="s">
        <v>156</v>
      </c>
      <c r="D161" s="73">
        <f>(D160-D162)/D163</f>
        <v>18041.72</v>
      </c>
      <c r="E161" s="70"/>
      <c r="F161" s="70"/>
    </row>
    <row r="162" spans="1:7" ht="15.75" customHeight="1">
      <c r="A162" s="32" t="s">
        <v>157</v>
      </c>
      <c r="B162" s="71" t="s">
        <v>158</v>
      </c>
      <c r="C162" s="74">
        <v>0.2</v>
      </c>
      <c r="D162" s="72">
        <f>D160*C162</f>
        <v>45104.3</v>
      </c>
      <c r="E162" s="70"/>
      <c r="F162" s="70"/>
    </row>
    <row r="163" spans="1:7" ht="15.75" customHeight="1">
      <c r="A163" s="32" t="s">
        <v>159</v>
      </c>
      <c r="B163" s="71" t="s">
        <v>160</v>
      </c>
      <c r="C163" s="75" t="s">
        <v>161</v>
      </c>
      <c r="D163" s="76">
        <v>10</v>
      </c>
      <c r="E163" s="70"/>
      <c r="F163" s="70"/>
    </row>
    <row r="164" spans="1:7" ht="15.75" customHeight="1">
      <c r="A164" s="32" t="s">
        <v>162</v>
      </c>
      <c r="B164" s="71" t="s">
        <v>163</v>
      </c>
      <c r="C164" s="69" t="s">
        <v>164</v>
      </c>
      <c r="D164" s="72">
        <f>194.5/12</f>
        <v>16.21</v>
      </c>
      <c r="E164" s="70"/>
      <c r="F164" s="70"/>
    </row>
    <row r="165" spans="1:7" ht="15.75" customHeight="1">
      <c r="A165" s="32" t="s">
        <v>165</v>
      </c>
      <c r="B165" s="71" t="s">
        <v>166</v>
      </c>
      <c r="C165" s="69" t="s">
        <v>167</v>
      </c>
      <c r="D165" s="72">
        <f>125.23/12</f>
        <v>10.44</v>
      </c>
      <c r="E165" s="70"/>
      <c r="F165" s="70"/>
    </row>
    <row r="166" spans="1:7" ht="34.9" customHeight="1">
      <c r="A166" s="32" t="s">
        <v>168</v>
      </c>
      <c r="B166" s="71" t="s">
        <v>169</v>
      </c>
      <c r="C166" s="69" t="s">
        <v>170</v>
      </c>
      <c r="D166" s="72">
        <f>(D160*0.06)/12</f>
        <v>1127.6099999999999</v>
      </c>
      <c r="E166" s="70"/>
      <c r="F166" s="70"/>
    </row>
    <row r="167" spans="1:7" ht="34.9" customHeight="1">
      <c r="A167" s="32" t="s">
        <v>171</v>
      </c>
      <c r="B167" s="71" t="s">
        <v>172</v>
      </c>
      <c r="C167" s="69" t="s">
        <v>173</v>
      </c>
      <c r="D167" s="72">
        <f>(D160*0.03)/12</f>
        <v>563.79999999999995</v>
      </c>
      <c r="E167" s="70"/>
      <c r="F167" s="70"/>
    </row>
    <row r="168" spans="1:7" ht="45">
      <c r="A168" s="32" t="s">
        <v>174</v>
      </c>
      <c r="B168" s="68" t="s">
        <v>175</v>
      </c>
      <c r="C168" s="77" t="s">
        <v>176</v>
      </c>
      <c r="D168" s="78">
        <v>1200</v>
      </c>
      <c r="E168" s="70" t="s">
        <v>148</v>
      </c>
      <c r="F168" s="72">
        <f>SUM(D169:D173)/3</f>
        <v>843.25</v>
      </c>
    </row>
    <row r="169" spans="1:7" ht="34.9" customHeight="1">
      <c r="A169" s="32" t="s">
        <v>177</v>
      </c>
      <c r="B169" s="71" t="s">
        <v>178</v>
      </c>
      <c r="C169" s="69" t="s">
        <v>179</v>
      </c>
      <c r="D169" s="72">
        <f>(D160*0.05)/12</f>
        <v>939.67</v>
      </c>
      <c r="E169" s="70"/>
      <c r="F169" s="70"/>
    </row>
    <row r="170" spans="1:7" ht="56.1" customHeight="1">
      <c r="A170" s="32" t="s">
        <v>180</v>
      </c>
      <c r="B170" s="71" t="s">
        <v>181</v>
      </c>
      <c r="C170" s="69" t="s">
        <v>182</v>
      </c>
      <c r="D170" s="72">
        <f>(469*4)/12</f>
        <v>156.33000000000001</v>
      </c>
      <c r="E170" s="70"/>
      <c r="F170" s="70"/>
    </row>
    <row r="171" spans="1:7" ht="60">
      <c r="A171" s="32" t="s">
        <v>183</v>
      </c>
      <c r="B171" s="71" t="s">
        <v>184</v>
      </c>
      <c r="C171" s="69" t="s">
        <v>450</v>
      </c>
      <c r="D171" s="72">
        <f>(1200/7)*7.44</f>
        <v>1275.43</v>
      </c>
      <c r="E171" s="70"/>
      <c r="F171" s="70"/>
    </row>
    <row r="172" spans="1:7" ht="45">
      <c r="A172" s="32" t="s">
        <v>185</v>
      </c>
      <c r="B172" s="79" t="s">
        <v>186</v>
      </c>
      <c r="C172" s="80" t="s">
        <v>187</v>
      </c>
      <c r="D172" s="72">
        <f>350*2/12</f>
        <v>58.33</v>
      </c>
      <c r="E172" s="81"/>
      <c r="F172" s="81"/>
      <c r="G172" s="82"/>
    </row>
    <row r="173" spans="1:7" ht="30">
      <c r="A173" s="32" t="s">
        <v>188</v>
      </c>
      <c r="B173" s="79" t="s">
        <v>189</v>
      </c>
      <c r="C173" s="80" t="s">
        <v>420</v>
      </c>
      <c r="D173" s="72">
        <v>100</v>
      </c>
      <c r="E173" s="83"/>
      <c r="F173" s="84"/>
      <c r="G173" s="82"/>
    </row>
    <row r="174" spans="1:7" ht="15.75" customHeight="1">
      <c r="A174" s="32"/>
      <c r="B174" s="85" t="s">
        <v>190</v>
      </c>
      <c r="C174" s="86"/>
      <c r="D174" s="87"/>
      <c r="E174" s="87"/>
      <c r="F174" s="72">
        <f>F158+F168</f>
        <v>1917.1</v>
      </c>
    </row>
    <row r="175" spans="1:7" ht="15.75" customHeight="1">
      <c r="A175" s="43"/>
      <c r="B175" s="278" t="s">
        <v>191</v>
      </c>
      <c r="C175" s="278"/>
      <c r="D175" s="88">
        <v>1</v>
      </c>
      <c r="E175" s="89"/>
      <c r="F175" s="90">
        <f>F174*D175</f>
        <v>1917.1</v>
      </c>
    </row>
    <row r="176" spans="1:7" ht="15">
      <c r="A176" s="5"/>
      <c r="B176" s="91"/>
      <c r="D176" s="92"/>
      <c r="E176" s="92"/>
      <c r="F176" s="92"/>
    </row>
    <row r="177" spans="1:7" ht="15">
      <c r="A177" s="58" t="s">
        <v>192</v>
      </c>
      <c r="B177" s="273" t="s">
        <v>457</v>
      </c>
      <c r="C177" s="273"/>
      <c r="D177" s="273"/>
      <c r="E177" s="273"/>
      <c r="F177" s="6"/>
      <c r="G177" s="67"/>
    </row>
    <row r="178" spans="1:7" ht="15" hidden="1">
      <c r="A178" s="32" t="s">
        <v>193</v>
      </c>
      <c r="B178" s="68" t="s">
        <v>147</v>
      </c>
      <c r="C178" s="69"/>
      <c r="D178" s="70"/>
      <c r="E178" s="71" t="s">
        <v>148</v>
      </c>
      <c r="F178" s="72">
        <f>(D179+D184+D185+D186+D187)/4</f>
        <v>0</v>
      </c>
    </row>
    <row r="179" spans="1:7" ht="30" hidden="1">
      <c r="A179" s="32" t="s">
        <v>194</v>
      </c>
      <c r="B179" s="71" t="s">
        <v>150</v>
      </c>
      <c r="C179" s="69" t="s">
        <v>151</v>
      </c>
      <c r="D179" s="72">
        <f>D181/12</f>
        <v>0</v>
      </c>
      <c r="E179" s="70"/>
      <c r="F179" s="70"/>
    </row>
    <row r="180" spans="1:7" ht="15" hidden="1">
      <c r="A180" s="32" t="s">
        <v>195</v>
      </c>
      <c r="B180" s="71" t="s">
        <v>396</v>
      </c>
      <c r="C180" s="69" t="s">
        <v>153</v>
      </c>
      <c r="D180" s="70"/>
      <c r="E180" s="70"/>
      <c r="F180" s="70"/>
    </row>
    <row r="181" spans="1:7" ht="30" hidden="1">
      <c r="A181" s="32" t="s">
        <v>196</v>
      </c>
      <c r="B181" s="71" t="s">
        <v>155</v>
      </c>
      <c r="C181" s="69" t="s">
        <v>156</v>
      </c>
      <c r="D181" s="73">
        <f>(D180-D182)/D183</f>
        <v>0</v>
      </c>
      <c r="E181" s="70"/>
      <c r="F181" s="70"/>
    </row>
    <row r="182" spans="1:7" ht="15" hidden="1">
      <c r="A182" s="32" t="s">
        <v>197</v>
      </c>
      <c r="B182" s="71" t="s">
        <v>158</v>
      </c>
      <c r="C182" s="74">
        <v>0.25</v>
      </c>
      <c r="D182" s="72">
        <f>D180*C182</f>
        <v>0</v>
      </c>
      <c r="E182" s="70"/>
      <c r="F182" s="70"/>
    </row>
    <row r="183" spans="1:7" ht="15" hidden="1">
      <c r="A183" s="32" t="s">
        <v>198</v>
      </c>
      <c r="B183" s="71" t="s">
        <v>160</v>
      </c>
      <c r="C183" s="75" t="s">
        <v>161</v>
      </c>
      <c r="D183" s="76">
        <v>10</v>
      </c>
      <c r="E183" s="70"/>
      <c r="F183" s="70"/>
    </row>
    <row r="184" spans="1:7" ht="15" hidden="1">
      <c r="A184" s="32" t="s">
        <v>199</v>
      </c>
      <c r="B184" s="71" t="s">
        <v>163</v>
      </c>
      <c r="C184" s="69" t="s">
        <v>164</v>
      </c>
      <c r="D184" s="72"/>
      <c r="E184" s="70"/>
      <c r="F184" s="70"/>
    </row>
    <row r="185" spans="1:7" ht="15" hidden="1">
      <c r="A185" s="32" t="s">
        <v>200</v>
      </c>
      <c r="B185" s="71" t="s">
        <v>166</v>
      </c>
      <c r="C185" s="69" t="s">
        <v>167</v>
      </c>
      <c r="D185" s="72"/>
      <c r="E185" s="70"/>
      <c r="F185" s="70"/>
    </row>
    <row r="186" spans="1:7" ht="30" hidden="1">
      <c r="A186" s="32" t="s">
        <v>201</v>
      </c>
      <c r="B186" s="71" t="s">
        <v>169</v>
      </c>
      <c r="C186" s="69" t="s">
        <v>170</v>
      </c>
      <c r="D186" s="72">
        <f>(D180*0.06)/12</f>
        <v>0</v>
      </c>
      <c r="E186" s="70"/>
      <c r="F186" s="70"/>
    </row>
    <row r="187" spans="1:7" ht="30" hidden="1">
      <c r="A187" s="32" t="s">
        <v>202</v>
      </c>
      <c r="B187" s="71" t="s">
        <v>172</v>
      </c>
      <c r="C187" s="69" t="s">
        <v>173</v>
      </c>
      <c r="D187" s="72">
        <f>(D180*0.03)/12</f>
        <v>0</v>
      </c>
      <c r="E187" s="70"/>
      <c r="F187" s="70"/>
    </row>
    <row r="188" spans="1:7" ht="30" hidden="1">
      <c r="A188" s="32" t="s">
        <v>203</v>
      </c>
      <c r="B188" s="68" t="s">
        <v>175</v>
      </c>
      <c r="C188" s="77" t="s">
        <v>204</v>
      </c>
      <c r="D188" s="78">
        <v>2000</v>
      </c>
      <c r="E188" s="70" t="s">
        <v>148</v>
      </c>
      <c r="F188" s="72">
        <f>SUM(D189:D193)/4</f>
        <v>0</v>
      </c>
    </row>
    <row r="189" spans="1:7" ht="30" hidden="1">
      <c r="A189" s="32" t="s">
        <v>205</v>
      </c>
      <c r="B189" s="71" t="s">
        <v>178</v>
      </c>
      <c r="C189" s="69" t="s">
        <v>179</v>
      </c>
      <c r="D189" s="72">
        <f>(D180*0.05)/12</f>
        <v>0</v>
      </c>
      <c r="E189" s="70"/>
      <c r="F189" s="70"/>
    </row>
    <row r="190" spans="1:7" ht="45" hidden="1">
      <c r="A190" s="32" t="s">
        <v>206</v>
      </c>
      <c r="B190" s="71" t="s">
        <v>181</v>
      </c>
      <c r="C190" s="69" t="s">
        <v>207</v>
      </c>
      <c r="D190" s="72"/>
      <c r="E190" s="70"/>
      <c r="F190" s="70"/>
    </row>
    <row r="191" spans="1:7" ht="60" hidden="1">
      <c r="A191" s="32" t="s">
        <v>208</v>
      </c>
      <c r="B191" s="71" t="s">
        <v>184</v>
      </c>
      <c r="C191" s="69" t="s">
        <v>209</v>
      </c>
      <c r="D191" s="72"/>
      <c r="E191" s="70"/>
      <c r="F191" s="70"/>
    </row>
    <row r="192" spans="1:7" ht="45" hidden="1">
      <c r="A192" s="32" t="s">
        <v>210</v>
      </c>
      <c r="B192" s="79" t="s">
        <v>186</v>
      </c>
      <c r="C192" s="80" t="s">
        <v>211</v>
      </c>
      <c r="D192" s="72"/>
      <c r="E192" s="81"/>
      <c r="F192" s="81"/>
      <c r="G192" s="82"/>
    </row>
    <row r="193" spans="1:7" ht="30" hidden="1">
      <c r="A193" s="32" t="s">
        <v>212</v>
      </c>
      <c r="B193" s="79" t="s">
        <v>189</v>
      </c>
      <c r="C193" s="80" t="s">
        <v>421</v>
      </c>
      <c r="D193" s="72"/>
      <c r="E193" s="83"/>
      <c r="F193" s="81"/>
      <c r="G193" s="82"/>
    </row>
    <row r="194" spans="1:7" ht="15" hidden="1">
      <c r="A194" s="32"/>
      <c r="B194" s="85" t="s">
        <v>190</v>
      </c>
      <c r="C194" s="86"/>
      <c r="D194" s="87"/>
      <c r="E194" s="87"/>
      <c r="F194" s="93">
        <f>F178+F188</f>
        <v>0</v>
      </c>
    </row>
    <row r="195" spans="1:7" ht="15" hidden="1">
      <c r="A195" s="43"/>
      <c r="B195" s="278" t="s">
        <v>191</v>
      </c>
      <c r="C195" s="278"/>
      <c r="D195" s="88">
        <v>0</v>
      </c>
      <c r="E195" s="89"/>
      <c r="F195" s="90">
        <f>F194*D195</f>
        <v>0</v>
      </c>
    </row>
    <row r="196" spans="1:7" ht="15.75" customHeight="1">
      <c r="A196" s="5"/>
      <c r="B196" s="91"/>
      <c r="D196" s="92"/>
      <c r="E196" s="92"/>
      <c r="F196" s="92"/>
    </row>
    <row r="197" spans="1:7" ht="15.75" customHeight="1">
      <c r="A197" s="58" t="s">
        <v>213</v>
      </c>
      <c r="B197" s="272" t="s">
        <v>214</v>
      </c>
      <c r="C197" s="272"/>
      <c r="D197" s="272"/>
      <c r="E197" s="272"/>
      <c r="F197" s="6"/>
      <c r="G197" s="67"/>
    </row>
    <row r="198" spans="1:7" ht="15.75" customHeight="1">
      <c r="A198" s="32" t="s">
        <v>213</v>
      </c>
      <c r="B198" s="273" t="s">
        <v>455</v>
      </c>
      <c r="C198" s="273"/>
      <c r="D198" s="273"/>
      <c r="E198" s="273"/>
      <c r="F198" s="6"/>
      <c r="G198" s="67"/>
    </row>
    <row r="199" spans="1:7" ht="15.75" customHeight="1">
      <c r="A199" s="32" t="s">
        <v>215</v>
      </c>
      <c r="B199" s="94" t="s">
        <v>147</v>
      </c>
      <c r="C199" s="69"/>
      <c r="D199" s="70"/>
      <c r="E199" s="95" t="s">
        <v>148</v>
      </c>
      <c r="F199" s="72">
        <f>D200/3</f>
        <v>5.44</v>
      </c>
    </row>
    <row r="200" spans="1:7" ht="30">
      <c r="A200" s="5" t="s">
        <v>216</v>
      </c>
      <c r="B200" s="71" t="s">
        <v>150</v>
      </c>
      <c r="C200" s="69" t="s">
        <v>151</v>
      </c>
      <c r="D200" s="72">
        <f>D202/12</f>
        <v>16.329999999999998</v>
      </c>
      <c r="E200" s="70"/>
      <c r="F200" s="96"/>
    </row>
    <row r="201" spans="1:7" s="236" customFormat="1" ht="30">
      <c r="A201" s="237" t="s">
        <v>217</v>
      </c>
      <c r="B201" s="239" t="s">
        <v>456</v>
      </c>
      <c r="C201" s="240" t="s">
        <v>153</v>
      </c>
      <c r="D201" s="241">
        <v>1088.45</v>
      </c>
      <c r="E201" s="241"/>
      <c r="F201" s="241"/>
      <c r="G201" s="242"/>
    </row>
    <row r="202" spans="1:7" ht="45.2" customHeight="1">
      <c r="A202" s="5" t="s">
        <v>218</v>
      </c>
      <c r="B202" s="71" t="s">
        <v>155</v>
      </c>
      <c r="C202" s="69" t="s">
        <v>156</v>
      </c>
      <c r="D202" s="73">
        <f>(D201-D203)/D204</f>
        <v>195.92</v>
      </c>
      <c r="E202" s="70"/>
      <c r="F202" s="70"/>
      <c r="G202" s="92"/>
    </row>
    <row r="203" spans="1:7" ht="15.75" customHeight="1">
      <c r="A203" s="32" t="s">
        <v>219</v>
      </c>
      <c r="B203" s="71" t="s">
        <v>158</v>
      </c>
      <c r="C203" s="74">
        <v>0.1</v>
      </c>
      <c r="D203" s="72">
        <f>D201*C203</f>
        <v>108.85</v>
      </c>
      <c r="E203" s="70"/>
      <c r="F203" s="70"/>
    </row>
    <row r="204" spans="1:7" ht="15.75" customHeight="1">
      <c r="A204" s="5" t="s">
        <v>220</v>
      </c>
      <c r="B204" s="71" t="s">
        <v>160</v>
      </c>
      <c r="C204" s="75" t="s">
        <v>221</v>
      </c>
      <c r="D204" s="76">
        <v>5</v>
      </c>
      <c r="E204" s="70"/>
      <c r="F204" s="70"/>
    </row>
    <row r="205" spans="1:7" ht="45">
      <c r="A205" s="32" t="s">
        <v>222</v>
      </c>
      <c r="B205" s="94" t="s">
        <v>175</v>
      </c>
      <c r="C205" s="97" t="s">
        <v>223</v>
      </c>
      <c r="D205" s="78">
        <f>200*2</f>
        <v>400</v>
      </c>
      <c r="E205" s="70" t="s">
        <v>148</v>
      </c>
      <c r="F205" s="72">
        <f>SUM(D206:D209)/3</f>
        <v>469.29</v>
      </c>
    </row>
    <row r="206" spans="1:7" ht="34.9" customHeight="1">
      <c r="A206" s="5" t="s">
        <v>224</v>
      </c>
      <c r="B206" s="71" t="s">
        <v>178</v>
      </c>
      <c r="C206" s="69" t="s">
        <v>179</v>
      </c>
      <c r="D206" s="72">
        <f>(D201*0.05)/12</f>
        <v>4.54</v>
      </c>
      <c r="E206" s="70"/>
      <c r="F206" s="70"/>
    </row>
    <row r="207" spans="1:7" ht="45">
      <c r="A207" s="32" t="s">
        <v>225</v>
      </c>
      <c r="B207" s="71" t="s">
        <v>184</v>
      </c>
      <c r="C207" s="69" t="s">
        <v>451</v>
      </c>
      <c r="D207" s="72">
        <f>200/1*6.78</f>
        <v>1356</v>
      </c>
      <c r="E207" s="70"/>
      <c r="F207" s="70"/>
    </row>
    <row r="208" spans="1:7" ht="45.2" customHeight="1">
      <c r="A208" s="5" t="s">
        <v>226</v>
      </c>
      <c r="B208" s="79" t="s">
        <v>186</v>
      </c>
      <c r="C208" s="80" t="s">
        <v>227</v>
      </c>
      <c r="D208" s="72">
        <f>200*0.74*1/12</f>
        <v>12.33</v>
      </c>
      <c r="E208" s="81"/>
      <c r="F208" s="81"/>
      <c r="G208" s="82"/>
    </row>
    <row r="209" spans="1:7" ht="30">
      <c r="A209" s="32" t="s">
        <v>228</v>
      </c>
      <c r="B209" s="79" t="s">
        <v>229</v>
      </c>
      <c r="C209" s="80" t="s">
        <v>422</v>
      </c>
      <c r="D209" s="72">
        <v>35</v>
      </c>
      <c r="E209" s="83"/>
      <c r="F209" s="81"/>
      <c r="G209" s="82"/>
    </row>
    <row r="210" spans="1:7" ht="15.75" customHeight="1">
      <c r="A210" s="32"/>
      <c r="B210" s="85" t="s">
        <v>190</v>
      </c>
      <c r="C210" s="86"/>
      <c r="D210" s="92"/>
      <c r="E210" s="87"/>
      <c r="F210" s="93">
        <f>F199+F205</f>
        <v>474.73</v>
      </c>
    </row>
    <row r="211" spans="1:7" ht="15.75" customHeight="1">
      <c r="A211" s="43"/>
      <c r="B211" s="278" t="s">
        <v>191</v>
      </c>
      <c r="C211" s="278"/>
      <c r="D211" s="72">
        <v>1</v>
      </c>
      <c r="E211" s="89"/>
      <c r="F211" s="90">
        <f>F210*D211</f>
        <v>474.73</v>
      </c>
    </row>
    <row r="212" spans="1:7" ht="14.65" customHeight="1"/>
    <row r="213" spans="1:7" ht="15.75" customHeight="1">
      <c r="A213" s="58" t="s">
        <v>230</v>
      </c>
      <c r="B213" s="273" t="s">
        <v>448</v>
      </c>
      <c r="C213" s="273"/>
      <c r="D213" s="273"/>
      <c r="E213" s="273"/>
      <c r="F213" s="6"/>
      <c r="G213"/>
    </row>
    <row r="214" spans="1:7" ht="15">
      <c r="A214" s="32" t="s">
        <v>231</v>
      </c>
      <c r="B214" s="94" t="s">
        <v>147</v>
      </c>
      <c r="C214" s="69"/>
      <c r="D214" s="70"/>
      <c r="E214" s="71" t="s">
        <v>148</v>
      </c>
      <c r="F214" s="72">
        <f>D215/3</f>
        <v>8.7100000000000009</v>
      </c>
      <c r="G214"/>
    </row>
    <row r="215" spans="1:7" ht="30">
      <c r="A215" s="32" t="s">
        <v>232</v>
      </c>
      <c r="B215" s="71" t="s">
        <v>150</v>
      </c>
      <c r="C215" s="69" t="s">
        <v>151</v>
      </c>
      <c r="D215" s="72">
        <f>D217/12</f>
        <v>26.13</v>
      </c>
      <c r="E215" s="70"/>
      <c r="F215" s="70"/>
      <c r="G215"/>
    </row>
    <row r="216" spans="1:7" ht="15.75" customHeight="1">
      <c r="A216" s="32" t="s">
        <v>233</v>
      </c>
      <c r="B216" s="71" t="s">
        <v>449</v>
      </c>
      <c r="C216" s="69" t="s">
        <v>153</v>
      </c>
      <c r="D216" s="241">
        <v>3484.56</v>
      </c>
      <c r="E216" s="70"/>
      <c r="F216" s="70"/>
      <c r="G216"/>
    </row>
    <row r="217" spans="1:7" ht="44.65" customHeight="1">
      <c r="A217" s="32" t="s">
        <v>234</v>
      </c>
      <c r="B217" s="71" t="s">
        <v>155</v>
      </c>
      <c r="C217" s="69" t="s">
        <v>156</v>
      </c>
      <c r="D217" s="73">
        <f>(D216-D218)/D219</f>
        <v>313.61</v>
      </c>
      <c r="E217" s="70"/>
      <c r="F217" s="70"/>
      <c r="G217"/>
    </row>
    <row r="218" spans="1:7" ht="15.75" customHeight="1">
      <c r="A218" s="32" t="s">
        <v>235</v>
      </c>
      <c r="B218" s="71" t="s">
        <v>158</v>
      </c>
      <c r="C218" s="74">
        <v>0.1</v>
      </c>
      <c r="D218" s="72">
        <f>D216*C218</f>
        <v>348.46</v>
      </c>
      <c r="E218" s="70"/>
      <c r="F218" s="70"/>
      <c r="G218"/>
    </row>
    <row r="219" spans="1:7" ht="15.75" customHeight="1">
      <c r="A219" s="32" t="s">
        <v>236</v>
      </c>
      <c r="B219" s="71" t="s">
        <v>160</v>
      </c>
      <c r="C219" s="75" t="s">
        <v>161</v>
      </c>
      <c r="D219" s="76">
        <v>10</v>
      </c>
      <c r="E219" s="70"/>
      <c r="F219" s="70"/>
      <c r="G219"/>
    </row>
    <row r="220" spans="1:7" ht="30">
      <c r="A220" s="32" t="s">
        <v>237</v>
      </c>
      <c r="B220" s="94" t="s">
        <v>175</v>
      </c>
      <c r="C220" s="97" t="s">
        <v>238</v>
      </c>
      <c r="D220" s="78">
        <v>200</v>
      </c>
      <c r="E220" s="70" t="s">
        <v>148</v>
      </c>
      <c r="F220" s="72">
        <f>SUM(D221:D224)/3</f>
        <v>195.38</v>
      </c>
      <c r="G220"/>
    </row>
    <row r="221" spans="1:7" ht="34.9" customHeight="1">
      <c r="A221" s="32" t="s">
        <v>239</v>
      </c>
      <c r="B221" s="71" t="s">
        <v>178</v>
      </c>
      <c r="C221" s="69" t="s">
        <v>179</v>
      </c>
      <c r="D221" s="72">
        <f>(D216*0.05)/12</f>
        <v>14.52</v>
      </c>
      <c r="E221" s="70"/>
      <c r="F221" s="70"/>
      <c r="G221"/>
    </row>
    <row r="222" spans="1:7" ht="45">
      <c r="A222" s="32" t="s">
        <v>240</v>
      </c>
      <c r="B222" s="71" t="s">
        <v>184</v>
      </c>
      <c r="C222" s="69" t="s">
        <v>452</v>
      </c>
      <c r="D222" s="72">
        <f>200/2.8*6.78</f>
        <v>484.29</v>
      </c>
      <c r="E222" s="70"/>
      <c r="F222" s="70"/>
    </row>
    <row r="223" spans="1:7" ht="45.2" customHeight="1">
      <c r="A223" s="32" t="s">
        <v>241</v>
      </c>
      <c r="B223" s="79" t="s">
        <v>186</v>
      </c>
      <c r="C223" s="80" t="s">
        <v>227</v>
      </c>
      <c r="D223" s="72">
        <f>200*0.74*1/12</f>
        <v>12.33</v>
      </c>
      <c r="E223" s="81"/>
      <c r="F223" s="81"/>
      <c r="G223" s="82"/>
    </row>
    <row r="224" spans="1:7" ht="30">
      <c r="A224" s="32" t="s">
        <v>242</v>
      </c>
      <c r="B224" s="79" t="s">
        <v>189</v>
      </c>
      <c r="C224" s="80" t="s">
        <v>423</v>
      </c>
      <c r="D224" s="72">
        <v>75</v>
      </c>
      <c r="E224" s="83"/>
      <c r="F224" s="84"/>
      <c r="G224"/>
    </row>
    <row r="225" spans="1:7" ht="15.75" customHeight="1">
      <c r="A225" s="32"/>
      <c r="B225" s="85" t="s">
        <v>190</v>
      </c>
      <c r="C225" s="86"/>
      <c r="D225" s="87"/>
      <c r="E225" s="87"/>
      <c r="F225" s="72">
        <f>F214+F220</f>
        <v>204.09</v>
      </c>
      <c r="G225"/>
    </row>
    <row r="226" spans="1:7" ht="15.75" customHeight="1">
      <c r="A226" s="43"/>
      <c r="B226" s="278" t="s">
        <v>191</v>
      </c>
      <c r="C226" s="278"/>
      <c r="D226" s="88">
        <v>2</v>
      </c>
      <c r="E226" s="89"/>
      <c r="F226" s="90">
        <f>F225*D226</f>
        <v>408.18</v>
      </c>
    </row>
    <row r="227" spans="1:7" ht="14.65" customHeight="1"/>
    <row r="228" spans="1:7" ht="15.75" customHeight="1">
      <c r="A228" s="58" t="s">
        <v>243</v>
      </c>
      <c r="B228" s="273" t="s">
        <v>453</v>
      </c>
      <c r="C228" s="273"/>
      <c r="D228" s="273"/>
      <c r="E228" s="273"/>
      <c r="F228" s="6"/>
      <c r="G228"/>
    </row>
    <row r="229" spans="1:7" ht="15">
      <c r="A229" s="32" t="s">
        <v>244</v>
      </c>
      <c r="B229" s="94" t="s">
        <v>147</v>
      </c>
      <c r="C229" s="69"/>
      <c r="D229" s="70"/>
      <c r="E229" s="71" t="s">
        <v>148</v>
      </c>
      <c r="F229" s="72">
        <f>D230/3</f>
        <v>14.14</v>
      </c>
      <c r="G229"/>
    </row>
    <row r="230" spans="1:7" ht="30">
      <c r="A230" s="32" t="s">
        <v>245</v>
      </c>
      <c r="B230" s="71" t="s">
        <v>150</v>
      </c>
      <c r="C230" s="69" t="s">
        <v>151</v>
      </c>
      <c r="D230" s="72">
        <f>D232/12</f>
        <v>42.41</v>
      </c>
      <c r="E230" s="70"/>
      <c r="F230" s="70"/>
      <c r="G230"/>
    </row>
    <row r="231" spans="1:7" s="236" customFormat="1" ht="33" customHeight="1">
      <c r="A231" s="237" t="s">
        <v>246</v>
      </c>
      <c r="B231" s="239" t="s">
        <v>454</v>
      </c>
      <c r="C231" s="240" t="s">
        <v>153</v>
      </c>
      <c r="D231" s="241">
        <v>2827.58</v>
      </c>
      <c r="E231" s="241"/>
      <c r="F231" s="241"/>
    </row>
    <row r="232" spans="1:7" ht="44.65" customHeight="1">
      <c r="A232" s="32" t="s">
        <v>247</v>
      </c>
      <c r="B232" s="71" t="s">
        <v>155</v>
      </c>
      <c r="C232" s="69" t="s">
        <v>156</v>
      </c>
      <c r="D232" s="73">
        <f>(D231-D233)/D234</f>
        <v>508.96</v>
      </c>
      <c r="E232" s="70"/>
      <c r="F232" s="70"/>
      <c r="G232"/>
    </row>
    <row r="233" spans="1:7" ht="15.75" customHeight="1">
      <c r="A233" s="32" t="s">
        <v>248</v>
      </c>
      <c r="B233" s="71" t="s">
        <v>158</v>
      </c>
      <c r="C233" s="74">
        <v>0.1</v>
      </c>
      <c r="D233" s="72">
        <f>D231*C233</f>
        <v>282.76</v>
      </c>
      <c r="E233" s="70"/>
      <c r="F233" s="70"/>
      <c r="G233"/>
    </row>
    <row r="234" spans="1:7" ht="15.75" customHeight="1">
      <c r="A234" s="32" t="s">
        <v>249</v>
      </c>
      <c r="B234" s="71" t="s">
        <v>160</v>
      </c>
      <c r="C234" s="75" t="s">
        <v>221</v>
      </c>
      <c r="D234" s="76">
        <v>5</v>
      </c>
      <c r="E234" s="70"/>
      <c r="F234" s="70"/>
      <c r="G234"/>
    </row>
    <row r="235" spans="1:7" ht="45">
      <c r="A235" s="32" t="s">
        <v>250</v>
      </c>
      <c r="B235" s="94" t="s">
        <v>175</v>
      </c>
      <c r="C235" s="97" t="s">
        <v>223</v>
      </c>
      <c r="D235" s="78">
        <f>200*3</f>
        <v>600</v>
      </c>
      <c r="E235" s="70" t="s">
        <v>148</v>
      </c>
      <c r="F235" s="72">
        <f>SUM(D236:D238)/3</f>
        <v>467.59</v>
      </c>
      <c r="G235"/>
    </row>
    <row r="236" spans="1:7" ht="45">
      <c r="A236" s="32" t="s">
        <v>225</v>
      </c>
      <c r="B236" s="71" t="s">
        <v>184</v>
      </c>
      <c r="C236" s="69" t="s">
        <v>451</v>
      </c>
      <c r="D236" s="72">
        <f>200/1*6.78</f>
        <v>1356</v>
      </c>
      <c r="E236" s="70"/>
      <c r="F236" s="70"/>
    </row>
    <row r="237" spans="1:7" ht="34.9" customHeight="1">
      <c r="A237" s="32" t="s">
        <v>251</v>
      </c>
      <c r="B237" s="71" t="s">
        <v>178</v>
      </c>
      <c r="C237" s="69" t="s">
        <v>179</v>
      </c>
      <c r="D237" s="72">
        <f>(D231*0.05)/12</f>
        <v>11.78</v>
      </c>
      <c r="E237" s="70"/>
      <c r="F237" s="70"/>
      <c r="G237"/>
    </row>
    <row r="238" spans="1:7" ht="30">
      <c r="A238" s="32" t="s">
        <v>252</v>
      </c>
      <c r="B238" s="79" t="s">
        <v>229</v>
      </c>
      <c r="C238" s="80" t="s">
        <v>422</v>
      </c>
      <c r="D238" s="72">
        <v>35</v>
      </c>
      <c r="E238" s="83"/>
      <c r="F238" s="84"/>
      <c r="G238"/>
    </row>
    <row r="239" spans="1:7" ht="15.75" customHeight="1">
      <c r="A239" s="32"/>
      <c r="B239" s="85" t="s">
        <v>190</v>
      </c>
      <c r="C239" s="86"/>
      <c r="D239" s="92"/>
      <c r="E239" s="87"/>
      <c r="F239" s="72">
        <f>F229+F235</f>
        <v>481.73</v>
      </c>
      <c r="G239"/>
    </row>
    <row r="240" spans="1:7" ht="15.75" customHeight="1">
      <c r="A240" s="43"/>
      <c r="B240" s="278" t="s">
        <v>191</v>
      </c>
      <c r="C240" s="278"/>
      <c r="D240" s="72">
        <v>2</v>
      </c>
      <c r="E240" s="89"/>
      <c r="F240" s="90">
        <f>F239*D240</f>
        <v>963.46</v>
      </c>
    </row>
    <row r="241" spans="1:7" ht="15.75" customHeight="1">
      <c r="A241" s="5"/>
      <c r="B241" s="91"/>
      <c r="D241" s="92"/>
      <c r="E241" s="92"/>
      <c r="F241"/>
      <c r="G241"/>
    </row>
    <row r="242" spans="1:7" ht="13.15" customHeight="1" thickBot="1">
      <c r="A242" s="43" t="s">
        <v>253</v>
      </c>
      <c r="B242" s="98" t="s">
        <v>461</v>
      </c>
      <c r="C242" s="27"/>
      <c r="D242" s="27"/>
      <c r="E242" s="27"/>
      <c r="F242" s="27"/>
    </row>
    <row r="243" spans="1:7" ht="15.75" customHeight="1" thickTop="1">
      <c r="A243" s="43" t="s">
        <v>254</v>
      </c>
      <c r="B243" s="99" t="s">
        <v>255</v>
      </c>
      <c r="C243" s="27"/>
      <c r="D243" s="27"/>
      <c r="E243" s="27"/>
      <c r="F243" s="27"/>
    </row>
    <row r="244" spans="1:7" ht="15.75" customHeight="1">
      <c r="A244" s="43"/>
      <c r="B244" s="100" t="s">
        <v>256</v>
      </c>
      <c r="C244" s="100" t="s">
        <v>257</v>
      </c>
      <c r="D244" s="100" t="s">
        <v>258</v>
      </c>
      <c r="E244" s="101" t="s">
        <v>259</v>
      </c>
      <c r="F244" s="101" t="s">
        <v>260</v>
      </c>
      <c r="G244" s="101" t="s">
        <v>261</v>
      </c>
    </row>
    <row r="245" spans="1:7" ht="15.75" customHeight="1">
      <c r="A245" s="43" t="s">
        <v>262</v>
      </c>
      <c r="B245" s="102" t="s">
        <v>144</v>
      </c>
      <c r="C245" s="103" t="s">
        <v>140</v>
      </c>
      <c r="D245" s="104">
        <v>1</v>
      </c>
      <c r="E245" s="105">
        <f>(D160+D180)/3</f>
        <v>75173.84</v>
      </c>
      <c r="F245" s="105">
        <f>D245*E245</f>
        <v>75173.84</v>
      </c>
      <c r="G245" s="106"/>
    </row>
    <row r="246" spans="1:7" ht="15.75" customHeight="1">
      <c r="A246" s="43" t="s">
        <v>263</v>
      </c>
      <c r="B246" s="102" t="s">
        <v>264</v>
      </c>
      <c r="C246" s="103" t="s">
        <v>22</v>
      </c>
      <c r="D246" s="103">
        <v>12</v>
      </c>
      <c r="E246" s="105"/>
      <c r="F246" s="105"/>
      <c r="G246" s="106"/>
    </row>
    <row r="247" spans="1:7" ht="15.75" customHeight="1">
      <c r="A247" s="43" t="s">
        <v>265</v>
      </c>
      <c r="B247" s="102" t="s">
        <v>266</v>
      </c>
      <c r="C247" s="103" t="s">
        <v>267</v>
      </c>
      <c r="D247" s="107">
        <f>E245</f>
        <v>75173.84</v>
      </c>
      <c r="E247" s="105"/>
      <c r="F247" s="105"/>
      <c r="G247" s="106"/>
    </row>
    <row r="248" spans="1:7" ht="15.75" customHeight="1" thickBot="1">
      <c r="A248" s="43"/>
      <c r="B248" s="98" t="s">
        <v>268</v>
      </c>
      <c r="C248" s="108" t="s">
        <v>267</v>
      </c>
      <c r="D248" s="108"/>
      <c r="E248" s="109">
        <f>D246*D247/12/100</f>
        <v>751.74</v>
      </c>
      <c r="F248" s="109">
        <f>E248</f>
        <v>751.74</v>
      </c>
      <c r="G248" s="106"/>
    </row>
    <row r="249" spans="1:7" ht="15.75" customHeight="1" thickTop="1">
      <c r="A249" s="43"/>
      <c r="B249" s="110" t="s">
        <v>269</v>
      </c>
      <c r="C249" s="111"/>
      <c r="D249" s="111"/>
      <c r="E249" s="112"/>
      <c r="F249" s="113">
        <f>F248</f>
        <v>751.74</v>
      </c>
      <c r="G249" s="106"/>
    </row>
    <row r="250" spans="1:7" ht="15.75" customHeight="1">
      <c r="A250" s="43"/>
      <c r="B250" s="114" t="s">
        <v>270</v>
      </c>
      <c r="C250" s="115" t="s">
        <v>140</v>
      </c>
      <c r="D250" s="115">
        <v>1</v>
      </c>
      <c r="E250" s="116">
        <f>F249</f>
        <v>751.74</v>
      </c>
      <c r="F250" s="113">
        <f>D250*E250</f>
        <v>751.74</v>
      </c>
      <c r="G250" s="106"/>
    </row>
    <row r="251" spans="1:7" ht="15.75" customHeight="1">
      <c r="A251" s="43"/>
      <c r="B251" s="27"/>
      <c r="C251" s="117"/>
      <c r="D251" s="118"/>
      <c r="E251" s="119" t="s">
        <v>271</v>
      </c>
      <c r="F251" s="120">
        <v>1</v>
      </c>
      <c r="G251" s="121">
        <f>F250*F251</f>
        <v>751.74</v>
      </c>
    </row>
    <row r="252" spans="1:7" ht="13.15" customHeight="1" thickBot="1">
      <c r="A252" s="43" t="s">
        <v>253</v>
      </c>
      <c r="B252" s="98" t="s">
        <v>442</v>
      </c>
      <c r="C252" s="27"/>
      <c r="D252" s="27"/>
      <c r="E252" s="27"/>
      <c r="F252" s="27"/>
    </row>
    <row r="253" spans="1:7" ht="15.75" customHeight="1" thickTop="1">
      <c r="A253" s="43" t="s">
        <v>272</v>
      </c>
      <c r="B253" s="99" t="s">
        <v>255</v>
      </c>
      <c r="C253" s="27"/>
      <c r="D253" s="27"/>
      <c r="E253" s="27"/>
      <c r="F253" s="27"/>
    </row>
    <row r="254" spans="1:7" ht="15.75" customHeight="1">
      <c r="A254" s="43"/>
      <c r="B254" s="100" t="s">
        <v>256</v>
      </c>
      <c r="C254" s="100" t="s">
        <v>257</v>
      </c>
      <c r="D254" s="100" t="s">
        <v>258</v>
      </c>
      <c r="E254" s="101" t="s">
        <v>259</v>
      </c>
      <c r="F254" s="101" t="s">
        <v>260</v>
      </c>
      <c r="G254" s="101" t="s">
        <v>261</v>
      </c>
    </row>
    <row r="255" spans="1:7" ht="15.75" customHeight="1">
      <c r="A255" s="43" t="s">
        <v>273</v>
      </c>
      <c r="B255" s="102" t="s">
        <v>214</v>
      </c>
      <c r="C255" s="103" t="s">
        <v>140</v>
      </c>
      <c r="D255" s="104">
        <v>1</v>
      </c>
      <c r="E255" s="105">
        <f>(D201+D216+D231)/3</f>
        <v>2466.86</v>
      </c>
      <c r="F255" s="105">
        <f>D255*E255</f>
        <v>2466.86</v>
      </c>
      <c r="G255" s="106"/>
    </row>
    <row r="256" spans="1:7" ht="15.75" customHeight="1">
      <c r="A256" s="43" t="s">
        <v>274</v>
      </c>
      <c r="B256" s="102" t="s">
        <v>264</v>
      </c>
      <c r="C256" s="103" t="s">
        <v>22</v>
      </c>
      <c r="D256" s="103">
        <v>12</v>
      </c>
      <c r="E256" s="105"/>
      <c r="F256" s="105"/>
      <c r="G256" s="106"/>
    </row>
    <row r="257" spans="1:8" ht="15.75" customHeight="1">
      <c r="A257" s="43" t="s">
        <v>275</v>
      </c>
      <c r="B257" s="102" t="s">
        <v>266</v>
      </c>
      <c r="C257" s="103" t="s">
        <v>267</v>
      </c>
      <c r="D257" s="107">
        <f>E255</f>
        <v>2466.86</v>
      </c>
      <c r="E257" s="105"/>
      <c r="F257" s="105"/>
      <c r="G257" s="106"/>
    </row>
    <row r="258" spans="1:8" ht="15.75" customHeight="1" thickBot="1">
      <c r="A258" s="43"/>
      <c r="B258" s="98" t="s">
        <v>268</v>
      </c>
      <c r="C258" s="108" t="s">
        <v>267</v>
      </c>
      <c r="D258" s="108"/>
      <c r="E258" s="109">
        <f>D256*D257/12/100</f>
        <v>24.67</v>
      </c>
      <c r="F258" s="109">
        <f>E258</f>
        <v>24.67</v>
      </c>
      <c r="G258" s="106"/>
    </row>
    <row r="259" spans="1:8" ht="15.75" customHeight="1" thickTop="1">
      <c r="A259" s="43"/>
      <c r="B259" s="110" t="s">
        <v>276</v>
      </c>
      <c r="C259" s="111"/>
      <c r="D259" s="111"/>
      <c r="E259" s="112"/>
      <c r="F259" s="113">
        <f>F258</f>
        <v>24.67</v>
      </c>
      <c r="G259" s="106"/>
    </row>
    <row r="260" spans="1:8" ht="15.75" customHeight="1">
      <c r="A260" s="43"/>
      <c r="B260" s="114" t="s">
        <v>277</v>
      </c>
      <c r="C260" s="115" t="s">
        <v>140</v>
      </c>
      <c r="D260" s="115">
        <v>5</v>
      </c>
      <c r="E260" s="116">
        <f>F259</f>
        <v>24.67</v>
      </c>
      <c r="F260" s="113">
        <f>D260*E260</f>
        <v>123.35</v>
      </c>
      <c r="G260" s="106"/>
    </row>
    <row r="261" spans="1:8" ht="15.75" customHeight="1">
      <c r="A261" s="43"/>
      <c r="B261" s="27"/>
      <c r="C261" s="117"/>
      <c r="D261" s="118"/>
      <c r="E261" s="119" t="s">
        <v>271</v>
      </c>
      <c r="F261" s="120">
        <v>1</v>
      </c>
      <c r="G261" s="121">
        <f>F260*F261</f>
        <v>123.35</v>
      </c>
    </row>
    <row r="262" spans="1:8" ht="14.65" customHeight="1">
      <c r="A262"/>
      <c r="B262"/>
      <c r="C262"/>
      <c r="D262"/>
      <c r="E262"/>
      <c r="F262"/>
      <c r="G262"/>
    </row>
    <row r="263" spans="1:8" ht="15.75" customHeight="1">
      <c r="A263" s="7" t="s">
        <v>278</v>
      </c>
      <c r="B263" s="272" t="s">
        <v>279</v>
      </c>
      <c r="C263" s="272"/>
      <c r="D263" s="272"/>
      <c r="E263" s="272"/>
      <c r="F263" s="4"/>
      <c r="G263" s="3"/>
    </row>
    <row r="264" spans="1:8" ht="15.75" customHeight="1">
      <c r="A264" s="7" t="s">
        <v>280</v>
      </c>
      <c r="B264" s="273" t="s">
        <v>443</v>
      </c>
      <c r="C264" s="273"/>
      <c r="D264" s="273"/>
      <c r="E264" s="273"/>
      <c r="F264" s="122"/>
      <c r="G264"/>
      <c r="H264" s="123"/>
    </row>
    <row r="265" spans="1:8" ht="15.75" customHeight="1">
      <c r="A265" s="7"/>
      <c r="B265" s="272" t="s">
        <v>256</v>
      </c>
      <c r="C265" s="272"/>
      <c r="D265" s="124" t="s">
        <v>281</v>
      </c>
      <c r="E265" s="124" t="s">
        <v>282</v>
      </c>
      <c r="F265" s="124" t="s">
        <v>260</v>
      </c>
      <c r="G265"/>
    </row>
    <row r="266" spans="1:8" ht="15.75" customHeight="1">
      <c r="A266" s="125" t="s">
        <v>283</v>
      </c>
      <c r="B266" s="126" t="s">
        <v>284</v>
      </c>
      <c r="C266" s="127"/>
      <c r="D266" s="124">
        <v>0</v>
      </c>
      <c r="E266" s="261">
        <v>0</v>
      </c>
      <c r="F266" s="23">
        <f>(D266)*(E266)/3/12</f>
        <v>0</v>
      </c>
      <c r="G266"/>
    </row>
    <row r="267" spans="1:8" ht="15.75" customHeight="1">
      <c r="A267" s="125" t="s">
        <v>285</v>
      </c>
      <c r="B267" s="126" t="s">
        <v>286</v>
      </c>
      <c r="C267" s="127"/>
      <c r="D267" s="124">
        <v>10000</v>
      </c>
      <c r="E267" s="261">
        <f>(52.88/100)</f>
        <v>0.53</v>
      </c>
      <c r="F267" s="23">
        <f t="shared" ref="F267:F274" si="3">(D267)*(E267)/3/12</f>
        <v>147.22</v>
      </c>
      <c r="G267"/>
    </row>
    <row r="268" spans="1:8" ht="15.75" customHeight="1">
      <c r="A268" s="125" t="s">
        <v>287</v>
      </c>
      <c r="B268" s="126" t="s">
        <v>288</v>
      </c>
      <c r="C268" s="127"/>
      <c r="D268" s="124">
        <v>0</v>
      </c>
      <c r="E268" s="261">
        <v>0</v>
      </c>
      <c r="F268" s="23">
        <f t="shared" si="3"/>
        <v>0</v>
      </c>
      <c r="G268"/>
    </row>
    <row r="269" spans="1:8" ht="15.75" customHeight="1">
      <c r="A269" s="125" t="s">
        <v>289</v>
      </c>
      <c r="B269" s="126" t="s">
        <v>391</v>
      </c>
      <c r="C269" s="127"/>
      <c r="D269" s="124">
        <v>0</v>
      </c>
      <c r="E269" s="261">
        <v>0</v>
      </c>
      <c r="F269" s="23">
        <f t="shared" si="3"/>
        <v>0</v>
      </c>
      <c r="G269"/>
    </row>
    <row r="270" spans="1:8" ht="15.75" customHeight="1">
      <c r="A270" s="125" t="s">
        <v>290</v>
      </c>
      <c r="B270" s="126" t="s">
        <v>392</v>
      </c>
      <c r="C270" s="127"/>
      <c r="D270" s="124">
        <v>0</v>
      </c>
      <c r="E270" s="261">
        <v>0</v>
      </c>
      <c r="F270" s="23">
        <f t="shared" si="3"/>
        <v>0</v>
      </c>
      <c r="G270"/>
    </row>
    <row r="271" spans="1:8" ht="15.75" customHeight="1">
      <c r="A271" s="125" t="s">
        <v>291</v>
      </c>
      <c r="B271" s="126" t="s">
        <v>393</v>
      </c>
      <c r="C271" s="127"/>
      <c r="D271" s="124">
        <v>20</v>
      </c>
      <c r="E271" s="261">
        <v>23.96</v>
      </c>
      <c r="F271" s="23">
        <f t="shared" si="3"/>
        <v>13.31</v>
      </c>
      <c r="G271"/>
    </row>
    <row r="272" spans="1:8" ht="15.75" customHeight="1">
      <c r="A272" s="125" t="s">
        <v>292</v>
      </c>
      <c r="B272" s="126" t="s">
        <v>394</v>
      </c>
      <c r="C272" s="127"/>
      <c r="D272" s="124">
        <v>10</v>
      </c>
      <c r="E272" s="261">
        <v>27.02</v>
      </c>
      <c r="F272" s="23">
        <f t="shared" si="3"/>
        <v>7.51</v>
      </c>
      <c r="G272"/>
    </row>
    <row r="273" spans="1:10" ht="15.75" customHeight="1">
      <c r="A273" s="125" t="s">
        <v>293</v>
      </c>
      <c r="B273" s="126" t="s">
        <v>294</v>
      </c>
      <c r="C273" s="127"/>
      <c r="D273" s="124">
        <v>0</v>
      </c>
      <c r="E273" s="261">
        <v>0</v>
      </c>
      <c r="F273" s="23">
        <f t="shared" si="3"/>
        <v>0</v>
      </c>
      <c r="G273"/>
    </row>
    <row r="274" spans="1:10" s="65" customFormat="1" ht="15">
      <c r="A274" s="125"/>
      <c r="B274" s="126"/>
      <c r="C274" s="127"/>
      <c r="D274" s="124"/>
      <c r="E274" s="261"/>
      <c r="F274" s="23">
        <f t="shared" si="3"/>
        <v>0</v>
      </c>
    </row>
    <row r="275" spans="1:10" ht="15.75" customHeight="1">
      <c r="A275" s="125"/>
      <c r="B275" s="274" t="s">
        <v>295</v>
      </c>
      <c r="C275" s="274"/>
      <c r="D275" s="274"/>
      <c r="E275" s="274"/>
      <c r="F275" s="23">
        <f>SUM(F266:F274)</f>
        <v>168.04</v>
      </c>
      <c r="G275"/>
    </row>
    <row r="276" spans="1:10" ht="15.75" customHeight="1">
      <c r="A276" s="125"/>
      <c r="B276" s="275" t="s">
        <v>28</v>
      </c>
      <c r="C276" s="275"/>
      <c r="D276" s="61"/>
      <c r="E276" s="19"/>
      <c r="F276" s="19"/>
      <c r="G276" s="62">
        <f>F275</f>
        <v>168.04</v>
      </c>
    </row>
    <row r="277" spans="1:10" ht="15.75" customHeight="1">
      <c r="A277" s="29"/>
      <c r="B277" s="63"/>
      <c r="C277" s="63"/>
      <c r="D277" s="61"/>
      <c r="E277" s="19"/>
      <c r="F277" s="19"/>
      <c r="G277" s="64"/>
    </row>
    <row r="278" spans="1:10" ht="17.25" customHeight="1">
      <c r="A278" s="275" t="s">
        <v>296</v>
      </c>
      <c r="B278" s="275"/>
      <c r="C278" s="275"/>
      <c r="D278" s="276">
        <f>G17+G28+G39+G52+G65+G75+G99+G123+G147+G154+F175+F195+F211+F226+F240+G251+G261+G276</f>
        <v>12675.22</v>
      </c>
      <c r="E278" s="276"/>
      <c r="F278" s="276"/>
      <c r="G278" s="276"/>
    </row>
    <row r="279" spans="1:10" ht="17.25" customHeight="1">
      <c r="A279"/>
      <c r="B279"/>
      <c r="C279"/>
      <c r="D279"/>
      <c r="E279"/>
      <c r="F279"/>
      <c r="G279"/>
    </row>
    <row r="280" spans="1:10" ht="15.75" customHeight="1" thickBot="1">
      <c r="A280" s="198"/>
      <c r="B280" s="272" t="s">
        <v>385</v>
      </c>
      <c r="C280" s="272"/>
      <c r="D280" s="272"/>
      <c r="E280" s="272"/>
      <c r="F280" s="4"/>
      <c r="G280" s="3"/>
    </row>
    <row r="281" spans="1:10" s="204" customFormat="1" ht="11.25" customHeight="1" thickBot="1">
      <c r="A281" s="199" t="s">
        <v>397</v>
      </c>
      <c r="B281" s="200" t="s">
        <v>256</v>
      </c>
      <c r="C281" s="201" t="s">
        <v>257</v>
      </c>
      <c r="D281" s="201" t="s">
        <v>258</v>
      </c>
      <c r="E281" s="202" t="s">
        <v>386</v>
      </c>
      <c r="F281" s="202" t="s">
        <v>260</v>
      </c>
      <c r="G281" s="203" t="s">
        <v>387</v>
      </c>
    </row>
    <row r="282" spans="1:10" ht="15.75" customHeight="1" thickBot="1">
      <c r="A282" s="5"/>
      <c r="B282" s="205" t="s">
        <v>388</v>
      </c>
      <c r="C282" s="206" t="s">
        <v>22</v>
      </c>
      <c r="D282" s="214">
        <f>BDI!C15</f>
        <v>0.22919999999999999</v>
      </c>
      <c r="E282" s="207">
        <f>D278</f>
        <v>12675.22</v>
      </c>
      <c r="F282" s="207">
        <f>(E282*D282)</f>
        <v>2905.16</v>
      </c>
      <c r="G282" s="208"/>
      <c r="I282" s="209"/>
    </row>
    <row r="283" spans="1:10" ht="15.75" customHeight="1" thickBot="1">
      <c r="A283" s="5"/>
      <c r="B283" s="204"/>
      <c r="C283" s="204"/>
      <c r="D283" s="204"/>
      <c r="E283" s="208"/>
      <c r="F283" s="208"/>
      <c r="G283" s="210">
        <f>E282+F282</f>
        <v>15580.38</v>
      </c>
      <c r="H283" s="129"/>
      <c r="I283" s="123"/>
      <c r="J283" s="123"/>
    </row>
    <row r="284" spans="1:10" ht="15">
      <c r="A284" s="5"/>
      <c r="B284" s="5"/>
      <c r="C284" s="5"/>
      <c r="D284" s="4"/>
      <c r="E284" s="122"/>
      <c r="F284" s="122"/>
      <c r="G284" s="57"/>
    </row>
    <row r="285" spans="1:10" ht="15">
      <c r="A285" s="5"/>
      <c r="B285" s="283" t="s">
        <v>398</v>
      </c>
      <c r="C285" s="283"/>
      <c r="D285" s="283"/>
      <c r="E285" s="283"/>
      <c r="F285" s="215">
        <f>G283/E295</f>
        <v>0.41</v>
      </c>
      <c r="G285" s="3"/>
    </row>
    <row r="286" spans="1:10" ht="15">
      <c r="A286" s="5"/>
      <c r="B286" s="6"/>
      <c r="C286" s="6"/>
      <c r="D286" s="6"/>
      <c r="E286" s="6"/>
      <c r="F286" s="6"/>
      <c r="G286" s="3"/>
    </row>
    <row r="287" spans="1:10" ht="15" hidden="1">
      <c r="A287" s="5"/>
      <c r="B287" s="283" t="s">
        <v>418</v>
      </c>
      <c r="C287" s="283"/>
      <c r="D287" s="283"/>
      <c r="E287" s="283"/>
      <c r="F287" s="215">
        <f>F289/12</f>
        <v>14873.3</v>
      </c>
      <c r="G287" s="3"/>
    </row>
    <row r="288" spans="1:10" ht="15">
      <c r="A288" s="5"/>
      <c r="B288" s="6"/>
      <c r="C288" s="6"/>
      <c r="D288" s="6"/>
      <c r="E288" s="6"/>
      <c r="F288" s="216"/>
      <c r="G288" s="3"/>
    </row>
    <row r="289" spans="1:7" ht="15">
      <c r="A289" s="5"/>
      <c r="B289" s="283" t="s">
        <v>399</v>
      </c>
      <c r="C289" s="283"/>
      <c r="D289" s="283"/>
      <c r="E289" s="283"/>
      <c r="F289" s="215">
        <f>F285*'Metragens Anual'!B3</f>
        <v>178479.56</v>
      </c>
      <c r="G289" s="3"/>
    </row>
    <row r="290" spans="1:7" ht="15">
      <c r="A290" s="32"/>
      <c r="B290" s="283" t="s">
        <v>400</v>
      </c>
      <c r="C290" s="283"/>
      <c r="D290" s="217" t="s">
        <v>257</v>
      </c>
      <c r="E290" s="128" t="s">
        <v>401</v>
      </c>
    </row>
    <row r="291" spans="1:7" ht="15">
      <c r="A291" s="32" t="s">
        <v>301</v>
      </c>
      <c r="B291" s="284" t="s">
        <v>402</v>
      </c>
      <c r="C291" s="284"/>
      <c r="D291" s="218" t="s">
        <v>403</v>
      </c>
      <c r="E291" s="219">
        <v>120</v>
      </c>
    </row>
    <row r="292" spans="1:7" ht="15">
      <c r="A292" s="32" t="s">
        <v>404</v>
      </c>
      <c r="B292" s="284" t="s">
        <v>405</v>
      </c>
      <c r="C292" s="284"/>
      <c r="D292" s="218" t="s">
        <v>406</v>
      </c>
      <c r="E292" s="23">
        <v>160</v>
      </c>
    </row>
    <row r="293" spans="1:7" ht="15">
      <c r="A293" s="43" t="s">
        <v>407</v>
      </c>
      <c r="B293" s="285" t="s">
        <v>408</v>
      </c>
      <c r="C293" s="285"/>
      <c r="D293" s="243" t="s">
        <v>409</v>
      </c>
      <c r="E293" s="244">
        <f>E291*E292</f>
        <v>19200</v>
      </c>
    </row>
    <row r="294" spans="1:7" ht="15">
      <c r="A294" s="212" t="s">
        <v>410</v>
      </c>
      <c r="B294" s="286" t="s">
        <v>411</v>
      </c>
      <c r="C294" s="286"/>
      <c r="D294" s="251" t="s">
        <v>412</v>
      </c>
      <c r="E294" s="249">
        <f>D27</f>
        <v>2</v>
      </c>
    </row>
    <row r="295" spans="1:7" ht="15">
      <c r="A295" s="212" t="s">
        <v>413</v>
      </c>
      <c r="B295" s="286" t="s">
        <v>414</v>
      </c>
      <c r="C295" s="286"/>
      <c r="D295" s="251" t="s">
        <v>302</v>
      </c>
      <c r="E295" s="249">
        <f>E293*E294</f>
        <v>38400</v>
      </c>
    </row>
    <row r="296" spans="1:7" ht="15.75" customHeight="1">
      <c r="E296" s="245"/>
    </row>
  </sheetData>
  <mergeCells count="146">
    <mergeCell ref="B287:E287"/>
    <mergeCell ref="B290:C290"/>
    <mergeCell ref="B291:C291"/>
    <mergeCell ref="B292:C292"/>
    <mergeCell ref="B293:C293"/>
    <mergeCell ref="B294:C294"/>
    <mergeCell ref="B295:C295"/>
    <mergeCell ref="B1:G1"/>
    <mergeCell ref="B2:G2"/>
    <mergeCell ref="B3:G3"/>
    <mergeCell ref="B4:F4"/>
    <mergeCell ref="B5:F5"/>
    <mergeCell ref="D6:F6"/>
    <mergeCell ref="B285:E285"/>
    <mergeCell ref="B289:E289"/>
    <mergeCell ref="B41:D41"/>
    <mergeCell ref="B7:F7"/>
    <mergeCell ref="B8:E8"/>
    <mergeCell ref="B15:E15"/>
    <mergeCell ref="B19:E19"/>
    <mergeCell ref="B26:E26"/>
    <mergeCell ref="B30:E30"/>
    <mergeCell ref="B37:E37"/>
    <mergeCell ref="B48:C48"/>
    <mergeCell ref="B49:C49"/>
    <mergeCell ref="B50:C50"/>
    <mergeCell ref="B51:C51"/>
    <mergeCell ref="B42:C42"/>
    <mergeCell ref="B43:C43"/>
    <mergeCell ref="B44:C44"/>
    <mergeCell ref="B45:C45"/>
    <mergeCell ref="B46:C46"/>
    <mergeCell ref="B47:C47"/>
    <mergeCell ref="B55:C55"/>
    <mergeCell ref="B56:C56"/>
    <mergeCell ref="B57:C57"/>
    <mergeCell ref="B58:C58"/>
    <mergeCell ref="B59:C59"/>
    <mergeCell ref="B60:C60"/>
    <mergeCell ref="B52:C52"/>
    <mergeCell ref="B54:D54"/>
    <mergeCell ref="B65:C65"/>
    <mergeCell ref="B67:D67"/>
    <mergeCell ref="B61:C61"/>
    <mergeCell ref="B62:C62"/>
    <mergeCell ref="B63:C63"/>
    <mergeCell ref="B64:C64"/>
    <mergeCell ref="B74:C74"/>
    <mergeCell ref="B75:C75"/>
    <mergeCell ref="B68:C68"/>
    <mergeCell ref="B69:C69"/>
    <mergeCell ref="B70:C70"/>
    <mergeCell ref="B71:C71"/>
    <mergeCell ref="B72:C72"/>
    <mergeCell ref="B73:C73"/>
    <mergeCell ref="B83:C83"/>
    <mergeCell ref="B84:C84"/>
    <mergeCell ref="B85:C85"/>
    <mergeCell ref="B86:C86"/>
    <mergeCell ref="B87:C87"/>
    <mergeCell ref="B88:C88"/>
    <mergeCell ref="B77:E77"/>
    <mergeCell ref="B78:E78"/>
    <mergeCell ref="B79:C79"/>
    <mergeCell ref="B80:C80"/>
    <mergeCell ref="B81:C81"/>
    <mergeCell ref="B82:C82"/>
    <mergeCell ref="B95:C95"/>
    <mergeCell ref="B96:C96"/>
    <mergeCell ref="B97:E97"/>
    <mergeCell ref="B98:C98"/>
    <mergeCell ref="B99:C99"/>
    <mergeCell ref="B89:C89"/>
    <mergeCell ref="B90:C90"/>
    <mergeCell ref="B91:C91"/>
    <mergeCell ref="B92:C92"/>
    <mergeCell ref="B93:C93"/>
    <mergeCell ref="B94:C94"/>
    <mergeCell ref="B107:C107"/>
    <mergeCell ref="B108:C108"/>
    <mergeCell ref="B109:C109"/>
    <mergeCell ref="B110:C110"/>
    <mergeCell ref="B111:C111"/>
    <mergeCell ref="B112:C112"/>
    <mergeCell ref="B101:E101"/>
    <mergeCell ref="B102:E102"/>
    <mergeCell ref="B103:C103"/>
    <mergeCell ref="B104:C104"/>
    <mergeCell ref="B105:C105"/>
    <mergeCell ref="B106:C106"/>
    <mergeCell ref="B119:C119"/>
    <mergeCell ref="B120:C120"/>
    <mergeCell ref="B121:E121"/>
    <mergeCell ref="B122:C122"/>
    <mergeCell ref="B123:C123"/>
    <mergeCell ref="B113:C113"/>
    <mergeCell ref="B114:C114"/>
    <mergeCell ref="B115:C115"/>
    <mergeCell ref="B116:C116"/>
    <mergeCell ref="B117:C117"/>
    <mergeCell ref="B118:C118"/>
    <mergeCell ref="B131:C131"/>
    <mergeCell ref="B132:C132"/>
    <mergeCell ref="B133:C133"/>
    <mergeCell ref="B134:C134"/>
    <mergeCell ref="B135:C135"/>
    <mergeCell ref="B136:C136"/>
    <mergeCell ref="B125:E125"/>
    <mergeCell ref="B126:E126"/>
    <mergeCell ref="B127:C127"/>
    <mergeCell ref="B128:C128"/>
    <mergeCell ref="B129:C129"/>
    <mergeCell ref="B130:C130"/>
    <mergeCell ref="B143:C143"/>
    <mergeCell ref="B144:C144"/>
    <mergeCell ref="B145:E145"/>
    <mergeCell ref="B146:C146"/>
    <mergeCell ref="B147:C147"/>
    <mergeCell ref="B137:C137"/>
    <mergeCell ref="B138:C138"/>
    <mergeCell ref="B139:C139"/>
    <mergeCell ref="B140:C140"/>
    <mergeCell ref="B141:C141"/>
    <mergeCell ref="B142:C142"/>
    <mergeCell ref="B280:E280"/>
    <mergeCell ref="B263:E263"/>
    <mergeCell ref="B264:E264"/>
    <mergeCell ref="B265:C265"/>
    <mergeCell ref="B275:E275"/>
    <mergeCell ref="B276:C276"/>
    <mergeCell ref="A278:C278"/>
    <mergeCell ref="D278:G278"/>
    <mergeCell ref="A150:D150"/>
    <mergeCell ref="E150:F150"/>
    <mergeCell ref="B198:E198"/>
    <mergeCell ref="B211:C211"/>
    <mergeCell ref="B213:E213"/>
    <mergeCell ref="B226:C226"/>
    <mergeCell ref="B228:E228"/>
    <mergeCell ref="B240:C240"/>
    <mergeCell ref="B156:E156"/>
    <mergeCell ref="B157:E157"/>
    <mergeCell ref="B175:C175"/>
    <mergeCell ref="B177:E177"/>
    <mergeCell ref="B195:C195"/>
    <mergeCell ref="B197:E197"/>
  </mergeCells>
  <phoneticPr fontId="38" type="noConversion"/>
  <hyperlinks>
    <hyperlink ref="B243" location="AbaRemun" display="Remuneração do Capital" xr:uid="{00000000-0004-0000-0000-000000000000}"/>
    <hyperlink ref="B253" location="AbaRemun" display="Remuneração do Capital" xr:uid="{00000000-0004-0000-0000-000001000000}"/>
  </hyperlinks>
  <pageMargins left="0.98425196850393704" right="0.59055118110236227" top="0.59055118110236227" bottom="0.39370078740157483" header="0.39370078740157483" footer="0.19685039370078741"/>
  <pageSetup paperSize="9" scale="80" fitToWidth="0" fitToHeight="0" pageOrder="overThenDown" orientation="landscape" r:id="rId1"/>
  <headerFooter alignWithMargins="0">
    <oddHeader>&amp;C&amp;A</oddHeader>
    <oddFooter>&amp;CPágina &amp;P de &amp;N</oddFooter>
  </headerFooter>
  <rowBreaks count="11" manualBreakCount="11">
    <brk id="39" max="16383" man="1"/>
    <brk id="75" max="16383" man="1"/>
    <brk id="99" max="16383" man="1"/>
    <brk id="123" max="16383" man="1"/>
    <brk id="154" max="16383" man="1"/>
    <brk id="175" max="16383" man="1"/>
    <brk id="195" max="16383" man="1"/>
    <brk id="211" max="16383" man="1"/>
    <brk id="226" max="16383" man="1"/>
    <brk id="240" max="16383" man="1"/>
    <brk id="261" max="16383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ilha2"/>
  <dimension ref="A1:H38"/>
  <sheetViews>
    <sheetView workbookViewId="0">
      <selection activeCell="G29" sqref="G29:H29"/>
    </sheetView>
  </sheetViews>
  <sheetFormatPr defaultRowHeight="14.25"/>
  <cols>
    <col min="1" max="5" width="8.125" customWidth="1"/>
    <col min="6" max="6" width="14.75" customWidth="1"/>
    <col min="7" max="7" width="8" customWidth="1"/>
    <col min="8" max="8" width="6" customWidth="1"/>
    <col min="9" max="9" width="8.75" customWidth="1"/>
  </cols>
  <sheetData>
    <row r="1" spans="1:8">
      <c r="A1" s="304" t="s">
        <v>303</v>
      </c>
      <c r="B1" s="304"/>
      <c r="C1" s="304"/>
      <c r="D1" s="304"/>
      <c r="E1" s="304"/>
      <c r="F1" s="304"/>
      <c r="G1" s="304"/>
      <c r="H1" s="304"/>
    </row>
    <row r="2" spans="1:8" ht="15">
      <c r="A2" s="293" t="s">
        <v>417</v>
      </c>
      <c r="B2" s="293"/>
      <c r="C2" s="293"/>
      <c r="D2" s="293"/>
      <c r="E2" s="293"/>
      <c r="F2" s="293"/>
    </row>
    <row r="3" spans="1:8" ht="15">
      <c r="A3" s="296" t="s">
        <v>300</v>
      </c>
      <c r="B3" s="296"/>
      <c r="C3" s="296"/>
      <c r="D3" s="296"/>
      <c r="E3" s="297">
        <f>C11+C22</f>
        <v>12675.22</v>
      </c>
      <c r="F3" s="297"/>
    </row>
    <row r="4" spans="1:8" ht="15">
      <c r="A4" s="296" t="s">
        <v>304</v>
      </c>
      <c r="B4" s="296"/>
      <c r="C4" s="296"/>
      <c r="D4" s="296"/>
      <c r="E4" s="296"/>
      <c r="F4" s="296"/>
      <c r="H4" s="131"/>
    </row>
    <row r="5" spans="1:8" ht="15">
      <c r="A5" s="130"/>
      <c r="B5" s="130"/>
      <c r="C5" s="130"/>
      <c r="D5" s="130"/>
      <c r="E5" s="130"/>
      <c r="F5" s="130"/>
      <c r="H5" s="131"/>
    </row>
    <row r="6" spans="1:8">
      <c r="A6" s="132"/>
      <c r="B6" s="132"/>
      <c r="C6" s="301" t="s">
        <v>300</v>
      </c>
      <c r="D6" s="301"/>
      <c r="E6" s="303" t="s">
        <v>305</v>
      </c>
      <c r="F6" s="303"/>
      <c r="H6" s="131"/>
    </row>
    <row r="7" spans="1:8">
      <c r="A7" s="55" t="s">
        <v>306</v>
      </c>
      <c r="B7" s="55" t="s">
        <v>307</v>
      </c>
      <c r="C7" s="299">
        <f>Iterm_1_1!G17+Iterm_1_1!G28+Iterm_1_1!G39</f>
        <v>6424.65</v>
      </c>
      <c r="D7" s="299"/>
      <c r="E7" s="300">
        <f>C7/E3</f>
        <v>0.50690000000000002</v>
      </c>
      <c r="F7" s="300"/>
      <c r="H7" s="131"/>
    </row>
    <row r="8" spans="1:8">
      <c r="A8" s="55" t="s">
        <v>306</v>
      </c>
      <c r="B8" s="55" t="s">
        <v>308</v>
      </c>
      <c r="C8" s="299">
        <f>Iterm_1_1!G52</f>
        <v>651.73</v>
      </c>
      <c r="D8" s="299"/>
      <c r="E8" s="300">
        <f>C8/E3</f>
        <v>5.1400000000000001E-2</v>
      </c>
      <c r="F8" s="300"/>
      <c r="H8" s="131"/>
    </row>
    <row r="9" spans="1:8">
      <c r="A9" s="55" t="s">
        <v>306</v>
      </c>
      <c r="B9" s="55" t="s">
        <v>309</v>
      </c>
      <c r="C9" s="299">
        <f>Iterm_1_1!G65</f>
        <v>586.44000000000005</v>
      </c>
      <c r="D9" s="299"/>
      <c r="E9" s="300">
        <f>C9/E3</f>
        <v>4.6300000000000001E-2</v>
      </c>
      <c r="F9" s="300"/>
    </row>
    <row r="10" spans="1:8">
      <c r="A10" s="55" t="s">
        <v>306</v>
      </c>
      <c r="B10" s="55" t="s">
        <v>310</v>
      </c>
      <c r="C10" s="299">
        <f>Iterm_1_1!G75</f>
        <v>34.03</v>
      </c>
      <c r="D10" s="299"/>
      <c r="E10" s="300">
        <f>C10/E3</f>
        <v>2.7000000000000001E-3</v>
      </c>
      <c r="F10" s="300"/>
    </row>
    <row r="11" spans="1:8" ht="15.75">
      <c r="A11" s="301" t="s">
        <v>311</v>
      </c>
      <c r="B11" s="301"/>
      <c r="C11" s="302">
        <f>SUM(C7:D10)</f>
        <v>7696.85</v>
      </c>
      <c r="D11" s="302"/>
      <c r="E11" s="298">
        <f>SUM(E7:F10)</f>
        <v>0.60729999999999995</v>
      </c>
      <c r="F11" s="298"/>
    </row>
    <row r="12" spans="1:8" ht="15.75">
      <c r="A12" s="132"/>
      <c r="B12" s="132"/>
      <c r="C12" s="133"/>
      <c r="D12" s="133"/>
      <c r="E12" s="134"/>
      <c r="F12" s="134"/>
    </row>
    <row r="13" spans="1:8" ht="15">
      <c r="A13" s="296" t="s">
        <v>300</v>
      </c>
      <c r="B13" s="296"/>
      <c r="C13" s="296"/>
      <c r="D13" s="296"/>
      <c r="E13" s="297">
        <f>E3</f>
        <v>12675.22</v>
      </c>
      <c r="F13" s="297"/>
    </row>
    <row r="14" spans="1:8" ht="15">
      <c r="A14" s="296" t="s">
        <v>312</v>
      </c>
      <c r="B14" s="296"/>
      <c r="C14" s="296"/>
      <c r="D14" s="296"/>
      <c r="E14" s="296"/>
      <c r="F14" s="296"/>
    </row>
    <row r="15" spans="1:8">
      <c r="A15" s="277"/>
      <c r="B15" s="277"/>
      <c r="C15" s="277"/>
      <c r="D15" s="277"/>
      <c r="E15" s="277"/>
      <c r="F15" s="277"/>
    </row>
    <row r="16" spans="1:8">
      <c r="A16" s="132"/>
      <c r="B16" s="132"/>
      <c r="C16" s="301" t="s">
        <v>300</v>
      </c>
      <c r="D16" s="301"/>
      <c r="E16" s="303" t="s">
        <v>305</v>
      </c>
      <c r="F16" s="303"/>
    </row>
    <row r="17" spans="1:8">
      <c r="A17" s="55" t="s">
        <v>306</v>
      </c>
      <c r="B17" s="55" t="s">
        <v>313</v>
      </c>
      <c r="C17" s="299">
        <f>Iterm_1_1!G99+Iterm_1_1!G123+Iterm_1_1!G147</f>
        <v>171.77</v>
      </c>
      <c r="D17" s="299"/>
      <c r="E17" s="300">
        <f>C17/E3</f>
        <v>1.3599999999999999E-2</v>
      </c>
      <c r="F17" s="300"/>
    </row>
    <row r="18" spans="1:8">
      <c r="A18" s="55" t="s">
        <v>306</v>
      </c>
      <c r="B18" s="55" t="s">
        <v>314</v>
      </c>
      <c r="C18" s="299">
        <f>Iterm_1_1!G154</f>
        <v>0</v>
      </c>
      <c r="D18" s="299"/>
      <c r="E18" s="300">
        <f>C18/E3</f>
        <v>0</v>
      </c>
      <c r="F18" s="300"/>
      <c r="H18" s="135"/>
    </row>
    <row r="19" spans="1:8">
      <c r="A19" s="55" t="s">
        <v>306</v>
      </c>
      <c r="B19" s="55" t="s">
        <v>315</v>
      </c>
      <c r="C19" s="299">
        <f>Iterm_1_1!F175+Iterm_1_1!F195+Iterm_1_1!F211+Iterm_1_1!F226+Iterm_1_1!F240</f>
        <v>3763.47</v>
      </c>
      <c r="D19" s="299"/>
      <c r="E19" s="300">
        <f>C19/E3</f>
        <v>0.2969</v>
      </c>
      <c r="F19" s="300"/>
      <c r="H19" s="131"/>
    </row>
    <row r="20" spans="1:8">
      <c r="A20" s="55" t="s">
        <v>306</v>
      </c>
      <c r="B20" s="55" t="s">
        <v>253</v>
      </c>
      <c r="C20" s="299">
        <f>Iterm_1_1!G251+Iterm_1_1!G261</f>
        <v>875.09</v>
      </c>
      <c r="D20" s="299"/>
      <c r="E20" s="300">
        <f>C20/E3</f>
        <v>6.9000000000000006E-2</v>
      </c>
      <c r="F20" s="300"/>
    </row>
    <row r="21" spans="1:8">
      <c r="A21" s="55" t="s">
        <v>306</v>
      </c>
      <c r="B21" s="55" t="s">
        <v>316</v>
      </c>
      <c r="C21" s="299">
        <f>Iterm_1_1!G276</f>
        <v>168.04</v>
      </c>
      <c r="D21" s="299"/>
      <c r="E21" s="300">
        <f>C21/E3</f>
        <v>1.3299999999999999E-2</v>
      </c>
      <c r="F21" s="300"/>
    </row>
    <row r="22" spans="1:8" ht="15.75">
      <c r="A22" s="301" t="s">
        <v>311</v>
      </c>
      <c r="B22" s="301"/>
      <c r="C22" s="302">
        <f>SUM(C17:D21)</f>
        <v>4978.37</v>
      </c>
      <c r="D22" s="302"/>
      <c r="E22" s="298">
        <f>SUM(E17:F21)</f>
        <v>0.39279999999999998</v>
      </c>
      <c r="F22" s="298"/>
    </row>
    <row r="24" spans="1:8">
      <c r="A24" s="136"/>
      <c r="B24" s="136"/>
      <c r="C24" s="136"/>
      <c r="D24" s="136"/>
      <c r="E24" s="136"/>
      <c r="F24" s="136"/>
      <c r="G24" s="136"/>
      <c r="H24" s="136"/>
    </row>
    <row r="25" spans="1:8" ht="15">
      <c r="A25" s="296" t="s">
        <v>304</v>
      </c>
      <c r="B25" s="296"/>
      <c r="C25" s="296"/>
      <c r="D25" s="296"/>
      <c r="E25" s="296"/>
      <c r="F25" s="296"/>
      <c r="G25" s="297" t="s">
        <v>305</v>
      </c>
      <c r="H25" s="297"/>
    </row>
    <row r="26" spans="1:8" ht="15">
      <c r="A26" s="296" t="s">
        <v>317</v>
      </c>
      <c r="B26" s="296"/>
      <c r="C26" s="296"/>
      <c r="D26" s="296"/>
      <c r="E26" s="297">
        <f>C11</f>
        <v>7696.85</v>
      </c>
      <c r="F26" s="297"/>
      <c r="G26" s="298">
        <f>E26/E32</f>
        <v>0.60719999999999996</v>
      </c>
      <c r="H26" s="298"/>
    </row>
    <row r="28" spans="1:8" ht="15">
      <c r="A28" s="296" t="s">
        <v>312</v>
      </c>
      <c r="B28" s="296"/>
      <c r="C28" s="296"/>
      <c r="D28" s="296"/>
      <c r="E28" s="296"/>
      <c r="F28" s="296"/>
      <c r="G28" s="297" t="s">
        <v>305</v>
      </c>
      <c r="H28" s="297"/>
    </row>
    <row r="29" spans="1:8" ht="15">
      <c r="A29" s="296" t="s">
        <v>317</v>
      </c>
      <c r="B29" s="296"/>
      <c r="C29" s="296"/>
      <c r="D29" s="296"/>
      <c r="E29" s="297">
        <f>C22</f>
        <v>4978.37</v>
      </c>
      <c r="F29" s="297"/>
      <c r="G29" s="298">
        <f>E29/E32</f>
        <v>0.39279999999999998</v>
      </c>
      <c r="H29" s="298"/>
    </row>
    <row r="31" spans="1:8" ht="15">
      <c r="A31" s="296" t="s">
        <v>318</v>
      </c>
      <c r="B31" s="296"/>
      <c r="C31" s="296"/>
      <c r="D31" s="296"/>
      <c r="E31" s="296"/>
      <c r="F31" s="296"/>
      <c r="G31" s="297" t="s">
        <v>305</v>
      </c>
      <c r="H31" s="297"/>
    </row>
    <row r="32" spans="1:8" ht="15">
      <c r="A32" s="296" t="s">
        <v>319</v>
      </c>
      <c r="B32" s="296"/>
      <c r="C32" s="296"/>
      <c r="D32" s="296"/>
      <c r="E32" s="297">
        <f>E26+E29</f>
        <v>12675.22</v>
      </c>
      <c r="F32" s="297"/>
      <c r="G32" s="298">
        <f>G26+G29</f>
        <v>1</v>
      </c>
      <c r="H32" s="298"/>
    </row>
    <row r="34" spans="1:8" ht="15">
      <c r="A34" s="66" t="s">
        <v>320</v>
      </c>
      <c r="B34" s="296" t="s">
        <v>321</v>
      </c>
      <c r="C34" s="296"/>
      <c r="D34" s="296"/>
      <c r="E34" s="296"/>
      <c r="F34" s="296"/>
      <c r="G34" s="296"/>
      <c r="H34" s="296"/>
    </row>
    <row r="35" spans="1:8" ht="15">
      <c r="A35" s="66"/>
      <c r="B35" s="296" t="s">
        <v>322</v>
      </c>
      <c r="C35" s="296"/>
      <c r="D35" s="296"/>
      <c r="E35" s="296"/>
      <c r="F35" s="296"/>
      <c r="G35" s="296"/>
      <c r="H35" s="296"/>
    </row>
    <row r="36" spans="1:8" ht="15">
      <c r="B36" s="296" t="s">
        <v>389</v>
      </c>
      <c r="C36" s="296"/>
      <c r="D36" s="296"/>
      <c r="E36" s="297">
        <f>Iterm_1_1!F282</f>
        <v>2905.16</v>
      </c>
      <c r="F36" s="297"/>
    </row>
    <row r="38" spans="1:8" ht="15">
      <c r="B38" s="296" t="s">
        <v>323</v>
      </c>
      <c r="C38" s="296"/>
      <c r="D38" s="296"/>
      <c r="E38" s="297">
        <f>E32+E36</f>
        <v>15580.38</v>
      </c>
      <c r="F38" s="297"/>
    </row>
  </sheetData>
  <mergeCells count="58">
    <mergeCell ref="C6:D6"/>
    <mergeCell ref="E6:F6"/>
    <mergeCell ref="A1:H1"/>
    <mergeCell ref="A2:F2"/>
    <mergeCell ref="A3:D3"/>
    <mergeCell ref="E3:F3"/>
    <mergeCell ref="A4:F4"/>
    <mergeCell ref="A13:D13"/>
    <mergeCell ref="E13:F13"/>
    <mergeCell ref="C7:D7"/>
    <mergeCell ref="E7:F7"/>
    <mergeCell ref="C8:D8"/>
    <mergeCell ref="E8:F8"/>
    <mergeCell ref="C9:D9"/>
    <mergeCell ref="E9:F9"/>
    <mergeCell ref="A11:B11"/>
    <mergeCell ref="C11:D11"/>
    <mergeCell ref="E11:F11"/>
    <mergeCell ref="C10:D10"/>
    <mergeCell ref="E10:F10"/>
    <mergeCell ref="A14:F14"/>
    <mergeCell ref="A15:F15"/>
    <mergeCell ref="C16:D16"/>
    <mergeCell ref="E16:F16"/>
    <mergeCell ref="C17:D17"/>
    <mergeCell ref="E17:F17"/>
    <mergeCell ref="C18:D18"/>
    <mergeCell ref="E18:F18"/>
    <mergeCell ref="C19:D19"/>
    <mergeCell ref="E19:F19"/>
    <mergeCell ref="C20:D20"/>
    <mergeCell ref="E20:F20"/>
    <mergeCell ref="C21:D21"/>
    <mergeCell ref="E21:F21"/>
    <mergeCell ref="A22:B22"/>
    <mergeCell ref="C22:D22"/>
    <mergeCell ref="E22:F22"/>
    <mergeCell ref="A32:D32"/>
    <mergeCell ref="E32:F32"/>
    <mergeCell ref="G32:H32"/>
    <mergeCell ref="G25:H25"/>
    <mergeCell ref="A26:D26"/>
    <mergeCell ref="E26:F26"/>
    <mergeCell ref="G26:H26"/>
    <mergeCell ref="A28:F28"/>
    <mergeCell ref="G28:H28"/>
    <mergeCell ref="A25:F25"/>
    <mergeCell ref="A29:D29"/>
    <mergeCell ref="E29:F29"/>
    <mergeCell ref="G29:H29"/>
    <mergeCell ref="A31:F31"/>
    <mergeCell ref="G31:H31"/>
    <mergeCell ref="B34:H34"/>
    <mergeCell ref="B35:H35"/>
    <mergeCell ref="B36:D36"/>
    <mergeCell ref="E36:F36"/>
    <mergeCell ref="B38:D38"/>
    <mergeCell ref="E38:F38"/>
  </mergeCells>
  <pageMargins left="0.98425196850393692" right="0.511811023622047" top="0.78740157480315021" bottom="0.78740157480315021" header="0.31496062992126012" footer="0.31496062992126012"/>
  <pageSetup paperSize="9" fitToWidth="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3"/>
  <dimension ref="A1:J296"/>
  <sheetViews>
    <sheetView zoomScale="90" zoomScaleNormal="90" workbookViewId="0">
      <selection activeCell="F290" sqref="F290"/>
    </sheetView>
  </sheetViews>
  <sheetFormatPr defaultRowHeight="15"/>
  <cols>
    <col min="1" max="1" width="6.875" style="1" customWidth="1"/>
    <col min="2" max="2" width="41.125" style="1" customWidth="1"/>
    <col min="3" max="3" width="16.375" style="1" bestFit="1" customWidth="1"/>
    <col min="4" max="4" width="13.875" style="1" bestFit="1" customWidth="1"/>
    <col min="5" max="5" width="14.875" style="1" bestFit="1" customWidth="1"/>
    <col min="6" max="6" width="12.875" style="1" bestFit="1" customWidth="1"/>
    <col min="7" max="7" width="9.25" style="1" customWidth="1"/>
    <col min="8" max="8" width="7.875" customWidth="1"/>
    <col min="9" max="9" width="8.75" customWidth="1"/>
  </cols>
  <sheetData>
    <row r="1" spans="1:7">
      <c r="B1" s="287" t="s">
        <v>0</v>
      </c>
      <c r="C1" s="287"/>
      <c r="D1" s="287"/>
      <c r="E1" s="287"/>
      <c r="F1" s="287"/>
      <c r="G1" s="287"/>
    </row>
    <row r="2" spans="1:7">
      <c r="B2" s="288" t="s">
        <v>1</v>
      </c>
      <c r="C2" s="288"/>
      <c r="D2" s="288"/>
      <c r="E2" s="288"/>
      <c r="F2" s="288"/>
      <c r="G2" s="288"/>
    </row>
    <row r="3" spans="1:7">
      <c r="B3" s="289" t="s">
        <v>2</v>
      </c>
      <c r="C3" s="289"/>
      <c r="D3" s="289"/>
      <c r="E3" s="289"/>
      <c r="F3" s="289"/>
      <c r="G3" s="289"/>
    </row>
    <row r="4" spans="1:7">
      <c r="A4" s="2"/>
      <c r="B4" s="305" t="s">
        <v>3</v>
      </c>
      <c r="C4" s="305"/>
      <c r="D4" s="305"/>
      <c r="E4" s="305"/>
      <c r="F4" s="305"/>
      <c r="G4" s="305"/>
    </row>
    <row r="5" spans="1:7">
      <c r="A5" s="4"/>
      <c r="B5" s="306" t="s">
        <v>439</v>
      </c>
      <c r="C5" s="306"/>
      <c r="D5" s="306"/>
      <c r="E5" s="306"/>
      <c r="F5" s="306"/>
      <c r="G5" s="306"/>
    </row>
    <row r="6" spans="1:7" ht="15.75" customHeight="1">
      <c r="A6" s="2">
        <v>1</v>
      </c>
      <c r="B6" s="5" t="s">
        <v>4</v>
      </c>
      <c r="C6" s="4"/>
      <c r="D6" s="293" t="s">
        <v>416</v>
      </c>
      <c r="E6" s="293"/>
      <c r="F6" s="293"/>
      <c r="G6" s="3"/>
    </row>
    <row r="7" spans="1:7" ht="15.75" customHeight="1">
      <c r="A7" s="5" t="s">
        <v>5</v>
      </c>
      <c r="B7" s="294" t="s">
        <v>415</v>
      </c>
      <c r="C7" s="294"/>
      <c r="D7" s="294"/>
      <c r="E7" s="294"/>
      <c r="F7" s="294"/>
      <c r="G7" s="3"/>
    </row>
    <row r="8" spans="1:7" ht="15.75" customHeight="1">
      <c r="A8" s="7" t="s">
        <v>6</v>
      </c>
      <c r="B8" s="295" t="s">
        <v>445</v>
      </c>
      <c r="C8" s="295"/>
      <c r="D8" s="295"/>
      <c r="E8" s="295"/>
      <c r="F8" s="8"/>
      <c r="G8" s="8"/>
    </row>
    <row r="9" spans="1:7" ht="15.75" customHeight="1">
      <c r="A9" s="7"/>
      <c r="B9" s="9" t="s">
        <v>7</v>
      </c>
      <c r="C9" s="10" t="s">
        <v>8</v>
      </c>
      <c r="D9" s="10" t="s">
        <v>9</v>
      </c>
      <c r="E9" s="10" t="s">
        <v>10</v>
      </c>
      <c r="F9" s="10" t="s">
        <v>11</v>
      </c>
      <c r="G9" s="10" t="s">
        <v>12</v>
      </c>
    </row>
    <row r="10" spans="1:7" ht="15.75" customHeight="1">
      <c r="A10" s="11" t="s">
        <v>13</v>
      </c>
      <c r="B10" s="12" t="s">
        <v>14</v>
      </c>
      <c r="C10" s="13" t="s">
        <v>15</v>
      </c>
      <c r="D10" s="14">
        <v>220</v>
      </c>
      <c r="E10" s="15">
        <f>F10/D10</f>
        <v>6.13</v>
      </c>
      <c r="F10" s="15">
        <f>4045.46/3</f>
        <v>1348.49</v>
      </c>
      <c r="G10"/>
    </row>
    <row r="11" spans="1:7" ht="15.75" customHeight="1">
      <c r="A11" s="11" t="s">
        <v>16</v>
      </c>
      <c r="B11" s="12" t="s">
        <v>17</v>
      </c>
      <c r="C11" s="13"/>
      <c r="D11" s="16">
        <v>0</v>
      </c>
      <c r="E11" s="17">
        <f>(F10)</f>
        <v>1348.49</v>
      </c>
      <c r="F11" s="15">
        <f>F10*D11</f>
        <v>0</v>
      </c>
      <c r="G11"/>
    </row>
    <row r="12" spans="1:7" ht="15.75" customHeight="1">
      <c r="A12" s="11" t="s">
        <v>18</v>
      </c>
      <c r="B12"/>
      <c r="C12"/>
      <c r="D12"/>
      <c r="E12" s="18" t="s">
        <v>19</v>
      </c>
      <c r="F12" s="15">
        <f>F10+F11</f>
        <v>1348.49</v>
      </c>
      <c r="G12"/>
    </row>
    <row r="13" spans="1:7" ht="15.75" customHeight="1">
      <c r="A13"/>
      <c r="B13"/>
      <c r="C13"/>
      <c r="D13"/>
      <c r="E13" s="19"/>
      <c r="F13" s="19"/>
      <c r="G13"/>
    </row>
    <row r="14" spans="1:7" ht="15.75" customHeight="1">
      <c r="A14" s="11" t="s">
        <v>20</v>
      </c>
      <c r="B14" s="20" t="s">
        <v>21</v>
      </c>
      <c r="C14" s="21" t="s">
        <v>22</v>
      </c>
      <c r="D14" s="22">
        <f>Encargos_Sociais!B35</f>
        <v>0.71599999999999997</v>
      </c>
      <c r="E14" s="15">
        <f>F12</f>
        <v>1348.49</v>
      </c>
      <c r="F14" s="23">
        <f>E14*D14</f>
        <v>965.52</v>
      </c>
      <c r="G14"/>
    </row>
    <row r="15" spans="1:7" ht="15.75" customHeight="1">
      <c r="A15" s="11" t="s">
        <v>23</v>
      </c>
      <c r="B15" s="274" t="s">
        <v>24</v>
      </c>
      <c r="C15" s="274"/>
      <c r="D15" s="274"/>
      <c r="E15" s="274"/>
      <c r="F15" s="15">
        <f>SUM(F12:F14)</f>
        <v>2314.0100000000002</v>
      </c>
      <c r="G15"/>
    </row>
    <row r="16" spans="1:7" ht="15.75" customHeight="1">
      <c r="A16" s="11" t="s">
        <v>25</v>
      </c>
      <c r="B16" s="25" t="s">
        <v>26</v>
      </c>
      <c r="C16" s="13" t="s">
        <v>27</v>
      </c>
      <c r="D16" s="13">
        <v>1</v>
      </c>
      <c r="E16" s="15">
        <f>(F15)</f>
        <v>2314.0100000000002</v>
      </c>
      <c r="F16" s="15">
        <f>D16*E16</f>
        <v>2314.0100000000002</v>
      </c>
      <c r="G16"/>
    </row>
    <row r="17" spans="1:7" ht="15.75" customHeight="1">
      <c r="A17" s="11"/>
      <c r="B17" s="7" t="s">
        <v>28</v>
      </c>
      <c r="C17"/>
      <c r="D17"/>
      <c r="E17"/>
      <c r="F17"/>
      <c r="G17" s="26">
        <f>(F16)</f>
        <v>2314.0100000000002</v>
      </c>
    </row>
    <row r="18" spans="1:7" ht="15.75" customHeight="1">
      <c r="A18" s="4"/>
      <c r="B18" s="4"/>
      <c r="C18"/>
      <c r="D18"/>
      <c r="E18"/>
      <c r="F18"/>
      <c r="G18" s="4"/>
    </row>
    <row r="19" spans="1:7" ht="15.75" customHeight="1">
      <c r="A19" s="7" t="s">
        <v>29</v>
      </c>
      <c r="B19" s="295" t="s">
        <v>440</v>
      </c>
      <c r="C19" s="295"/>
      <c r="D19" s="295"/>
      <c r="E19" s="295"/>
      <c r="F19" s="8"/>
      <c r="G19" s="8"/>
    </row>
    <row r="20" spans="1:7" ht="15.75" customHeight="1">
      <c r="A20" s="7"/>
      <c r="B20" s="9" t="s">
        <v>7</v>
      </c>
      <c r="C20" s="10" t="s">
        <v>8</v>
      </c>
      <c r="D20" s="10" t="s">
        <v>9</v>
      </c>
      <c r="E20" s="10" t="s">
        <v>10</v>
      </c>
      <c r="F20" s="10" t="s">
        <v>11</v>
      </c>
      <c r="G20" s="10" t="s">
        <v>12</v>
      </c>
    </row>
    <row r="21" spans="1:7" ht="15.75" customHeight="1">
      <c r="A21" s="11" t="s">
        <v>30</v>
      </c>
      <c r="B21" s="12" t="s">
        <v>14</v>
      </c>
      <c r="C21" s="13" t="s">
        <v>15</v>
      </c>
      <c r="D21" s="14">
        <v>220</v>
      </c>
      <c r="E21" s="15">
        <f>F21/D21</f>
        <v>2.68</v>
      </c>
      <c r="F21" s="23">
        <f>1765.86/3</f>
        <v>588.62</v>
      </c>
      <c r="G21" s="8"/>
    </row>
    <row r="22" spans="1:7" ht="15.75" customHeight="1">
      <c r="A22" s="11" t="s">
        <v>31</v>
      </c>
      <c r="B22" s="12" t="s">
        <v>17</v>
      </c>
      <c r="C22" s="13"/>
      <c r="D22" s="16">
        <v>0.2</v>
      </c>
      <c r="E22" s="17">
        <f>(F21)</f>
        <v>588.62</v>
      </c>
      <c r="F22" s="15">
        <f>F21*D22</f>
        <v>117.72</v>
      </c>
      <c r="G22" s="8"/>
    </row>
    <row r="23" spans="1:7" ht="15.75" customHeight="1">
      <c r="A23" s="11" t="s">
        <v>32</v>
      </c>
      <c r="B23" s="19"/>
      <c r="C23" s="19"/>
      <c r="D23" s="19"/>
      <c r="E23" s="27" t="s">
        <v>19</v>
      </c>
      <c r="F23" s="15">
        <f>F21+F22</f>
        <v>706.34</v>
      </c>
      <c r="G23" s="8"/>
    </row>
    <row r="24" spans="1:7" ht="15.75" customHeight="1">
      <c r="A24" s="8"/>
      <c r="B24" s="19"/>
      <c r="C24" s="19"/>
      <c r="D24" s="19"/>
      <c r="E24" s="19"/>
      <c r="F24" s="19"/>
      <c r="G24" s="8"/>
    </row>
    <row r="25" spans="1:7" ht="15.75" customHeight="1">
      <c r="A25" s="11" t="s">
        <v>33</v>
      </c>
      <c r="B25" s="20" t="s">
        <v>21</v>
      </c>
      <c r="C25" s="21" t="s">
        <v>22</v>
      </c>
      <c r="D25" s="22">
        <f>Encargos_Sociais!B35</f>
        <v>0.71599999999999997</v>
      </c>
      <c r="E25" s="28">
        <f>F23</f>
        <v>706.34</v>
      </c>
      <c r="F25" s="23">
        <f>E25*D25</f>
        <v>505.74</v>
      </c>
      <c r="G25" s="8"/>
    </row>
    <row r="26" spans="1:7" ht="15.75" customHeight="1">
      <c r="A26" s="11" t="s">
        <v>34</v>
      </c>
      <c r="B26" s="274" t="s">
        <v>24</v>
      </c>
      <c r="C26" s="274"/>
      <c r="D26" s="274"/>
      <c r="E26" s="274"/>
      <c r="F26" s="15">
        <f>SUM(F23:F25)</f>
        <v>1212.08</v>
      </c>
      <c r="G26" s="8"/>
    </row>
    <row r="27" spans="1:7" ht="15.75" customHeight="1">
      <c r="A27" s="11" t="s">
        <v>35</v>
      </c>
      <c r="B27" s="25" t="s">
        <v>26</v>
      </c>
      <c r="C27" s="13" t="s">
        <v>27</v>
      </c>
      <c r="D27" s="13">
        <v>2</v>
      </c>
      <c r="E27" s="15">
        <f>(F26)</f>
        <v>1212.08</v>
      </c>
      <c r="F27" s="15">
        <f>D27*E27</f>
        <v>2424.16</v>
      </c>
      <c r="G27" s="8"/>
    </row>
    <row r="28" spans="1:7" ht="15.75" customHeight="1">
      <c r="A28" s="11"/>
      <c r="B28" s="7" t="s">
        <v>28</v>
      </c>
      <c r="C28" s="19"/>
      <c r="D28" s="19"/>
      <c r="E28" s="19"/>
      <c r="F28" s="19"/>
      <c r="G28" s="26">
        <f>(F27)</f>
        <v>2424.16</v>
      </c>
    </row>
    <row r="29" spans="1:7" ht="15.75" customHeight="1">
      <c r="A29" s="29"/>
      <c r="B29" s="29"/>
      <c r="C29" s="19"/>
      <c r="D29" s="19"/>
      <c r="E29" s="19"/>
      <c r="F29" s="19"/>
      <c r="G29" s="30"/>
    </row>
    <row r="30" spans="1:7" ht="15.75" customHeight="1">
      <c r="A30" s="7" t="s">
        <v>36</v>
      </c>
      <c r="B30" s="295" t="s">
        <v>446</v>
      </c>
      <c r="C30" s="295"/>
      <c r="D30" s="295"/>
      <c r="E30" s="295"/>
      <c r="F30" s="8"/>
      <c r="G30" s="8"/>
    </row>
    <row r="31" spans="1:7" ht="15.75" customHeight="1">
      <c r="A31" s="7"/>
      <c r="B31" s="9" t="s">
        <v>7</v>
      </c>
      <c r="C31" s="10" t="s">
        <v>8</v>
      </c>
      <c r="D31" s="10" t="s">
        <v>9</v>
      </c>
      <c r="E31" s="10" t="s">
        <v>10</v>
      </c>
      <c r="F31" s="10" t="s">
        <v>11</v>
      </c>
      <c r="G31" s="10" t="s">
        <v>12</v>
      </c>
    </row>
    <row r="32" spans="1:7" ht="15.75" customHeight="1">
      <c r="A32" s="11" t="s">
        <v>37</v>
      </c>
      <c r="B32" s="12" t="s">
        <v>14</v>
      </c>
      <c r="C32" s="13" t="s">
        <v>15</v>
      </c>
      <c r="D32" s="14">
        <v>220</v>
      </c>
      <c r="E32" s="15">
        <f>F32/D32</f>
        <v>3.72</v>
      </c>
      <c r="F32" s="23">
        <f>2457/3</f>
        <v>819</v>
      </c>
      <c r="G32" s="8"/>
    </row>
    <row r="33" spans="1:7" ht="15.75" customHeight="1">
      <c r="A33" s="11" t="s">
        <v>38</v>
      </c>
      <c r="B33" s="12" t="s">
        <v>17</v>
      </c>
      <c r="C33" s="13"/>
      <c r="D33" s="31">
        <v>0.2</v>
      </c>
      <c r="E33" s="17">
        <f>(F32)</f>
        <v>819</v>
      </c>
      <c r="F33" s="15">
        <f>F32*D33</f>
        <v>163.80000000000001</v>
      </c>
      <c r="G33" s="8"/>
    </row>
    <row r="34" spans="1:7" ht="15.75" customHeight="1">
      <c r="A34" s="11" t="s">
        <v>39</v>
      </c>
      <c r="B34" s="19"/>
      <c r="C34" s="19"/>
      <c r="D34" s="19"/>
      <c r="E34" s="18" t="s">
        <v>19</v>
      </c>
      <c r="F34" s="15">
        <f>F32+F33</f>
        <v>982.8</v>
      </c>
      <c r="G34" s="8"/>
    </row>
    <row r="35" spans="1:7" ht="15.75" customHeight="1">
      <c r="A35" s="8"/>
      <c r="B35" s="19"/>
      <c r="C35" s="19"/>
      <c r="D35" s="19"/>
      <c r="E35" s="19"/>
      <c r="F35" s="19"/>
      <c r="G35" s="8"/>
    </row>
    <row r="36" spans="1:7" ht="15.75" customHeight="1">
      <c r="A36" s="11" t="s">
        <v>40</v>
      </c>
      <c r="B36" s="20" t="s">
        <v>21</v>
      </c>
      <c r="C36" s="21" t="s">
        <v>22</v>
      </c>
      <c r="D36" s="22">
        <f>Encargos_Sociais!B35</f>
        <v>0.71599999999999997</v>
      </c>
      <c r="E36" s="28">
        <f>F34</f>
        <v>982.8</v>
      </c>
      <c r="F36" s="23">
        <f>E36*D36</f>
        <v>703.68</v>
      </c>
      <c r="G36" s="8"/>
    </row>
    <row r="37" spans="1:7" ht="15.75" customHeight="1">
      <c r="A37" s="11" t="s">
        <v>41</v>
      </c>
      <c r="B37" s="274" t="s">
        <v>24</v>
      </c>
      <c r="C37" s="274"/>
      <c r="D37" s="274"/>
      <c r="E37" s="274"/>
      <c r="F37" s="15">
        <f>SUM(F34:F36)</f>
        <v>1686.48</v>
      </c>
      <c r="G37" s="8"/>
    </row>
    <row r="38" spans="1:7" ht="15.75" customHeight="1">
      <c r="A38" s="11" t="s">
        <v>42</v>
      </c>
      <c r="B38" s="25" t="s">
        <v>26</v>
      </c>
      <c r="C38" s="13" t="s">
        <v>27</v>
      </c>
      <c r="D38" s="13">
        <v>1</v>
      </c>
      <c r="E38" s="15">
        <f>(F37)</f>
        <v>1686.48</v>
      </c>
      <c r="F38" s="15">
        <f>D38*E38</f>
        <v>1686.48</v>
      </c>
      <c r="G38" s="8"/>
    </row>
    <row r="39" spans="1:7" ht="15.75" customHeight="1">
      <c r="A39" s="11"/>
      <c r="B39" s="7" t="s">
        <v>28</v>
      </c>
      <c r="C39" s="19"/>
      <c r="D39" s="19"/>
      <c r="E39" s="19"/>
      <c r="F39" s="19"/>
      <c r="G39" s="26">
        <f>(F38)</f>
        <v>1686.48</v>
      </c>
    </row>
    <row r="40" spans="1:7" ht="15.75" customHeight="1">
      <c r="A40" s="29"/>
      <c r="B40" s="29"/>
      <c r="C40" s="19"/>
      <c r="D40" s="19"/>
      <c r="E40" s="19"/>
      <c r="F40" s="19"/>
      <c r="G40" s="4"/>
    </row>
    <row r="41" spans="1:7" ht="15.75" customHeight="1">
      <c r="A41" s="29"/>
      <c r="B41" s="29"/>
      <c r="C41" s="19"/>
      <c r="D41" s="19"/>
      <c r="E41" s="19"/>
      <c r="F41" s="19"/>
      <c r="G41" s="30"/>
    </row>
    <row r="42" spans="1:7" ht="15.75" customHeight="1">
      <c r="A42" s="32" t="s">
        <v>43</v>
      </c>
      <c r="B42" s="273" t="s">
        <v>44</v>
      </c>
      <c r="C42" s="273"/>
      <c r="D42" s="273"/>
      <c r="E42" s="33"/>
      <c r="F42" s="3"/>
      <c r="G42" s="3"/>
    </row>
    <row r="43" spans="1:7" ht="15.75" customHeight="1">
      <c r="A43" s="32"/>
      <c r="B43" s="272" t="s">
        <v>7</v>
      </c>
      <c r="C43" s="272"/>
      <c r="D43" s="34" t="s">
        <v>9</v>
      </c>
      <c r="E43" s="34" t="s">
        <v>10</v>
      </c>
      <c r="F43" s="34" t="s">
        <v>11</v>
      </c>
      <c r="G43" s="34" t="s">
        <v>12</v>
      </c>
    </row>
    <row r="44" spans="1:7" ht="15.75" customHeight="1">
      <c r="A44" s="32" t="s">
        <v>45</v>
      </c>
      <c r="B44" s="273" t="str">
        <f>B8</f>
        <v>Preposto/Encarregado - Rateio p/ 3 itens</v>
      </c>
      <c r="C44" s="273"/>
      <c r="D44" s="34"/>
      <c r="E44" s="34"/>
      <c r="F44" s="35"/>
      <c r="G44" s="26">
        <f>F45-F46</f>
        <v>162.93</v>
      </c>
    </row>
    <row r="45" spans="1:7" ht="15.75" customHeight="1">
      <c r="A45" s="36"/>
      <c r="B45" s="284" t="s">
        <v>46</v>
      </c>
      <c r="C45" s="284"/>
      <c r="D45" s="37">
        <f>(20*4)*(D46)</f>
        <v>80</v>
      </c>
      <c r="E45" s="38">
        <v>6.5</v>
      </c>
      <c r="F45" s="17">
        <f>SUM(E45*D45)/3</f>
        <v>173.33</v>
      </c>
      <c r="G45" s="3"/>
    </row>
    <row r="46" spans="1:7" ht="15.75" customHeight="1">
      <c r="A46" s="36"/>
      <c r="B46" s="284" t="s">
        <v>47</v>
      </c>
      <c r="C46" s="284"/>
      <c r="D46" s="37">
        <f>D16</f>
        <v>1</v>
      </c>
      <c r="E46" s="39" t="s">
        <v>48</v>
      </c>
      <c r="F46" s="23">
        <f>(F45*E46)</f>
        <v>10.4</v>
      </c>
      <c r="G46" s="3"/>
    </row>
    <row r="47" spans="1:7" ht="15.75" customHeight="1">
      <c r="A47" s="32" t="s">
        <v>49</v>
      </c>
      <c r="B47" s="273" t="str">
        <f>B19</f>
        <v>Auxiliar de serviços Gerais/Jardineiro  - Rateio p/ 3 itens</v>
      </c>
      <c r="C47" s="273"/>
      <c r="D47" s="34"/>
      <c r="E47" s="34"/>
      <c r="F47" s="35"/>
      <c r="G47" s="26">
        <f>F48-F49</f>
        <v>325.87</v>
      </c>
    </row>
    <row r="48" spans="1:7" ht="15.75" customHeight="1">
      <c r="A48" s="36"/>
      <c r="B48" s="284" t="s">
        <v>46</v>
      </c>
      <c r="C48" s="284"/>
      <c r="D48" s="37">
        <f>(20*4)*(D49)</f>
        <v>160</v>
      </c>
      <c r="E48" s="38">
        <f>E45</f>
        <v>6.5</v>
      </c>
      <c r="F48" s="17">
        <f>SUM(E48*D48)/3</f>
        <v>346.67</v>
      </c>
      <c r="G48" s="3"/>
    </row>
    <row r="49" spans="1:7" ht="15.75" customHeight="1">
      <c r="A49" s="36"/>
      <c r="B49" s="284" t="s">
        <v>47</v>
      </c>
      <c r="C49" s="284"/>
      <c r="D49" s="37">
        <f>D27</f>
        <v>2</v>
      </c>
      <c r="E49" s="39" t="s">
        <v>48</v>
      </c>
      <c r="F49" s="23">
        <f>(F48*E49)</f>
        <v>20.8</v>
      </c>
      <c r="G49" s="3"/>
    </row>
    <row r="50" spans="1:7" ht="15.75" customHeight="1">
      <c r="A50" s="32" t="s">
        <v>50</v>
      </c>
      <c r="B50" s="273" t="str">
        <f>B30</f>
        <v>Motorista   - Rateio p/ 3 itens</v>
      </c>
      <c r="C50" s="273"/>
      <c r="D50" s="34"/>
      <c r="E50" s="34"/>
      <c r="F50" s="35"/>
      <c r="G50" s="26">
        <f>F51-F52</f>
        <v>162.93</v>
      </c>
    </row>
    <row r="51" spans="1:7" ht="15.75" customHeight="1">
      <c r="A51" s="36"/>
      <c r="B51" s="284" t="s">
        <v>46</v>
      </c>
      <c r="C51" s="284"/>
      <c r="D51" s="37">
        <f>(20*4)*(D52)</f>
        <v>80</v>
      </c>
      <c r="E51" s="38">
        <f>E48</f>
        <v>6.5</v>
      </c>
      <c r="F51" s="17">
        <f>SUM(E51*D51)/3</f>
        <v>173.33</v>
      </c>
      <c r="G51" s="3"/>
    </row>
    <row r="52" spans="1:7" ht="15.75" customHeight="1">
      <c r="A52" s="36"/>
      <c r="B52" s="284" t="s">
        <v>47</v>
      </c>
      <c r="C52" s="284"/>
      <c r="D52" s="40">
        <f>D38</f>
        <v>1</v>
      </c>
      <c r="E52" s="39" t="s">
        <v>48</v>
      </c>
      <c r="F52" s="23">
        <f>(F51*E52)</f>
        <v>10.4</v>
      </c>
      <c r="G52" s="3"/>
    </row>
    <row r="53" spans="1:7" ht="15.75" customHeight="1">
      <c r="A53" s="32"/>
      <c r="B53" s="283" t="s">
        <v>28</v>
      </c>
      <c r="C53" s="283"/>
      <c r="D53" s="4"/>
      <c r="E53" s="41"/>
      <c r="F53" s="4"/>
      <c r="G53" s="26">
        <f>G44+G47+G50</f>
        <v>651.73</v>
      </c>
    </row>
    <row r="54" spans="1:7" ht="15.75" customHeight="1">
      <c r="A54" s="5"/>
      <c r="B54" s="6"/>
      <c r="C54" s="6"/>
      <c r="D54" s="4"/>
      <c r="E54" s="41"/>
      <c r="F54" s="4"/>
      <c r="G54" s="3"/>
    </row>
    <row r="55" spans="1:7" ht="15.75" customHeight="1">
      <c r="A55" s="32" t="s">
        <v>51</v>
      </c>
      <c r="B55" s="273" t="s">
        <v>52</v>
      </c>
      <c r="C55" s="273"/>
      <c r="D55" s="273"/>
      <c r="E55" s="42"/>
      <c r="F55" s="4"/>
      <c r="G55" s="3"/>
    </row>
    <row r="56" spans="1:7" ht="15.75" customHeight="1">
      <c r="A56" s="43"/>
      <c r="B56" s="275" t="s">
        <v>7</v>
      </c>
      <c r="C56" s="275"/>
      <c r="D56" s="44" t="s">
        <v>9</v>
      </c>
      <c r="E56" s="44" t="s">
        <v>10</v>
      </c>
      <c r="F56" s="44" t="s">
        <v>11</v>
      </c>
      <c r="G56" s="34" t="s">
        <v>12</v>
      </c>
    </row>
    <row r="57" spans="1:7" ht="15.75" customHeight="1">
      <c r="A57" s="32" t="s">
        <v>53</v>
      </c>
      <c r="B57" s="273" t="str">
        <f>B44</f>
        <v>Preposto/Encarregado - Rateio p/ 3 itens</v>
      </c>
      <c r="C57" s="273"/>
      <c r="D57" s="45"/>
      <c r="E57" s="46"/>
      <c r="F57" s="47"/>
      <c r="G57" s="48">
        <f>F58-F59</f>
        <v>146.61000000000001</v>
      </c>
    </row>
    <row r="58" spans="1:7" ht="15.75" customHeight="1">
      <c r="A58" s="32"/>
      <c r="B58" s="274" t="s">
        <v>54</v>
      </c>
      <c r="C58" s="274"/>
      <c r="D58" s="37">
        <f>(20)*(D59)</f>
        <v>20</v>
      </c>
      <c r="E58" s="49">
        <v>27.15</v>
      </c>
      <c r="F58" s="23">
        <f>(E58*D58)/3</f>
        <v>181</v>
      </c>
      <c r="G58" s="50"/>
    </row>
    <row r="59" spans="1:7" ht="15.75" customHeight="1">
      <c r="A59" s="32"/>
      <c r="B59" s="274" t="s">
        <v>55</v>
      </c>
      <c r="C59" s="274"/>
      <c r="D59" s="37">
        <f>D46</f>
        <v>1</v>
      </c>
      <c r="E59" s="51">
        <v>0.19</v>
      </c>
      <c r="F59" s="23">
        <f>F58*E59</f>
        <v>34.39</v>
      </c>
      <c r="G59" s="3"/>
    </row>
    <row r="60" spans="1:7" ht="15.75" customHeight="1">
      <c r="A60" s="32" t="s">
        <v>56</v>
      </c>
      <c r="B60" s="273" t="str">
        <f>B47</f>
        <v>Auxiliar de serviços Gerais/Jardineiro  - Rateio p/ 3 itens</v>
      </c>
      <c r="C60" s="273"/>
      <c r="D60" s="45"/>
      <c r="E60" s="51"/>
      <c r="F60" s="47"/>
      <c r="G60" s="48">
        <f>F61-F62</f>
        <v>293.22000000000003</v>
      </c>
    </row>
    <row r="61" spans="1:7" ht="15.75" customHeight="1">
      <c r="A61" s="32"/>
      <c r="B61" s="274" t="s">
        <v>54</v>
      </c>
      <c r="C61" s="274"/>
      <c r="D61" s="37">
        <f>(20)*(D62)</f>
        <v>40</v>
      </c>
      <c r="E61" s="49">
        <f>E58</f>
        <v>27.15</v>
      </c>
      <c r="F61" s="23">
        <f>(E61*D61)/3</f>
        <v>362</v>
      </c>
      <c r="G61" s="3"/>
    </row>
    <row r="62" spans="1:7" ht="15.75" customHeight="1">
      <c r="A62" s="32"/>
      <c r="B62" s="274" t="s">
        <v>55</v>
      </c>
      <c r="C62" s="274"/>
      <c r="D62" s="37">
        <f>D49</f>
        <v>2</v>
      </c>
      <c r="E62" s="51">
        <v>0.19</v>
      </c>
      <c r="F62" s="23">
        <f>F61*E62</f>
        <v>68.78</v>
      </c>
      <c r="G62" s="3"/>
    </row>
    <row r="63" spans="1:7" ht="15.75" customHeight="1">
      <c r="A63" s="32" t="s">
        <v>56</v>
      </c>
      <c r="B63" s="273" t="str">
        <f>B50</f>
        <v>Motorista   - Rateio p/ 3 itens</v>
      </c>
      <c r="C63" s="273"/>
      <c r="D63" s="45"/>
      <c r="E63" s="51"/>
      <c r="F63" s="47"/>
      <c r="G63" s="48">
        <f>F64-F65</f>
        <v>146.61000000000001</v>
      </c>
    </row>
    <row r="64" spans="1:7" ht="15.75" customHeight="1">
      <c r="A64" s="32"/>
      <c r="B64" s="274" t="s">
        <v>54</v>
      </c>
      <c r="C64" s="274"/>
      <c r="D64" s="37">
        <f>(20)*(D65)</f>
        <v>20</v>
      </c>
      <c r="E64" s="49">
        <f>E58</f>
        <v>27.15</v>
      </c>
      <c r="F64" s="23">
        <f>(E64*D64)/3</f>
        <v>181</v>
      </c>
      <c r="G64" s="3"/>
    </row>
    <row r="65" spans="1:7" ht="15.75" customHeight="1">
      <c r="A65" s="32"/>
      <c r="B65" s="274" t="s">
        <v>55</v>
      </c>
      <c r="C65" s="274"/>
      <c r="D65" s="37">
        <f>D52</f>
        <v>1</v>
      </c>
      <c r="E65" s="51">
        <v>0.19</v>
      </c>
      <c r="F65" s="23">
        <f>F64*E65</f>
        <v>34.39</v>
      </c>
      <c r="G65" s="3"/>
    </row>
    <row r="66" spans="1:7" ht="15.75" customHeight="1">
      <c r="A66" s="32"/>
      <c r="B66" s="275" t="s">
        <v>28</v>
      </c>
      <c r="C66" s="275"/>
      <c r="D66" s="52"/>
      <c r="E66" s="53"/>
      <c r="F66" s="52"/>
      <c r="G66" s="48">
        <f>G57+G60+G63</f>
        <v>586.44000000000005</v>
      </c>
    </row>
    <row r="67" spans="1:7" ht="15.75" customHeight="1">
      <c r="A67"/>
      <c r="B67"/>
      <c r="C67"/>
      <c r="D67"/>
      <c r="E67"/>
      <c r="F67"/>
      <c r="G67" s="54"/>
    </row>
    <row r="68" spans="1:7" ht="15.75" customHeight="1">
      <c r="A68" s="32" t="s">
        <v>57</v>
      </c>
      <c r="B68" s="273" t="s">
        <v>58</v>
      </c>
      <c r="C68" s="273"/>
      <c r="D68" s="273"/>
      <c r="E68" s="55"/>
      <c r="F68"/>
      <c r="G68" s="3"/>
    </row>
    <row r="69" spans="1:7" ht="15.75" customHeight="1">
      <c r="A69" s="43"/>
      <c r="B69" s="275" t="s">
        <v>7</v>
      </c>
      <c r="C69" s="275"/>
      <c r="D69" s="44" t="s">
        <v>9</v>
      </c>
      <c r="E69" s="44" t="s">
        <v>10</v>
      </c>
      <c r="F69" s="44" t="s">
        <v>11</v>
      </c>
      <c r="G69" s="34" t="s">
        <v>12</v>
      </c>
    </row>
    <row r="70" spans="1:7" ht="15.75" customHeight="1">
      <c r="A70" s="32" t="s">
        <v>59</v>
      </c>
      <c r="B70" s="273" t="str">
        <f>B57</f>
        <v>Preposto/Encarregado - Rateio p/ 3 itens</v>
      </c>
      <c r="C70" s="273"/>
      <c r="D70" s="45"/>
      <c r="E70" s="46"/>
      <c r="F70" s="47"/>
      <c r="G70" s="48">
        <f>F71</f>
        <v>8.5</v>
      </c>
    </row>
    <row r="71" spans="1:7" ht="15.75" customHeight="1">
      <c r="A71" s="32"/>
      <c r="B71" s="274" t="s">
        <v>60</v>
      </c>
      <c r="C71" s="274"/>
      <c r="D71" s="37">
        <f>D16</f>
        <v>1</v>
      </c>
      <c r="E71" s="49">
        <v>25.5</v>
      </c>
      <c r="F71" s="23">
        <f>(E71*D71)/3</f>
        <v>8.5</v>
      </c>
      <c r="G71" s="50"/>
    </row>
    <row r="72" spans="1:7" ht="15.75" customHeight="1">
      <c r="A72" s="32" t="s">
        <v>61</v>
      </c>
      <c r="B72" s="273" t="str">
        <f>B60</f>
        <v>Auxiliar de serviços Gerais/Jardineiro  - Rateio p/ 3 itens</v>
      </c>
      <c r="C72" s="273"/>
      <c r="D72" s="45"/>
      <c r="E72" s="51"/>
      <c r="F72" s="47"/>
      <c r="G72" s="48">
        <f>F73</f>
        <v>17</v>
      </c>
    </row>
    <row r="73" spans="1:7" ht="15.75" customHeight="1">
      <c r="A73" s="32"/>
      <c r="B73" s="274" t="s">
        <v>60</v>
      </c>
      <c r="C73" s="274"/>
      <c r="D73" s="37">
        <f>D27</f>
        <v>2</v>
      </c>
      <c r="E73" s="49">
        <f>E71</f>
        <v>25.5</v>
      </c>
      <c r="F73" s="23">
        <f>(E73*D73)/3</f>
        <v>17</v>
      </c>
      <c r="G73" s="3"/>
    </row>
    <row r="74" spans="1:7" ht="15.75" customHeight="1">
      <c r="A74" s="32" t="s">
        <v>62</v>
      </c>
      <c r="B74" s="273" t="str">
        <f>B63</f>
        <v>Motorista   - Rateio p/ 3 itens</v>
      </c>
      <c r="C74" s="273"/>
      <c r="D74" s="45"/>
      <c r="E74" s="51"/>
      <c r="F74" s="47"/>
      <c r="G74" s="48">
        <f>F75</f>
        <v>8.5</v>
      </c>
    </row>
    <row r="75" spans="1:7" ht="15.75" customHeight="1">
      <c r="A75" s="32"/>
      <c r="B75" s="274" t="s">
        <v>60</v>
      </c>
      <c r="C75" s="274"/>
      <c r="D75" s="37">
        <f>D65</f>
        <v>1</v>
      </c>
      <c r="E75" s="49">
        <f>E73</f>
        <v>25.5</v>
      </c>
      <c r="F75" s="23">
        <f>(E75*D75)/3</f>
        <v>8.5</v>
      </c>
      <c r="G75" s="3"/>
    </row>
    <row r="76" spans="1:7" ht="15.75" customHeight="1">
      <c r="A76" s="32"/>
      <c r="B76" s="275" t="s">
        <v>28</v>
      </c>
      <c r="C76" s="275"/>
      <c r="D76" s="52"/>
      <c r="E76" s="53"/>
      <c r="F76" s="52"/>
      <c r="G76" s="48">
        <f>G70+G72+G74</f>
        <v>34</v>
      </c>
    </row>
    <row r="77" spans="1:7" ht="15.75" customHeight="1">
      <c r="A77" s="5"/>
      <c r="B77" s="56"/>
      <c r="C77" s="4"/>
      <c r="D77" s="4"/>
      <c r="E77" s="4"/>
      <c r="F77" s="4"/>
      <c r="G77" s="57"/>
    </row>
    <row r="78" spans="1:7" ht="15.75" customHeight="1">
      <c r="A78" s="58">
        <v>2</v>
      </c>
      <c r="B78" s="272" t="s">
        <v>63</v>
      </c>
      <c r="C78" s="272"/>
      <c r="D78" s="272"/>
      <c r="E78" s="272"/>
      <c r="F78" s="4"/>
      <c r="G78" s="3"/>
    </row>
    <row r="79" spans="1:7" ht="15.75" customHeight="1">
      <c r="A79" s="32" t="s">
        <v>64</v>
      </c>
      <c r="B79" s="282" t="str">
        <f>B70</f>
        <v>Preposto/Encarregado - Rateio p/ 3 itens</v>
      </c>
      <c r="C79" s="282"/>
      <c r="D79" s="282"/>
      <c r="E79" s="282"/>
      <c r="F79" s="4"/>
      <c r="G79" s="3"/>
    </row>
    <row r="80" spans="1:7" ht="15.75" customHeight="1">
      <c r="A80" s="7"/>
      <c r="B80" s="275" t="s">
        <v>65</v>
      </c>
      <c r="C80" s="275"/>
      <c r="D80" s="44" t="s">
        <v>66</v>
      </c>
      <c r="E80" s="44" t="s">
        <v>10</v>
      </c>
      <c r="F80" s="44" t="s">
        <v>67</v>
      </c>
      <c r="G80" s="10" t="s">
        <v>12</v>
      </c>
    </row>
    <row r="81" spans="1:7" ht="15.75" customHeight="1">
      <c r="A81" s="7" t="s">
        <v>68</v>
      </c>
      <c r="B81" s="274" t="s">
        <v>69</v>
      </c>
      <c r="C81" s="274"/>
      <c r="D81" s="59">
        <v>3</v>
      </c>
      <c r="E81" s="47">
        <v>72.2</v>
      </c>
      <c r="F81" s="23">
        <f>(D81)*E81/12/3</f>
        <v>6.02</v>
      </c>
      <c r="G81" s="8"/>
    </row>
    <row r="82" spans="1:7" ht="15.75" customHeight="1">
      <c r="A82" s="7" t="s">
        <v>70</v>
      </c>
      <c r="B82" s="274" t="s">
        <v>71</v>
      </c>
      <c r="C82" s="274"/>
      <c r="D82" s="59">
        <v>3</v>
      </c>
      <c r="E82" s="47">
        <v>52.07</v>
      </c>
      <c r="F82" s="23">
        <f t="shared" ref="F82:F97" si="0">(D82)*E82/12/3</f>
        <v>4.34</v>
      </c>
      <c r="G82" s="8"/>
    </row>
    <row r="83" spans="1:7" ht="15.75" customHeight="1">
      <c r="A83" s="7" t="s">
        <v>72</v>
      </c>
      <c r="B83" s="274" t="s">
        <v>444</v>
      </c>
      <c r="C83" s="274"/>
      <c r="D83" s="59">
        <v>1</v>
      </c>
      <c r="E83" s="47">
        <v>31.8</v>
      </c>
      <c r="F83" s="23">
        <f t="shared" si="0"/>
        <v>0.88</v>
      </c>
      <c r="G83" s="8"/>
    </row>
    <row r="84" spans="1:7" ht="15.75" customHeight="1">
      <c r="A84" s="7" t="s">
        <v>73</v>
      </c>
      <c r="B84" s="274" t="s">
        <v>74</v>
      </c>
      <c r="C84" s="274"/>
      <c r="D84" s="59">
        <v>0</v>
      </c>
      <c r="E84" s="47">
        <v>31.25</v>
      </c>
      <c r="F84" s="23">
        <f t="shared" si="0"/>
        <v>0</v>
      </c>
      <c r="G84" s="8"/>
    </row>
    <row r="85" spans="1:7" ht="15.75" customHeight="1">
      <c r="A85" s="7" t="s">
        <v>75</v>
      </c>
      <c r="B85" s="274" t="s">
        <v>76</v>
      </c>
      <c r="C85" s="274"/>
      <c r="D85" s="59">
        <v>0</v>
      </c>
      <c r="E85" s="47">
        <v>115.13</v>
      </c>
      <c r="F85" s="23">
        <f t="shared" si="0"/>
        <v>0</v>
      </c>
      <c r="G85" s="8"/>
    </row>
    <row r="86" spans="1:7" ht="15.75" customHeight="1">
      <c r="A86" s="7" t="s">
        <v>77</v>
      </c>
      <c r="B86" s="274" t="s">
        <v>78</v>
      </c>
      <c r="C86" s="274"/>
      <c r="D86" s="59">
        <v>2</v>
      </c>
      <c r="E86" s="47">
        <v>29.74</v>
      </c>
      <c r="F86" s="23">
        <f t="shared" si="0"/>
        <v>1.65</v>
      </c>
      <c r="G86" s="8"/>
    </row>
    <row r="87" spans="1:7" ht="15.75" customHeight="1">
      <c r="A87" s="7" t="s">
        <v>79</v>
      </c>
      <c r="B87" s="274" t="s">
        <v>80</v>
      </c>
      <c r="C87" s="274"/>
      <c r="D87" s="59">
        <v>1</v>
      </c>
      <c r="E87" s="47">
        <v>30.09</v>
      </c>
      <c r="F87" s="23">
        <f t="shared" si="0"/>
        <v>0.84</v>
      </c>
      <c r="G87" s="8"/>
    </row>
    <row r="88" spans="1:7" ht="15.75" customHeight="1">
      <c r="A88" s="7" t="s">
        <v>81</v>
      </c>
      <c r="B88" s="274" t="s">
        <v>82</v>
      </c>
      <c r="C88" s="274"/>
      <c r="D88" s="59">
        <v>0</v>
      </c>
      <c r="E88" s="47">
        <v>0</v>
      </c>
      <c r="F88" s="23">
        <f t="shared" si="0"/>
        <v>0</v>
      </c>
      <c r="G88" s="8"/>
    </row>
    <row r="89" spans="1:7" ht="15.75" customHeight="1">
      <c r="A89" s="7" t="s">
        <v>83</v>
      </c>
      <c r="B89" s="274" t="s">
        <v>84</v>
      </c>
      <c r="C89" s="274"/>
      <c r="D89" s="59">
        <v>2</v>
      </c>
      <c r="E89" s="47">
        <v>73.31</v>
      </c>
      <c r="F89" s="23">
        <f t="shared" si="0"/>
        <v>4.07</v>
      </c>
      <c r="G89" s="8"/>
    </row>
    <row r="90" spans="1:7" ht="15.75" customHeight="1">
      <c r="A90" s="7" t="s">
        <v>85</v>
      </c>
      <c r="B90" s="281" t="s">
        <v>86</v>
      </c>
      <c r="C90" s="281"/>
      <c r="D90" s="59">
        <v>0</v>
      </c>
      <c r="E90" s="233">
        <v>0</v>
      </c>
      <c r="F90" s="23">
        <f t="shared" si="0"/>
        <v>0</v>
      </c>
      <c r="G90" s="8"/>
    </row>
    <row r="91" spans="1:7" ht="15.75" customHeight="1">
      <c r="A91" s="7" t="s">
        <v>87</v>
      </c>
      <c r="B91" s="274" t="s">
        <v>88</v>
      </c>
      <c r="C91" s="274"/>
      <c r="D91" s="59">
        <v>0</v>
      </c>
      <c r="E91" s="233">
        <v>59.04</v>
      </c>
      <c r="F91" s="23">
        <f t="shared" si="0"/>
        <v>0</v>
      </c>
      <c r="G91" s="8"/>
    </row>
    <row r="92" spans="1:7" ht="15.75" customHeight="1">
      <c r="A92" s="7" t="s">
        <v>89</v>
      </c>
      <c r="B92" s="274" t="s">
        <v>90</v>
      </c>
      <c r="C92" s="274"/>
      <c r="D92" s="59">
        <v>0</v>
      </c>
      <c r="E92" s="47">
        <v>4.04</v>
      </c>
      <c r="F92" s="23">
        <f t="shared" si="0"/>
        <v>0</v>
      </c>
      <c r="G92" s="8"/>
    </row>
    <row r="93" spans="1:7" ht="15.75" customHeight="1">
      <c r="A93" s="7" t="s">
        <v>91</v>
      </c>
      <c r="B93" s="274" t="s">
        <v>92</v>
      </c>
      <c r="C93" s="274"/>
      <c r="D93" s="59">
        <v>1</v>
      </c>
      <c r="E93" s="47">
        <v>14.64</v>
      </c>
      <c r="F93" s="23">
        <f t="shared" si="0"/>
        <v>0.41</v>
      </c>
      <c r="G93" s="8"/>
    </row>
    <row r="94" spans="1:7" ht="15.75" customHeight="1">
      <c r="A94" s="7" t="s">
        <v>93</v>
      </c>
      <c r="B94" s="274" t="s">
        <v>94</v>
      </c>
      <c r="C94" s="274"/>
      <c r="D94" s="59">
        <v>0</v>
      </c>
      <c r="E94" s="47">
        <v>12.7</v>
      </c>
      <c r="F94" s="23">
        <f t="shared" si="0"/>
        <v>0</v>
      </c>
      <c r="G94" s="8"/>
    </row>
    <row r="95" spans="1:7" ht="15.75" customHeight="1">
      <c r="A95" s="7" t="s">
        <v>95</v>
      </c>
      <c r="B95" s="274" t="s">
        <v>96</v>
      </c>
      <c r="C95" s="274"/>
      <c r="D95" s="59">
        <v>0</v>
      </c>
      <c r="E95" s="47">
        <v>7.36</v>
      </c>
      <c r="F95" s="23">
        <f t="shared" si="0"/>
        <v>0</v>
      </c>
      <c r="G95" s="8"/>
    </row>
    <row r="96" spans="1:7" ht="15.75" customHeight="1">
      <c r="A96" s="7" t="s">
        <v>97</v>
      </c>
      <c r="B96" s="274" t="s">
        <v>98</v>
      </c>
      <c r="C96" s="274"/>
      <c r="D96" s="59">
        <v>0</v>
      </c>
      <c r="E96" s="47">
        <v>16.329999999999998</v>
      </c>
      <c r="F96" s="23">
        <f t="shared" si="0"/>
        <v>0</v>
      </c>
      <c r="G96" s="8"/>
    </row>
    <row r="97" spans="1:7" s="236" customFormat="1" ht="15.75" customHeight="1">
      <c r="A97" s="7" t="s">
        <v>419</v>
      </c>
      <c r="B97" s="281" t="s">
        <v>99</v>
      </c>
      <c r="C97" s="281"/>
      <c r="D97" s="234">
        <v>0</v>
      </c>
      <c r="E97" s="233">
        <v>100</v>
      </c>
      <c r="F97" s="23">
        <f t="shared" si="0"/>
        <v>0</v>
      </c>
      <c r="G97" s="235"/>
    </row>
    <row r="98" spans="1:7" ht="15.75" customHeight="1">
      <c r="A98" s="7"/>
      <c r="B98" s="274" t="s">
        <v>100</v>
      </c>
      <c r="C98" s="274"/>
      <c r="D98" s="274"/>
      <c r="E98" s="274"/>
      <c r="F98" s="23">
        <f>SUM(F81:F97)</f>
        <v>18.21</v>
      </c>
      <c r="G98" s="8"/>
    </row>
    <row r="99" spans="1:7" ht="15.75" customHeight="1">
      <c r="A99" s="7"/>
      <c r="B99" s="278" t="s">
        <v>101</v>
      </c>
      <c r="C99" s="278"/>
      <c r="D99" s="60">
        <f>D16</f>
        <v>1</v>
      </c>
      <c r="E99" s="23">
        <f>(F98)</f>
        <v>18.21</v>
      </c>
      <c r="F99" s="23">
        <f>SUM(D99*E99)</f>
        <v>18.21</v>
      </c>
      <c r="G99" s="8"/>
    </row>
    <row r="100" spans="1:7" ht="15.75" customHeight="1">
      <c r="A100" s="7"/>
      <c r="B100" s="275" t="s">
        <v>28</v>
      </c>
      <c r="C100" s="275"/>
      <c r="D100" s="61"/>
      <c r="E100" s="19"/>
      <c r="F100" s="19"/>
      <c r="G100" s="62">
        <f>(F99)</f>
        <v>18.21</v>
      </c>
    </row>
    <row r="101" spans="1:7" ht="15.75" customHeight="1">
      <c r="A101" s="5"/>
      <c r="B101" s="56"/>
      <c r="C101" s="4"/>
      <c r="D101" s="4"/>
      <c r="E101" s="4"/>
      <c r="F101" s="4"/>
      <c r="G101" s="57"/>
    </row>
    <row r="102" spans="1:7" ht="15.75" customHeight="1">
      <c r="A102" s="58">
        <v>2</v>
      </c>
      <c r="B102" s="272" t="s">
        <v>63</v>
      </c>
      <c r="C102" s="272"/>
      <c r="D102" s="272"/>
      <c r="E102" s="272"/>
      <c r="F102" s="4"/>
      <c r="G102" s="3"/>
    </row>
    <row r="103" spans="1:7" ht="15.75" customHeight="1">
      <c r="A103" s="32" t="s">
        <v>102</v>
      </c>
      <c r="B103" s="282" t="str">
        <f>B72</f>
        <v>Auxiliar de serviços Gerais/Jardineiro  - Rateio p/ 3 itens</v>
      </c>
      <c r="C103" s="282"/>
      <c r="D103" s="282"/>
      <c r="E103" s="282"/>
      <c r="F103" s="4"/>
      <c r="G103" s="3"/>
    </row>
    <row r="104" spans="1:7" ht="15.75" customHeight="1">
      <c r="A104" s="7"/>
      <c r="B104" s="275" t="s">
        <v>65</v>
      </c>
      <c r="C104" s="275"/>
      <c r="D104" s="44" t="s">
        <v>66</v>
      </c>
      <c r="E104" s="44" t="s">
        <v>10</v>
      </c>
      <c r="F104" s="44" t="s">
        <v>67</v>
      </c>
      <c r="G104" s="10" t="s">
        <v>12</v>
      </c>
    </row>
    <row r="105" spans="1:7" ht="15.75" customHeight="1">
      <c r="A105" s="7" t="s">
        <v>103</v>
      </c>
      <c r="B105" s="274" t="s">
        <v>69</v>
      </c>
      <c r="C105" s="274"/>
      <c r="D105" s="59">
        <v>16</v>
      </c>
      <c r="E105" s="47">
        <v>72.2</v>
      </c>
      <c r="F105" s="23">
        <f>(D105)*E105/12/3</f>
        <v>32.090000000000003</v>
      </c>
      <c r="G105" s="8"/>
    </row>
    <row r="106" spans="1:7" ht="15.75" customHeight="1">
      <c r="A106" s="7" t="s">
        <v>104</v>
      </c>
      <c r="B106" s="274" t="s">
        <v>71</v>
      </c>
      <c r="C106" s="274"/>
      <c r="D106" s="59">
        <v>16</v>
      </c>
      <c r="E106" s="47">
        <v>52.07</v>
      </c>
      <c r="F106" s="23">
        <f t="shared" ref="F106:F121" si="1">(D106)*E106/12/3</f>
        <v>23.14</v>
      </c>
      <c r="G106" s="8"/>
    </row>
    <row r="107" spans="1:7" ht="15.75" customHeight="1">
      <c r="A107" s="7" t="s">
        <v>105</v>
      </c>
      <c r="B107" s="274" t="s">
        <v>444</v>
      </c>
      <c r="C107" s="274"/>
      <c r="D107" s="59">
        <v>1</v>
      </c>
      <c r="E107" s="47">
        <v>31.8</v>
      </c>
      <c r="F107" s="23">
        <f t="shared" si="1"/>
        <v>0.88</v>
      </c>
      <c r="G107" s="8"/>
    </row>
    <row r="108" spans="1:7" ht="15.75" customHeight="1">
      <c r="A108" s="7" t="s">
        <v>106</v>
      </c>
      <c r="B108" s="274" t="s">
        <v>74</v>
      </c>
      <c r="C108" s="274"/>
      <c r="D108" s="59">
        <v>4</v>
      </c>
      <c r="E108" s="47">
        <v>31.25</v>
      </c>
      <c r="F108" s="23">
        <f t="shared" si="1"/>
        <v>3.47</v>
      </c>
      <c r="G108" s="8"/>
    </row>
    <row r="109" spans="1:7" ht="15.75" customHeight="1">
      <c r="A109" s="7" t="s">
        <v>107</v>
      </c>
      <c r="B109" s="274" t="s">
        <v>76</v>
      </c>
      <c r="C109" s="274"/>
      <c r="D109" s="59">
        <v>4</v>
      </c>
      <c r="E109" s="47">
        <v>115.13</v>
      </c>
      <c r="F109" s="23">
        <f t="shared" si="1"/>
        <v>12.79</v>
      </c>
      <c r="G109" s="8"/>
    </row>
    <row r="110" spans="1:7" ht="15.75" customHeight="1">
      <c r="A110" s="7" t="s">
        <v>108</v>
      </c>
      <c r="B110" s="274" t="s">
        <v>78</v>
      </c>
      <c r="C110" s="274"/>
      <c r="D110" s="59">
        <v>12</v>
      </c>
      <c r="E110" s="47">
        <v>29.74</v>
      </c>
      <c r="F110" s="23">
        <f t="shared" si="1"/>
        <v>9.91</v>
      </c>
      <c r="G110" s="8"/>
    </row>
    <row r="111" spans="1:7" ht="15.75" customHeight="1">
      <c r="A111" s="7" t="s">
        <v>109</v>
      </c>
      <c r="B111" s="274" t="s">
        <v>80</v>
      </c>
      <c r="C111" s="274"/>
      <c r="D111" s="59">
        <v>4</v>
      </c>
      <c r="E111" s="47">
        <v>30.09</v>
      </c>
      <c r="F111" s="23">
        <f t="shared" si="1"/>
        <v>3.34</v>
      </c>
      <c r="G111" s="8"/>
    </row>
    <row r="112" spans="1:7" ht="15.75" customHeight="1">
      <c r="A112" s="7" t="s">
        <v>110</v>
      </c>
      <c r="B112" s="274" t="s">
        <v>82</v>
      </c>
      <c r="C112" s="274"/>
      <c r="D112" s="59">
        <v>0</v>
      </c>
      <c r="E112" s="47">
        <v>0</v>
      </c>
      <c r="F112" s="23">
        <f t="shared" si="1"/>
        <v>0</v>
      </c>
      <c r="G112" s="8"/>
    </row>
    <row r="113" spans="1:7" ht="15.75" customHeight="1">
      <c r="A113" s="7" t="s">
        <v>111</v>
      </c>
      <c r="B113" s="274" t="s">
        <v>84</v>
      </c>
      <c r="C113" s="274"/>
      <c r="D113" s="59">
        <v>8</v>
      </c>
      <c r="E113" s="47">
        <v>73.31</v>
      </c>
      <c r="F113" s="23">
        <f t="shared" si="1"/>
        <v>16.29</v>
      </c>
      <c r="G113" s="8"/>
    </row>
    <row r="114" spans="1:7" ht="15.75" customHeight="1">
      <c r="A114" s="7" t="s">
        <v>112</v>
      </c>
      <c r="B114" s="274" t="s">
        <v>86</v>
      </c>
      <c r="C114" s="274"/>
      <c r="D114" s="59">
        <v>0</v>
      </c>
      <c r="E114" s="233">
        <v>0</v>
      </c>
      <c r="F114" s="23">
        <f t="shared" si="1"/>
        <v>0</v>
      </c>
      <c r="G114" s="8"/>
    </row>
    <row r="115" spans="1:7" ht="15.75" customHeight="1">
      <c r="A115" s="7" t="s">
        <v>113</v>
      </c>
      <c r="B115" s="274" t="s">
        <v>88</v>
      </c>
      <c r="C115" s="274"/>
      <c r="D115" s="59">
        <v>2</v>
      </c>
      <c r="E115" s="233">
        <v>59.04</v>
      </c>
      <c r="F115" s="23">
        <f t="shared" si="1"/>
        <v>3.28</v>
      </c>
      <c r="G115" s="8"/>
    </row>
    <row r="116" spans="1:7" ht="15.75" customHeight="1">
      <c r="A116" s="7" t="s">
        <v>114</v>
      </c>
      <c r="B116" s="274" t="s">
        <v>90</v>
      </c>
      <c r="C116" s="274"/>
      <c r="D116" s="59">
        <v>8</v>
      </c>
      <c r="E116" s="47">
        <v>4.04</v>
      </c>
      <c r="F116" s="23">
        <f t="shared" si="1"/>
        <v>0.9</v>
      </c>
      <c r="G116" s="8"/>
    </row>
    <row r="117" spans="1:7" ht="15.75" customHeight="1">
      <c r="A117" s="7" t="s">
        <v>115</v>
      </c>
      <c r="B117" s="274" t="s">
        <v>92</v>
      </c>
      <c r="C117" s="274"/>
      <c r="D117" s="59">
        <v>6</v>
      </c>
      <c r="E117" s="47">
        <v>14.64</v>
      </c>
      <c r="F117" s="23">
        <f t="shared" si="1"/>
        <v>2.44</v>
      </c>
      <c r="G117" s="8"/>
    </row>
    <row r="118" spans="1:7" ht="15.75" customHeight="1">
      <c r="A118" s="7" t="s">
        <v>116</v>
      </c>
      <c r="B118" s="274" t="s">
        <v>94</v>
      </c>
      <c r="C118" s="274"/>
      <c r="D118" s="59">
        <v>24</v>
      </c>
      <c r="E118" s="47">
        <v>12.7</v>
      </c>
      <c r="F118" s="23">
        <f t="shared" si="1"/>
        <v>8.4700000000000006</v>
      </c>
      <c r="G118" s="8"/>
    </row>
    <row r="119" spans="1:7" ht="15.75" customHeight="1">
      <c r="A119" s="7" t="s">
        <v>117</v>
      </c>
      <c r="B119" s="274" t="s">
        <v>96</v>
      </c>
      <c r="C119" s="274"/>
      <c r="D119" s="59">
        <v>72</v>
      </c>
      <c r="E119" s="47">
        <v>7.36</v>
      </c>
      <c r="F119" s="23">
        <f t="shared" si="1"/>
        <v>14.72</v>
      </c>
      <c r="G119" s="8"/>
    </row>
    <row r="120" spans="1:7" ht="15.75" customHeight="1">
      <c r="A120" s="7" t="s">
        <v>118</v>
      </c>
      <c r="B120" s="274" t="s">
        <v>98</v>
      </c>
      <c r="C120" s="274"/>
      <c r="D120" s="59">
        <v>8</v>
      </c>
      <c r="E120" s="47">
        <v>16.329999999999998</v>
      </c>
      <c r="F120" s="23">
        <f t="shared" si="1"/>
        <v>3.63</v>
      </c>
      <c r="G120" s="8"/>
    </row>
    <row r="121" spans="1:7" s="236" customFormat="1" ht="15.75" customHeight="1">
      <c r="A121" s="7" t="s">
        <v>433</v>
      </c>
      <c r="B121" s="281" t="s">
        <v>99</v>
      </c>
      <c r="C121" s="281"/>
      <c r="D121" s="234">
        <v>0</v>
      </c>
      <c r="E121" s="233">
        <v>100</v>
      </c>
      <c r="F121" s="23">
        <f t="shared" si="1"/>
        <v>0</v>
      </c>
      <c r="G121" s="235"/>
    </row>
    <row r="122" spans="1:7" ht="15.75" customHeight="1">
      <c r="A122" s="7"/>
      <c r="B122" s="274" t="s">
        <v>100</v>
      </c>
      <c r="C122" s="274"/>
      <c r="D122" s="274"/>
      <c r="E122" s="274"/>
      <c r="F122" s="23">
        <f>SUM(F105:F121)</f>
        <v>135.35</v>
      </c>
      <c r="G122" s="8"/>
    </row>
    <row r="123" spans="1:7" ht="15.75" customHeight="1">
      <c r="A123" s="7"/>
      <c r="B123" s="278" t="s">
        <v>101</v>
      </c>
      <c r="C123" s="278"/>
      <c r="D123" s="60">
        <v>1</v>
      </c>
      <c r="E123" s="23">
        <f>(F122)</f>
        <v>135.35</v>
      </c>
      <c r="F123" s="23">
        <f>SUM(D123*E123)</f>
        <v>135.35</v>
      </c>
      <c r="G123" s="8"/>
    </row>
    <row r="124" spans="1:7" ht="15.75" customHeight="1">
      <c r="A124" s="7"/>
      <c r="B124" s="275" t="s">
        <v>28</v>
      </c>
      <c r="C124" s="275"/>
      <c r="D124" s="61"/>
      <c r="E124" s="19"/>
      <c r="F124" s="19"/>
      <c r="G124" s="62">
        <f>(F123)</f>
        <v>135.35</v>
      </c>
    </row>
    <row r="125" spans="1:7" ht="15.75" customHeight="1">
      <c r="A125" s="5"/>
      <c r="B125" s="56"/>
      <c r="C125" s="4"/>
      <c r="D125" s="4"/>
      <c r="E125" s="4"/>
      <c r="F125" s="4"/>
      <c r="G125" s="57"/>
    </row>
    <row r="126" spans="1:7" ht="15.75" customHeight="1">
      <c r="A126" s="58">
        <v>2</v>
      </c>
      <c r="B126" s="272" t="s">
        <v>63</v>
      </c>
      <c r="C126" s="272"/>
      <c r="D126" s="272"/>
      <c r="E126" s="272"/>
      <c r="F126" s="4"/>
      <c r="G126" s="3"/>
    </row>
    <row r="127" spans="1:7" ht="15.75" customHeight="1">
      <c r="A127" s="32" t="s">
        <v>119</v>
      </c>
      <c r="B127" s="282" t="str">
        <f>B74</f>
        <v>Motorista   - Rateio p/ 3 itens</v>
      </c>
      <c r="C127" s="282"/>
      <c r="D127" s="282"/>
      <c r="E127" s="282"/>
      <c r="F127" s="4"/>
      <c r="G127" s="3"/>
    </row>
    <row r="128" spans="1:7" ht="15.75" customHeight="1">
      <c r="A128" s="7"/>
      <c r="B128" s="275" t="s">
        <v>65</v>
      </c>
      <c r="C128" s="275"/>
      <c r="D128" s="44" t="s">
        <v>66</v>
      </c>
      <c r="E128" s="44" t="s">
        <v>10</v>
      </c>
      <c r="F128" s="44" t="s">
        <v>67</v>
      </c>
      <c r="G128" s="10" t="s">
        <v>12</v>
      </c>
    </row>
    <row r="129" spans="1:7" ht="15.75" customHeight="1">
      <c r="A129" s="7" t="s">
        <v>120</v>
      </c>
      <c r="B129" s="274" t="s">
        <v>69</v>
      </c>
      <c r="C129" s="274"/>
      <c r="D129" s="59">
        <v>3</v>
      </c>
      <c r="E129" s="47">
        <v>72.2</v>
      </c>
      <c r="F129" s="23">
        <f>(D129)*E129/12/3</f>
        <v>6.02</v>
      </c>
      <c r="G129" s="8"/>
    </row>
    <row r="130" spans="1:7" ht="15.75" customHeight="1">
      <c r="A130" s="7" t="s">
        <v>121</v>
      </c>
      <c r="B130" s="274" t="s">
        <v>71</v>
      </c>
      <c r="C130" s="274"/>
      <c r="D130" s="59">
        <v>3</v>
      </c>
      <c r="E130" s="47">
        <v>52.07</v>
      </c>
      <c r="F130" s="23">
        <f t="shared" ref="F130:F145" si="2">(D130)*E130/12/3</f>
        <v>4.34</v>
      </c>
      <c r="G130" s="8"/>
    </row>
    <row r="131" spans="1:7" ht="15.75" customHeight="1">
      <c r="A131" s="7" t="s">
        <v>122</v>
      </c>
      <c r="B131" s="274" t="s">
        <v>444</v>
      </c>
      <c r="C131" s="274"/>
      <c r="D131" s="59">
        <v>1</v>
      </c>
      <c r="E131" s="47">
        <v>31.8</v>
      </c>
      <c r="F131" s="23">
        <f t="shared" si="2"/>
        <v>0.88</v>
      </c>
      <c r="G131" s="8"/>
    </row>
    <row r="132" spans="1:7" ht="15.75" customHeight="1">
      <c r="A132" s="7" t="s">
        <v>123</v>
      </c>
      <c r="B132" s="274" t="s">
        <v>74</v>
      </c>
      <c r="C132" s="274"/>
      <c r="D132" s="59">
        <v>0</v>
      </c>
      <c r="E132" s="47">
        <v>31.25</v>
      </c>
      <c r="F132" s="23">
        <f t="shared" si="2"/>
        <v>0</v>
      </c>
      <c r="G132" s="8"/>
    </row>
    <row r="133" spans="1:7" ht="15.75" customHeight="1">
      <c r="A133" s="7" t="s">
        <v>124</v>
      </c>
      <c r="B133" s="274" t="s">
        <v>76</v>
      </c>
      <c r="C133" s="274"/>
      <c r="D133" s="59">
        <v>0</v>
      </c>
      <c r="E133" s="47">
        <v>115.13</v>
      </c>
      <c r="F133" s="23">
        <f t="shared" si="2"/>
        <v>0</v>
      </c>
      <c r="G133" s="8"/>
    </row>
    <row r="134" spans="1:7" ht="15.75" customHeight="1">
      <c r="A134" s="7" t="s">
        <v>125</v>
      </c>
      <c r="B134" s="274" t="s">
        <v>78</v>
      </c>
      <c r="C134" s="274"/>
      <c r="D134" s="59">
        <v>2</v>
      </c>
      <c r="E134" s="47">
        <v>29.74</v>
      </c>
      <c r="F134" s="23">
        <f t="shared" si="2"/>
        <v>1.65</v>
      </c>
      <c r="G134" s="8"/>
    </row>
    <row r="135" spans="1:7" ht="15.75" customHeight="1">
      <c r="A135" s="7" t="s">
        <v>126</v>
      </c>
      <c r="B135" s="274" t="s">
        <v>80</v>
      </c>
      <c r="C135" s="274"/>
      <c r="D135" s="59">
        <v>1</v>
      </c>
      <c r="E135" s="47">
        <v>30.09</v>
      </c>
      <c r="F135" s="23">
        <f t="shared" si="2"/>
        <v>0.84</v>
      </c>
      <c r="G135" s="8"/>
    </row>
    <row r="136" spans="1:7" ht="15.75" customHeight="1">
      <c r="A136" s="7" t="s">
        <v>127</v>
      </c>
      <c r="B136" s="274" t="s">
        <v>82</v>
      </c>
      <c r="C136" s="274"/>
      <c r="D136" s="59">
        <v>0</v>
      </c>
      <c r="E136" s="47">
        <v>0</v>
      </c>
      <c r="F136" s="23">
        <f t="shared" si="2"/>
        <v>0</v>
      </c>
      <c r="G136" s="8"/>
    </row>
    <row r="137" spans="1:7" ht="15.75" customHeight="1">
      <c r="A137" s="7" t="s">
        <v>128</v>
      </c>
      <c r="B137" s="274" t="s">
        <v>84</v>
      </c>
      <c r="C137" s="274"/>
      <c r="D137" s="59">
        <v>2</v>
      </c>
      <c r="E137" s="47">
        <v>73.31</v>
      </c>
      <c r="F137" s="23">
        <f t="shared" si="2"/>
        <v>4.07</v>
      </c>
      <c r="G137" s="8"/>
    </row>
    <row r="138" spans="1:7" ht="15.75" customHeight="1">
      <c r="A138" s="7" t="s">
        <v>129</v>
      </c>
      <c r="B138" s="274" t="s">
        <v>86</v>
      </c>
      <c r="C138" s="274"/>
      <c r="D138" s="59">
        <v>0</v>
      </c>
      <c r="E138" s="233">
        <v>0</v>
      </c>
      <c r="F138" s="23">
        <f t="shared" si="2"/>
        <v>0</v>
      </c>
      <c r="G138" s="8"/>
    </row>
    <row r="139" spans="1:7" ht="15.75" customHeight="1">
      <c r="A139" s="7" t="s">
        <v>130</v>
      </c>
      <c r="B139" s="274" t="s">
        <v>88</v>
      </c>
      <c r="C139" s="274"/>
      <c r="D139" s="59">
        <v>0</v>
      </c>
      <c r="E139" s="233">
        <v>59.04</v>
      </c>
      <c r="F139" s="23">
        <f t="shared" si="2"/>
        <v>0</v>
      </c>
      <c r="G139" s="8"/>
    </row>
    <row r="140" spans="1:7" ht="15.75" customHeight="1">
      <c r="A140" s="7" t="s">
        <v>131</v>
      </c>
      <c r="B140" s="274" t="s">
        <v>90</v>
      </c>
      <c r="C140" s="274"/>
      <c r="D140" s="59">
        <v>0</v>
      </c>
      <c r="E140" s="47">
        <v>4.04</v>
      </c>
      <c r="F140" s="23">
        <f t="shared" si="2"/>
        <v>0</v>
      </c>
      <c r="G140" s="8"/>
    </row>
    <row r="141" spans="1:7" ht="15.75" customHeight="1">
      <c r="A141" s="7" t="s">
        <v>132</v>
      </c>
      <c r="B141" s="274" t="s">
        <v>92</v>
      </c>
      <c r="C141" s="274"/>
      <c r="D141" s="59">
        <v>1</v>
      </c>
      <c r="E141" s="47">
        <v>14.64</v>
      </c>
      <c r="F141" s="23">
        <f t="shared" si="2"/>
        <v>0.41</v>
      </c>
      <c r="G141" s="8"/>
    </row>
    <row r="142" spans="1:7" ht="15.75" customHeight="1">
      <c r="A142" s="7" t="s">
        <v>133</v>
      </c>
      <c r="B142" s="274" t="s">
        <v>94</v>
      </c>
      <c r="C142" s="274"/>
      <c r="D142" s="59">
        <v>0</v>
      </c>
      <c r="E142" s="47">
        <v>12.7</v>
      </c>
      <c r="F142" s="23">
        <f t="shared" si="2"/>
        <v>0</v>
      </c>
      <c r="G142" s="8"/>
    </row>
    <row r="143" spans="1:7" ht="15.75" customHeight="1">
      <c r="A143" s="7" t="s">
        <v>134</v>
      </c>
      <c r="B143" s="274" t="s">
        <v>96</v>
      </c>
      <c r="C143" s="274"/>
      <c r="D143" s="59">
        <v>0</v>
      </c>
      <c r="E143" s="47">
        <v>7.36</v>
      </c>
      <c r="F143" s="23">
        <f t="shared" si="2"/>
        <v>0</v>
      </c>
      <c r="G143" s="8"/>
    </row>
    <row r="144" spans="1:7" ht="15.75" customHeight="1">
      <c r="A144" s="7" t="s">
        <v>135</v>
      </c>
      <c r="B144" s="274" t="s">
        <v>98</v>
      </c>
      <c r="C144" s="274"/>
      <c r="D144" s="59">
        <v>0</v>
      </c>
      <c r="E144" s="47">
        <v>16.329999999999998</v>
      </c>
      <c r="F144" s="23">
        <f t="shared" si="2"/>
        <v>0</v>
      </c>
      <c r="G144" s="8"/>
    </row>
    <row r="145" spans="1:7" s="236" customFormat="1" ht="15.75" customHeight="1">
      <c r="A145" s="7" t="s">
        <v>434</v>
      </c>
      <c r="B145" s="281" t="s">
        <v>99</v>
      </c>
      <c r="C145" s="281"/>
      <c r="D145" s="234">
        <v>0</v>
      </c>
      <c r="E145" s="233">
        <v>100</v>
      </c>
      <c r="F145" s="23">
        <f t="shared" si="2"/>
        <v>0</v>
      </c>
      <c r="G145" s="235"/>
    </row>
    <row r="146" spans="1:7" ht="15.75" customHeight="1">
      <c r="A146" s="7"/>
      <c r="B146" s="274" t="s">
        <v>100</v>
      </c>
      <c r="C146" s="274"/>
      <c r="D146" s="274"/>
      <c r="E146" s="274"/>
      <c r="F146" s="23">
        <f>SUM(F129:F145)</f>
        <v>18.21</v>
      </c>
      <c r="G146" s="8"/>
    </row>
    <row r="147" spans="1:7" ht="15.75" customHeight="1">
      <c r="A147" s="7"/>
      <c r="B147" s="278" t="s">
        <v>101</v>
      </c>
      <c r="C147" s="278"/>
      <c r="D147" s="60">
        <v>1</v>
      </c>
      <c r="E147" s="23">
        <f>(F146)</f>
        <v>18.21</v>
      </c>
      <c r="F147" s="23">
        <f>SUM(D147*E147)</f>
        <v>18.21</v>
      </c>
      <c r="G147" s="8"/>
    </row>
    <row r="148" spans="1:7" ht="15.75" customHeight="1">
      <c r="A148" s="7"/>
      <c r="B148" s="275" t="s">
        <v>28</v>
      </c>
      <c r="C148" s="275"/>
      <c r="D148" s="61"/>
      <c r="E148" s="19"/>
      <c r="F148" s="19"/>
      <c r="G148" s="62">
        <f>(F147)</f>
        <v>18.21</v>
      </c>
    </row>
    <row r="149" spans="1:7" ht="15.75" customHeight="1">
      <c r="A149" s="29"/>
      <c r="B149" s="63"/>
      <c r="C149" s="63"/>
      <c r="D149" s="61"/>
      <c r="E149" s="19"/>
      <c r="F149" s="19"/>
      <c r="G149" s="64"/>
    </row>
    <row r="150" spans="1:7" s="65" customFormat="1">
      <c r="A150" s="273" t="s">
        <v>441</v>
      </c>
      <c r="B150" s="273"/>
      <c r="C150" s="273"/>
      <c r="D150" s="273"/>
      <c r="E150" s="277"/>
      <c r="F150" s="277"/>
    </row>
    <row r="151" spans="1:7" s="65" customFormat="1" hidden="1">
      <c r="A151" s="44" t="s">
        <v>136</v>
      </c>
      <c r="B151" s="44" t="s">
        <v>7</v>
      </c>
      <c r="C151" s="44" t="s">
        <v>137</v>
      </c>
      <c r="D151" s="44" t="s">
        <v>9</v>
      </c>
      <c r="E151" s="44" t="s">
        <v>10</v>
      </c>
      <c r="F151" s="44" t="s">
        <v>67</v>
      </c>
    </row>
    <row r="152" spans="1:7" s="65" customFormat="1" ht="15" hidden="1" customHeight="1">
      <c r="A152" s="7" t="s">
        <v>138</v>
      </c>
      <c r="B152" s="24" t="s">
        <v>139</v>
      </c>
      <c r="C152" s="24" t="s">
        <v>140</v>
      </c>
      <c r="D152" s="47"/>
      <c r="E152" s="47"/>
      <c r="F152" s="47">
        <f>ROUND(D152*E152,2)/12/3</f>
        <v>0</v>
      </c>
    </row>
    <row r="153" spans="1:7" s="65" customFormat="1" ht="15" hidden="1" customHeight="1">
      <c r="A153" s="7" t="s">
        <v>141</v>
      </c>
      <c r="B153" s="24" t="s">
        <v>142</v>
      </c>
      <c r="C153" s="24" t="s">
        <v>140</v>
      </c>
      <c r="D153" s="47"/>
      <c r="E153" s="47"/>
      <c r="F153" s="47">
        <f>ROUND(D153*E153,2)/12/3</f>
        <v>0</v>
      </c>
    </row>
    <row r="154" spans="1:7" s="65" customFormat="1" ht="15.75" hidden="1" customHeight="1">
      <c r="A154" s="7" t="s">
        <v>141</v>
      </c>
      <c r="B154" s="24" t="s">
        <v>432</v>
      </c>
      <c r="C154" s="24" t="s">
        <v>140</v>
      </c>
      <c r="D154" s="47"/>
      <c r="E154" s="47"/>
      <c r="F154" s="47">
        <f>ROUND(D154*E154,2)/12/3</f>
        <v>0</v>
      </c>
      <c r="G154" s="62">
        <f>SUM(F152:F154)</f>
        <v>0</v>
      </c>
    </row>
    <row r="155" spans="1:7" ht="15.75" customHeight="1">
      <c r="A155" s="29"/>
      <c r="B155" s="63"/>
      <c r="C155" s="63"/>
      <c r="D155" s="61"/>
      <c r="E155" s="19"/>
      <c r="F155" s="19"/>
      <c r="G155" s="64"/>
    </row>
    <row r="156" spans="1:7" ht="15.75" customHeight="1">
      <c r="A156" s="66" t="s">
        <v>143</v>
      </c>
      <c r="B156" s="279" t="s">
        <v>144</v>
      </c>
      <c r="C156" s="279"/>
      <c r="D156" s="279"/>
      <c r="E156" s="279"/>
    </row>
    <row r="157" spans="1:7" ht="15.75" customHeight="1">
      <c r="A157" s="32" t="s">
        <v>145</v>
      </c>
      <c r="B157" s="280" t="s">
        <v>447</v>
      </c>
      <c r="C157" s="280"/>
      <c r="D157" s="280"/>
      <c r="E157" s="280"/>
      <c r="F157"/>
      <c r="G157" s="67"/>
    </row>
    <row r="158" spans="1:7" ht="15.75" customHeight="1">
      <c r="A158" s="32" t="s">
        <v>146</v>
      </c>
      <c r="B158" s="68" t="s">
        <v>147</v>
      </c>
      <c r="C158" s="69"/>
      <c r="D158" s="70"/>
      <c r="E158" s="71" t="s">
        <v>148</v>
      </c>
      <c r="F158" s="72">
        <f>(D159+D164+D165+D166+D167)/3</f>
        <v>1073.8499999999999</v>
      </c>
    </row>
    <row r="159" spans="1:7" ht="30">
      <c r="A159" s="32" t="s">
        <v>149</v>
      </c>
      <c r="B159" s="71" t="s">
        <v>150</v>
      </c>
      <c r="C159" s="69" t="s">
        <v>151</v>
      </c>
      <c r="D159" s="72">
        <f>D161/12</f>
        <v>1503.48</v>
      </c>
      <c r="E159" s="70"/>
      <c r="F159" s="70"/>
    </row>
    <row r="160" spans="1:7" ht="15.75" customHeight="1">
      <c r="A160" s="32" t="s">
        <v>152</v>
      </c>
      <c r="B160" s="71" t="s">
        <v>395</v>
      </c>
      <c r="C160" s="69" t="s">
        <v>153</v>
      </c>
      <c r="D160" s="70">
        <v>225521.51</v>
      </c>
      <c r="E160" s="70"/>
      <c r="F160" s="70"/>
    </row>
    <row r="161" spans="1:7" ht="45.2" customHeight="1">
      <c r="A161" s="32" t="s">
        <v>154</v>
      </c>
      <c r="B161" s="71" t="s">
        <v>155</v>
      </c>
      <c r="C161" s="69" t="s">
        <v>156</v>
      </c>
      <c r="D161" s="73">
        <f>(D160-D162)/D163</f>
        <v>18041.72</v>
      </c>
      <c r="E161" s="70"/>
      <c r="F161" s="70"/>
    </row>
    <row r="162" spans="1:7" ht="15.75" customHeight="1">
      <c r="A162" s="32" t="s">
        <v>157</v>
      </c>
      <c r="B162" s="71" t="s">
        <v>158</v>
      </c>
      <c r="C162" s="74">
        <v>0.2</v>
      </c>
      <c r="D162" s="72">
        <f>D160*C162</f>
        <v>45104.3</v>
      </c>
      <c r="E162" s="70"/>
      <c r="F162" s="70"/>
    </row>
    <row r="163" spans="1:7" ht="15.75" customHeight="1">
      <c r="A163" s="32" t="s">
        <v>159</v>
      </c>
      <c r="B163" s="71" t="s">
        <v>160</v>
      </c>
      <c r="C163" s="75" t="s">
        <v>161</v>
      </c>
      <c r="D163" s="76">
        <v>10</v>
      </c>
      <c r="E163" s="70"/>
      <c r="F163" s="70"/>
    </row>
    <row r="164" spans="1:7" ht="15.75" customHeight="1">
      <c r="A164" s="32" t="s">
        <v>162</v>
      </c>
      <c r="B164" s="71" t="s">
        <v>163</v>
      </c>
      <c r="C164" s="69" t="s">
        <v>164</v>
      </c>
      <c r="D164" s="72">
        <f>194.5/12</f>
        <v>16.21</v>
      </c>
      <c r="E164" s="70"/>
      <c r="F164" s="70"/>
    </row>
    <row r="165" spans="1:7" ht="15.75" customHeight="1">
      <c r="A165" s="32" t="s">
        <v>165</v>
      </c>
      <c r="B165" s="71" t="s">
        <v>166</v>
      </c>
      <c r="C165" s="69" t="s">
        <v>167</v>
      </c>
      <c r="D165" s="72">
        <f>125.23/12</f>
        <v>10.44</v>
      </c>
      <c r="E165" s="70"/>
      <c r="F165" s="70"/>
    </row>
    <row r="166" spans="1:7" ht="34.9" customHeight="1">
      <c r="A166" s="32" t="s">
        <v>168</v>
      </c>
      <c r="B166" s="71" t="s">
        <v>169</v>
      </c>
      <c r="C166" s="69" t="s">
        <v>170</v>
      </c>
      <c r="D166" s="72">
        <f>(D160*0.06)/12</f>
        <v>1127.6099999999999</v>
      </c>
      <c r="E166" s="70"/>
      <c r="F166" s="70"/>
    </row>
    <row r="167" spans="1:7" ht="34.9" customHeight="1">
      <c r="A167" s="32" t="s">
        <v>171</v>
      </c>
      <c r="B167" s="71" t="s">
        <v>172</v>
      </c>
      <c r="C167" s="69" t="s">
        <v>173</v>
      </c>
      <c r="D167" s="72">
        <f>(D160*0.03)/12</f>
        <v>563.79999999999995</v>
      </c>
      <c r="E167" s="70"/>
      <c r="F167" s="70"/>
    </row>
    <row r="168" spans="1:7" ht="45">
      <c r="A168" s="32" t="s">
        <v>174</v>
      </c>
      <c r="B168" s="68" t="s">
        <v>175</v>
      </c>
      <c r="C168" s="77" t="s">
        <v>176</v>
      </c>
      <c r="D168" s="78">
        <v>1200</v>
      </c>
      <c r="E168" s="70" t="s">
        <v>148</v>
      </c>
      <c r="F168" s="72">
        <f>SUM(D169:D173)/3</f>
        <v>843.25</v>
      </c>
    </row>
    <row r="169" spans="1:7" ht="34.9" customHeight="1">
      <c r="A169" s="32" t="s">
        <v>177</v>
      </c>
      <c r="B169" s="71" t="s">
        <v>178</v>
      </c>
      <c r="C169" s="69" t="s">
        <v>179</v>
      </c>
      <c r="D169" s="72">
        <f>(D160*0.05)/12</f>
        <v>939.67</v>
      </c>
      <c r="E169" s="70"/>
      <c r="F169" s="70"/>
    </row>
    <row r="170" spans="1:7" ht="56.1" customHeight="1">
      <c r="A170" s="32" t="s">
        <v>180</v>
      </c>
      <c r="B170" s="71" t="s">
        <v>181</v>
      </c>
      <c r="C170" s="69" t="s">
        <v>182</v>
      </c>
      <c r="D170" s="72">
        <f>(469*4)/12</f>
        <v>156.33000000000001</v>
      </c>
      <c r="E170" s="70"/>
      <c r="F170" s="70"/>
    </row>
    <row r="171" spans="1:7" ht="75">
      <c r="A171" s="32" t="s">
        <v>183</v>
      </c>
      <c r="B171" s="71" t="s">
        <v>184</v>
      </c>
      <c r="C171" s="69" t="s">
        <v>450</v>
      </c>
      <c r="D171" s="72">
        <f>1200/7*7.44</f>
        <v>1275.43</v>
      </c>
      <c r="E171" s="70"/>
      <c r="F171" s="70"/>
    </row>
    <row r="172" spans="1:7" ht="60">
      <c r="A172" s="32" t="s">
        <v>185</v>
      </c>
      <c r="B172" s="79" t="s">
        <v>186</v>
      </c>
      <c r="C172" s="80" t="s">
        <v>187</v>
      </c>
      <c r="D172" s="72">
        <f>350*2/12</f>
        <v>58.33</v>
      </c>
      <c r="E172" s="81"/>
      <c r="F172" s="81"/>
      <c r="G172" s="82"/>
    </row>
    <row r="173" spans="1:7" ht="45">
      <c r="A173" s="32" t="s">
        <v>188</v>
      </c>
      <c r="B173" s="79" t="s">
        <v>189</v>
      </c>
      <c r="C173" s="80" t="s">
        <v>420</v>
      </c>
      <c r="D173" s="72">
        <v>100</v>
      </c>
      <c r="E173" s="83"/>
      <c r="F173" s="84"/>
      <c r="G173" s="82"/>
    </row>
    <row r="174" spans="1:7" ht="15.75" customHeight="1">
      <c r="A174" s="32"/>
      <c r="B174" s="85" t="s">
        <v>190</v>
      </c>
      <c r="C174" s="86"/>
      <c r="D174" s="87"/>
      <c r="E174" s="87"/>
      <c r="F174" s="72">
        <f>F158+F168</f>
        <v>1917.1</v>
      </c>
    </row>
    <row r="175" spans="1:7" ht="15.75" customHeight="1">
      <c r="A175" s="43"/>
      <c r="B175" s="278" t="s">
        <v>191</v>
      </c>
      <c r="C175" s="278"/>
      <c r="D175" s="88">
        <v>1</v>
      </c>
      <c r="E175" s="89"/>
      <c r="F175" s="90">
        <f>F174*D175</f>
        <v>1917.1</v>
      </c>
    </row>
    <row r="176" spans="1:7" ht="15.75" customHeight="1">
      <c r="A176" s="5"/>
      <c r="B176" s="91"/>
      <c r="D176" s="92"/>
      <c r="E176" s="92"/>
      <c r="F176" s="92"/>
    </row>
    <row r="177" spans="1:7" ht="15.75" customHeight="1">
      <c r="A177" s="58" t="s">
        <v>192</v>
      </c>
      <c r="B177" s="273" t="s">
        <v>458</v>
      </c>
      <c r="C177" s="273"/>
      <c r="D177" s="273"/>
      <c r="E177" s="273"/>
      <c r="F177" s="6"/>
      <c r="G177" s="67"/>
    </row>
    <row r="178" spans="1:7" ht="15.75" hidden="1" customHeight="1">
      <c r="A178" s="32" t="s">
        <v>193</v>
      </c>
      <c r="B178" s="68" t="s">
        <v>147</v>
      </c>
      <c r="C178" s="69"/>
      <c r="D178" s="70"/>
      <c r="E178" s="71" t="s">
        <v>148</v>
      </c>
      <c r="F178" s="72">
        <f>(D179+D184+D185+D186+D187)/3</f>
        <v>0</v>
      </c>
    </row>
    <row r="179" spans="1:7" ht="30" hidden="1">
      <c r="A179" s="32" t="s">
        <v>194</v>
      </c>
      <c r="B179" s="71" t="s">
        <v>150</v>
      </c>
      <c r="C179" s="69" t="s">
        <v>151</v>
      </c>
      <c r="D179" s="72">
        <f>D181/12</f>
        <v>0</v>
      </c>
      <c r="E179" s="70"/>
      <c r="F179" s="70"/>
    </row>
    <row r="180" spans="1:7" ht="15.75" hidden="1" customHeight="1">
      <c r="A180" s="32" t="s">
        <v>195</v>
      </c>
      <c r="B180" s="71" t="s">
        <v>396</v>
      </c>
      <c r="C180" s="69" t="s">
        <v>153</v>
      </c>
      <c r="D180" s="70"/>
      <c r="E180" s="70"/>
      <c r="F180" s="70"/>
    </row>
    <row r="181" spans="1:7" ht="45.2" hidden="1" customHeight="1">
      <c r="A181" s="32" t="s">
        <v>196</v>
      </c>
      <c r="B181" s="71" t="s">
        <v>155</v>
      </c>
      <c r="C181" s="69" t="s">
        <v>156</v>
      </c>
      <c r="D181" s="73">
        <f>(D180-D182)/D183</f>
        <v>0</v>
      </c>
      <c r="E181" s="70"/>
      <c r="F181" s="70"/>
    </row>
    <row r="182" spans="1:7" ht="15.75" hidden="1" customHeight="1">
      <c r="A182" s="32" t="s">
        <v>197</v>
      </c>
      <c r="B182" s="71" t="s">
        <v>158</v>
      </c>
      <c r="C182" s="74">
        <v>0.25</v>
      </c>
      <c r="D182" s="72">
        <f>D180*C182</f>
        <v>0</v>
      </c>
      <c r="E182" s="70"/>
      <c r="F182" s="70"/>
    </row>
    <row r="183" spans="1:7" ht="15.75" hidden="1" customHeight="1">
      <c r="A183" s="32" t="s">
        <v>198</v>
      </c>
      <c r="B183" s="71" t="s">
        <v>160</v>
      </c>
      <c r="C183" s="75" t="s">
        <v>161</v>
      </c>
      <c r="D183" s="76">
        <v>10</v>
      </c>
      <c r="E183" s="70"/>
      <c r="F183" s="70"/>
    </row>
    <row r="184" spans="1:7" ht="15.75" hidden="1" customHeight="1">
      <c r="A184" s="32" t="s">
        <v>199</v>
      </c>
      <c r="B184" s="71" t="s">
        <v>163</v>
      </c>
      <c r="C184" s="69" t="s">
        <v>164</v>
      </c>
      <c r="D184" s="72">
        <v>0</v>
      </c>
      <c r="E184" s="70"/>
      <c r="F184" s="70"/>
    </row>
    <row r="185" spans="1:7" ht="15.75" hidden="1" customHeight="1">
      <c r="A185" s="32" t="s">
        <v>200</v>
      </c>
      <c r="B185" s="71" t="s">
        <v>166</v>
      </c>
      <c r="C185" s="69" t="s">
        <v>167</v>
      </c>
      <c r="D185" s="72">
        <v>0</v>
      </c>
      <c r="E185" s="70"/>
      <c r="F185" s="70"/>
    </row>
    <row r="186" spans="1:7" ht="34.9" hidden="1" customHeight="1">
      <c r="A186" s="32" t="s">
        <v>201</v>
      </c>
      <c r="B186" s="71" t="s">
        <v>169</v>
      </c>
      <c r="C186" s="69" t="s">
        <v>170</v>
      </c>
      <c r="D186" s="72">
        <f>(D180*0.06)/12</f>
        <v>0</v>
      </c>
      <c r="E186" s="70"/>
      <c r="F186" s="70"/>
    </row>
    <row r="187" spans="1:7" ht="34.9" hidden="1" customHeight="1">
      <c r="A187" s="32" t="s">
        <v>202</v>
      </c>
      <c r="B187" s="71" t="s">
        <v>172</v>
      </c>
      <c r="C187" s="69" t="s">
        <v>173</v>
      </c>
      <c r="D187" s="72">
        <f>(D180*0.03)/12</f>
        <v>0</v>
      </c>
      <c r="E187" s="70"/>
      <c r="F187" s="70"/>
    </row>
    <row r="188" spans="1:7" ht="45" hidden="1">
      <c r="A188" s="32" t="s">
        <v>203</v>
      </c>
      <c r="B188" s="68" t="s">
        <v>175</v>
      </c>
      <c r="C188" s="77" t="s">
        <v>204</v>
      </c>
      <c r="D188" s="78">
        <v>2000</v>
      </c>
      <c r="E188" s="70" t="s">
        <v>148</v>
      </c>
      <c r="F188" s="72">
        <f>SUM(D189:D193)/3</f>
        <v>0</v>
      </c>
    </row>
    <row r="189" spans="1:7" ht="30" hidden="1">
      <c r="A189" s="32" t="s">
        <v>205</v>
      </c>
      <c r="B189" s="71" t="s">
        <v>178</v>
      </c>
      <c r="C189" s="69" t="s">
        <v>179</v>
      </c>
      <c r="D189" s="72">
        <f>(D180*0.05)/12</f>
        <v>0</v>
      </c>
      <c r="E189" s="70"/>
      <c r="F189" s="70"/>
    </row>
    <row r="190" spans="1:7" ht="60" hidden="1">
      <c r="A190" s="32" t="s">
        <v>206</v>
      </c>
      <c r="B190" s="71" t="s">
        <v>181</v>
      </c>
      <c r="C190" s="69" t="s">
        <v>207</v>
      </c>
      <c r="D190" s="72">
        <v>0</v>
      </c>
      <c r="E190" s="70"/>
      <c r="F190" s="70"/>
    </row>
    <row r="191" spans="1:7" ht="75" hidden="1">
      <c r="A191" s="32" t="s">
        <v>208</v>
      </c>
      <c r="B191" s="71" t="s">
        <v>184</v>
      </c>
      <c r="C191" s="69" t="s">
        <v>209</v>
      </c>
      <c r="D191" s="72">
        <v>0</v>
      </c>
      <c r="E191" s="70"/>
      <c r="F191" s="70"/>
    </row>
    <row r="192" spans="1:7" ht="60" hidden="1">
      <c r="A192" s="32" t="s">
        <v>210</v>
      </c>
      <c r="B192" s="79" t="s">
        <v>186</v>
      </c>
      <c r="C192" s="80" t="s">
        <v>211</v>
      </c>
      <c r="D192" s="72">
        <v>0</v>
      </c>
      <c r="E192" s="81"/>
      <c r="F192" s="81"/>
      <c r="G192" s="82"/>
    </row>
    <row r="193" spans="1:7" ht="45" hidden="1">
      <c r="A193" s="32" t="s">
        <v>212</v>
      </c>
      <c r="B193" s="79" t="s">
        <v>189</v>
      </c>
      <c r="C193" s="80" t="s">
        <v>421</v>
      </c>
      <c r="D193" s="72">
        <v>0</v>
      </c>
      <c r="E193" s="83"/>
      <c r="F193" s="81"/>
      <c r="G193" s="82"/>
    </row>
    <row r="194" spans="1:7" ht="15.75" hidden="1" customHeight="1">
      <c r="A194" s="32"/>
      <c r="B194" s="85" t="s">
        <v>190</v>
      </c>
      <c r="C194" s="86"/>
      <c r="D194" s="87"/>
      <c r="E194" s="87"/>
      <c r="F194" s="93">
        <f>F178+F188</f>
        <v>0</v>
      </c>
    </row>
    <row r="195" spans="1:7" ht="15.75" hidden="1" customHeight="1">
      <c r="A195" s="43"/>
      <c r="B195" s="278" t="s">
        <v>191</v>
      </c>
      <c r="C195" s="278"/>
      <c r="D195" s="88">
        <v>1</v>
      </c>
      <c r="E195" s="89"/>
      <c r="F195" s="90">
        <f>F194*D195</f>
        <v>0</v>
      </c>
    </row>
    <row r="196" spans="1:7">
      <c r="A196" s="5"/>
      <c r="B196" s="91"/>
      <c r="D196" s="92"/>
      <c r="E196" s="92"/>
      <c r="F196" s="92"/>
    </row>
    <row r="197" spans="1:7" ht="15.75" customHeight="1">
      <c r="A197" s="58" t="s">
        <v>213</v>
      </c>
      <c r="B197" s="272" t="s">
        <v>214</v>
      </c>
      <c r="C197" s="272"/>
      <c r="D197" s="272"/>
      <c r="E197" s="272"/>
      <c r="F197" s="6"/>
      <c r="G197" s="67"/>
    </row>
    <row r="198" spans="1:7" ht="15.75" customHeight="1">
      <c r="A198" s="32" t="s">
        <v>213</v>
      </c>
      <c r="B198" s="273" t="s">
        <v>455</v>
      </c>
      <c r="C198" s="273"/>
      <c r="D198" s="273"/>
      <c r="E198" s="273"/>
      <c r="F198" s="6"/>
      <c r="G198" s="67"/>
    </row>
    <row r="199" spans="1:7" ht="15.75" customHeight="1">
      <c r="A199" s="32" t="s">
        <v>215</v>
      </c>
      <c r="B199" s="94" t="s">
        <v>147</v>
      </c>
      <c r="C199" s="69"/>
      <c r="D199" s="70"/>
      <c r="E199" s="95" t="s">
        <v>148</v>
      </c>
      <c r="F199" s="72">
        <f>D200/3</f>
        <v>5.44</v>
      </c>
    </row>
    <row r="200" spans="1:7" ht="30">
      <c r="A200" s="5" t="s">
        <v>216</v>
      </c>
      <c r="B200" s="71" t="s">
        <v>150</v>
      </c>
      <c r="C200" s="69" t="s">
        <v>151</v>
      </c>
      <c r="D200" s="72">
        <f>D202/12</f>
        <v>16.329999999999998</v>
      </c>
      <c r="E200" s="70"/>
      <c r="F200" s="96"/>
    </row>
    <row r="201" spans="1:7" s="236" customFormat="1" ht="30">
      <c r="A201" s="237" t="s">
        <v>217</v>
      </c>
      <c r="B201" s="239" t="s">
        <v>459</v>
      </c>
      <c r="C201" s="240" t="s">
        <v>153</v>
      </c>
      <c r="D201" s="241">
        <v>1088.45</v>
      </c>
      <c r="E201" s="241"/>
      <c r="F201" s="241"/>
      <c r="G201" s="242"/>
    </row>
    <row r="202" spans="1:7" ht="45.2" customHeight="1">
      <c r="A202" s="5" t="s">
        <v>218</v>
      </c>
      <c r="B202" s="71" t="s">
        <v>155</v>
      </c>
      <c r="C202" s="69" t="s">
        <v>156</v>
      </c>
      <c r="D202" s="73">
        <f>(D201-D203)/D204</f>
        <v>195.92</v>
      </c>
      <c r="E202" s="70"/>
      <c r="F202" s="70"/>
      <c r="G202" s="92"/>
    </row>
    <row r="203" spans="1:7" ht="15.75" customHeight="1">
      <c r="A203" s="32" t="s">
        <v>219</v>
      </c>
      <c r="B203" s="71" t="s">
        <v>158</v>
      </c>
      <c r="C203" s="74">
        <v>0.1</v>
      </c>
      <c r="D203" s="72">
        <f>D201*C203</f>
        <v>108.85</v>
      </c>
      <c r="E203" s="70"/>
      <c r="F203" s="70"/>
    </row>
    <row r="204" spans="1:7" ht="15.75" customHeight="1">
      <c r="A204" s="5" t="s">
        <v>220</v>
      </c>
      <c r="B204" s="71" t="s">
        <v>160</v>
      </c>
      <c r="C204" s="75" t="s">
        <v>221</v>
      </c>
      <c r="D204" s="76">
        <v>5</v>
      </c>
      <c r="E204" s="70"/>
      <c r="F204" s="70"/>
    </row>
    <row r="205" spans="1:7" ht="45">
      <c r="A205" s="32" t="s">
        <v>222</v>
      </c>
      <c r="B205" s="94" t="s">
        <v>175</v>
      </c>
      <c r="C205" s="97" t="s">
        <v>223</v>
      </c>
      <c r="D205" s="78">
        <f>200*2</f>
        <v>400</v>
      </c>
      <c r="E205" s="70" t="s">
        <v>148</v>
      </c>
      <c r="F205" s="72">
        <f>SUM(D206:D209)/3</f>
        <v>469.29</v>
      </c>
    </row>
    <row r="206" spans="1:7" ht="34.9" customHeight="1">
      <c r="A206" s="5" t="s">
        <v>224</v>
      </c>
      <c r="B206" s="71" t="s">
        <v>178</v>
      </c>
      <c r="C206" s="69" t="s">
        <v>179</v>
      </c>
      <c r="D206" s="72">
        <f>(D201*0.05)/12</f>
        <v>4.54</v>
      </c>
      <c r="E206" s="70"/>
      <c r="F206" s="70"/>
    </row>
    <row r="207" spans="1:7" ht="60">
      <c r="A207" s="32" t="s">
        <v>225</v>
      </c>
      <c r="B207" s="71" t="s">
        <v>184</v>
      </c>
      <c r="C207" s="69" t="s">
        <v>460</v>
      </c>
      <c r="D207" s="72">
        <f>200/1*6.78</f>
        <v>1356</v>
      </c>
      <c r="E207" s="70"/>
      <c r="F207" s="70"/>
    </row>
    <row r="208" spans="1:7" ht="45.2" customHeight="1">
      <c r="A208" s="5" t="s">
        <v>226</v>
      </c>
      <c r="B208" s="79" t="s">
        <v>186</v>
      </c>
      <c r="C208" s="80" t="s">
        <v>227</v>
      </c>
      <c r="D208" s="72">
        <f>200*0.74*1/12</f>
        <v>12.33</v>
      </c>
      <c r="E208" s="81"/>
      <c r="F208" s="81"/>
      <c r="G208" s="82"/>
    </row>
    <row r="209" spans="1:7" ht="30">
      <c r="A209" s="32" t="s">
        <v>228</v>
      </c>
      <c r="B209" s="79" t="s">
        <v>229</v>
      </c>
      <c r="C209" s="80" t="s">
        <v>422</v>
      </c>
      <c r="D209" s="72">
        <v>35</v>
      </c>
      <c r="E209" s="83"/>
      <c r="F209" s="81"/>
      <c r="G209" s="82"/>
    </row>
    <row r="210" spans="1:7" ht="15.75" customHeight="1">
      <c r="A210" s="32"/>
      <c r="B210" s="85" t="s">
        <v>190</v>
      </c>
      <c r="C210" s="86"/>
      <c r="D210" s="92"/>
      <c r="E210" s="87"/>
      <c r="F210" s="93">
        <f>F199+F205</f>
        <v>474.73</v>
      </c>
    </row>
    <row r="211" spans="1:7" ht="15.75" customHeight="1">
      <c r="A211" s="43"/>
      <c r="B211" s="278" t="s">
        <v>191</v>
      </c>
      <c r="C211" s="278"/>
      <c r="D211" s="72">
        <v>1</v>
      </c>
      <c r="E211" s="89"/>
      <c r="F211" s="90">
        <f>F210*D211</f>
        <v>474.73</v>
      </c>
    </row>
    <row r="212" spans="1:7" ht="14.65" customHeight="1"/>
    <row r="213" spans="1:7" ht="15.75" customHeight="1">
      <c r="A213" s="58" t="s">
        <v>230</v>
      </c>
      <c r="B213" s="273" t="s">
        <v>448</v>
      </c>
      <c r="C213" s="273"/>
      <c r="D213" s="273"/>
      <c r="E213" s="273"/>
      <c r="F213" s="6"/>
      <c r="G213"/>
    </row>
    <row r="214" spans="1:7">
      <c r="A214" s="32" t="s">
        <v>231</v>
      </c>
      <c r="B214" s="94" t="s">
        <v>147</v>
      </c>
      <c r="C214" s="69"/>
      <c r="D214" s="70"/>
      <c r="E214" s="71" t="s">
        <v>148</v>
      </c>
      <c r="F214" s="72">
        <f>D215/3</f>
        <v>8.7100000000000009</v>
      </c>
      <c r="G214"/>
    </row>
    <row r="215" spans="1:7" ht="30">
      <c r="A215" s="32" t="s">
        <v>232</v>
      </c>
      <c r="B215" s="71" t="s">
        <v>150</v>
      </c>
      <c r="C215" s="69" t="s">
        <v>151</v>
      </c>
      <c r="D215" s="72">
        <f>D217/12</f>
        <v>26.13</v>
      </c>
      <c r="E215" s="70"/>
      <c r="F215" s="70"/>
      <c r="G215"/>
    </row>
    <row r="216" spans="1:7" ht="15.75" customHeight="1">
      <c r="A216" s="32" t="s">
        <v>233</v>
      </c>
      <c r="B216" s="71" t="s">
        <v>449</v>
      </c>
      <c r="C216" s="69" t="s">
        <v>153</v>
      </c>
      <c r="D216" s="241">
        <v>3484.56</v>
      </c>
      <c r="E216" s="70"/>
      <c r="F216" s="70"/>
      <c r="G216"/>
    </row>
    <row r="217" spans="1:7" ht="44.65" customHeight="1">
      <c r="A217" s="32" t="s">
        <v>234</v>
      </c>
      <c r="B217" s="71" t="s">
        <v>155</v>
      </c>
      <c r="C217" s="69" t="s">
        <v>156</v>
      </c>
      <c r="D217" s="73">
        <f>(D216-D218)/D219</f>
        <v>313.61</v>
      </c>
      <c r="E217" s="70"/>
      <c r="F217" s="70"/>
      <c r="G217"/>
    </row>
    <row r="218" spans="1:7" ht="15.75" customHeight="1">
      <c r="A218" s="32" t="s">
        <v>235</v>
      </c>
      <c r="B218" s="71" t="s">
        <v>158</v>
      </c>
      <c r="C218" s="74">
        <v>0.1</v>
      </c>
      <c r="D218" s="72">
        <f>D216*C218</f>
        <v>348.46</v>
      </c>
      <c r="E218" s="70"/>
      <c r="F218" s="70"/>
      <c r="G218"/>
    </row>
    <row r="219" spans="1:7" ht="15.75" customHeight="1">
      <c r="A219" s="32" t="s">
        <v>236</v>
      </c>
      <c r="B219" s="71" t="s">
        <v>160</v>
      </c>
      <c r="C219" s="75" t="s">
        <v>161</v>
      </c>
      <c r="D219" s="76">
        <v>10</v>
      </c>
      <c r="E219" s="70"/>
      <c r="F219" s="70"/>
      <c r="G219"/>
    </row>
    <row r="220" spans="1:7" ht="45">
      <c r="A220" s="32" t="s">
        <v>237</v>
      </c>
      <c r="B220" s="94" t="s">
        <v>175</v>
      </c>
      <c r="C220" s="97" t="s">
        <v>238</v>
      </c>
      <c r="D220" s="78">
        <v>200</v>
      </c>
      <c r="E220" s="70" t="s">
        <v>148</v>
      </c>
      <c r="F220" s="72">
        <f>SUM(D221:D224)/3</f>
        <v>195.38</v>
      </c>
      <c r="G220"/>
    </row>
    <row r="221" spans="1:7" ht="34.9" customHeight="1">
      <c r="A221" s="32" t="s">
        <v>239</v>
      </c>
      <c r="B221" s="71" t="s">
        <v>178</v>
      </c>
      <c r="C221" s="69" t="s">
        <v>179</v>
      </c>
      <c r="D221" s="72">
        <f>(D216*0.05)/12</f>
        <v>14.52</v>
      </c>
      <c r="E221" s="70"/>
      <c r="F221" s="70"/>
      <c r="G221"/>
    </row>
    <row r="222" spans="1:7" ht="60">
      <c r="A222" s="32" t="s">
        <v>240</v>
      </c>
      <c r="B222" s="71" t="s">
        <v>184</v>
      </c>
      <c r="C222" s="69" t="s">
        <v>452</v>
      </c>
      <c r="D222" s="72">
        <f>200/2.8*6.78</f>
        <v>484.29</v>
      </c>
      <c r="E222" s="70"/>
      <c r="F222" s="70"/>
    </row>
    <row r="223" spans="1:7" ht="45.2" customHeight="1">
      <c r="A223" s="32" t="s">
        <v>241</v>
      </c>
      <c r="B223" s="79" t="s">
        <v>186</v>
      </c>
      <c r="C223" s="80" t="s">
        <v>227</v>
      </c>
      <c r="D223" s="72">
        <f>200*0.74*1/12</f>
        <v>12.33</v>
      </c>
      <c r="E223" s="81"/>
      <c r="F223" s="81"/>
      <c r="G223" s="82"/>
    </row>
    <row r="224" spans="1:7" ht="30">
      <c r="A224" s="32" t="s">
        <v>242</v>
      </c>
      <c r="B224" s="79" t="s">
        <v>189</v>
      </c>
      <c r="C224" s="80" t="s">
        <v>423</v>
      </c>
      <c r="D224" s="72">
        <v>75</v>
      </c>
      <c r="E224" s="83"/>
      <c r="F224" s="84"/>
      <c r="G224"/>
    </row>
    <row r="225" spans="1:7" ht="15.75" customHeight="1">
      <c r="A225" s="32"/>
      <c r="B225" s="85" t="s">
        <v>190</v>
      </c>
      <c r="C225" s="86"/>
      <c r="D225" s="87"/>
      <c r="E225" s="87"/>
      <c r="F225" s="72">
        <f>F214+F220</f>
        <v>204.09</v>
      </c>
      <c r="G225"/>
    </row>
    <row r="226" spans="1:7" ht="15.75" customHeight="1">
      <c r="A226" s="43"/>
      <c r="B226" s="278" t="s">
        <v>191</v>
      </c>
      <c r="C226" s="278"/>
      <c r="D226" s="88">
        <v>2</v>
      </c>
      <c r="E226" s="89"/>
      <c r="F226" s="90">
        <f>F225*D226</f>
        <v>408.18</v>
      </c>
    </row>
    <row r="227" spans="1:7" ht="14.65" customHeight="1"/>
    <row r="228" spans="1:7" ht="15.75" customHeight="1">
      <c r="A228" s="58" t="s">
        <v>243</v>
      </c>
      <c r="B228" s="273" t="s">
        <v>453</v>
      </c>
      <c r="C228" s="273"/>
      <c r="D228" s="273"/>
      <c r="E228" s="273"/>
      <c r="F228" s="6"/>
      <c r="G228"/>
    </row>
    <row r="229" spans="1:7">
      <c r="A229" s="32" t="s">
        <v>244</v>
      </c>
      <c r="B229" s="94" t="s">
        <v>147</v>
      </c>
      <c r="C229" s="69"/>
      <c r="D229" s="70"/>
      <c r="E229" s="71" t="s">
        <v>148</v>
      </c>
      <c r="F229" s="72">
        <f>D230/3</f>
        <v>14.14</v>
      </c>
      <c r="G229"/>
    </row>
    <row r="230" spans="1:7" ht="30">
      <c r="A230" s="32" t="s">
        <v>245</v>
      </c>
      <c r="B230" s="71" t="s">
        <v>150</v>
      </c>
      <c r="C230" s="69" t="s">
        <v>151</v>
      </c>
      <c r="D230" s="72">
        <f>D232/12</f>
        <v>42.41</v>
      </c>
      <c r="E230" s="70"/>
      <c r="F230" s="70"/>
      <c r="G230"/>
    </row>
    <row r="231" spans="1:7" s="236" customFormat="1" ht="33" customHeight="1">
      <c r="A231" s="237" t="s">
        <v>246</v>
      </c>
      <c r="B231" s="239" t="s">
        <v>454</v>
      </c>
      <c r="C231" s="240" t="s">
        <v>153</v>
      </c>
      <c r="D231" s="241">
        <v>2827.58</v>
      </c>
      <c r="E231" s="241"/>
      <c r="F231" s="241"/>
    </row>
    <row r="232" spans="1:7" ht="44.65" customHeight="1">
      <c r="A232" s="32" t="s">
        <v>247</v>
      </c>
      <c r="B232" s="71" t="s">
        <v>155</v>
      </c>
      <c r="C232" s="69" t="s">
        <v>156</v>
      </c>
      <c r="D232" s="73">
        <f>(D231-D233)/D234</f>
        <v>508.96</v>
      </c>
      <c r="E232" s="70"/>
      <c r="F232" s="70"/>
      <c r="G232"/>
    </row>
    <row r="233" spans="1:7" ht="15.75" customHeight="1">
      <c r="A233" s="32" t="s">
        <v>248</v>
      </c>
      <c r="B233" s="71" t="s">
        <v>158</v>
      </c>
      <c r="C233" s="74">
        <v>0.1</v>
      </c>
      <c r="D233" s="72">
        <f>D231*C233</f>
        <v>282.76</v>
      </c>
      <c r="E233" s="70"/>
      <c r="F233" s="70"/>
      <c r="G233"/>
    </row>
    <row r="234" spans="1:7" ht="15.75" customHeight="1">
      <c r="A234" s="32" t="s">
        <v>249</v>
      </c>
      <c r="B234" s="71" t="s">
        <v>160</v>
      </c>
      <c r="C234" s="75" t="s">
        <v>221</v>
      </c>
      <c r="D234" s="76">
        <v>5</v>
      </c>
      <c r="E234" s="70"/>
      <c r="F234" s="70"/>
      <c r="G234"/>
    </row>
    <row r="235" spans="1:7" ht="45">
      <c r="A235" s="32" t="s">
        <v>250</v>
      </c>
      <c r="B235" s="94" t="s">
        <v>175</v>
      </c>
      <c r="C235" s="97" t="s">
        <v>223</v>
      </c>
      <c r="D235" s="78">
        <f>200*3</f>
        <v>600</v>
      </c>
      <c r="E235" s="70" t="s">
        <v>148</v>
      </c>
      <c r="F235" s="72">
        <f>SUM(D236:D238)/3</f>
        <v>467.59</v>
      </c>
      <c r="G235"/>
    </row>
    <row r="236" spans="1:7" ht="60">
      <c r="A236" s="32" t="s">
        <v>225</v>
      </c>
      <c r="B236" s="71" t="s">
        <v>184</v>
      </c>
      <c r="C236" s="69" t="s">
        <v>451</v>
      </c>
      <c r="D236" s="72">
        <f>200/1*6.78</f>
        <v>1356</v>
      </c>
      <c r="E236" s="70"/>
      <c r="F236" s="70"/>
    </row>
    <row r="237" spans="1:7" ht="34.9" customHeight="1">
      <c r="A237" s="32" t="s">
        <v>251</v>
      </c>
      <c r="B237" s="71" t="s">
        <v>178</v>
      </c>
      <c r="C237" s="69" t="s">
        <v>179</v>
      </c>
      <c r="D237" s="72">
        <f>(D231*0.05)/12</f>
        <v>11.78</v>
      </c>
      <c r="E237" s="70"/>
      <c r="F237" s="70"/>
      <c r="G237"/>
    </row>
    <row r="238" spans="1:7" ht="30">
      <c r="A238" s="32" t="s">
        <v>252</v>
      </c>
      <c r="B238" s="79" t="s">
        <v>229</v>
      </c>
      <c r="C238" s="80" t="s">
        <v>422</v>
      </c>
      <c r="D238" s="72">
        <v>35</v>
      </c>
      <c r="E238" s="83"/>
      <c r="F238" s="84"/>
      <c r="G238"/>
    </row>
    <row r="239" spans="1:7" ht="15.75" customHeight="1">
      <c r="A239" s="32"/>
      <c r="B239" s="85" t="s">
        <v>190</v>
      </c>
      <c r="C239" s="86"/>
      <c r="D239" s="92"/>
      <c r="E239" s="87"/>
      <c r="F239" s="72">
        <f>F229+F235</f>
        <v>481.73</v>
      </c>
      <c r="G239"/>
    </row>
    <row r="240" spans="1:7" ht="15.75" customHeight="1">
      <c r="A240" s="43"/>
      <c r="B240" s="278" t="s">
        <v>191</v>
      </c>
      <c r="C240" s="278"/>
      <c r="D240" s="72">
        <v>2</v>
      </c>
      <c r="E240" s="89"/>
      <c r="F240" s="90">
        <f>F239*D240</f>
        <v>963.46</v>
      </c>
    </row>
    <row r="241" spans="1:7" ht="15.75" customHeight="1">
      <c r="A241" s="5"/>
      <c r="B241" s="91"/>
      <c r="D241" s="92"/>
      <c r="E241" s="92"/>
      <c r="F241"/>
      <c r="G241"/>
    </row>
    <row r="242" spans="1:7" ht="13.15" customHeight="1" thickBot="1">
      <c r="A242" s="43" t="s">
        <v>253</v>
      </c>
      <c r="B242" s="98" t="s">
        <v>461</v>
      </c>
      <c r="C242" s="27"/>
      <c r="D242" s="27"/>
      <c r="E242" s="27"/>
      <c r="F242" s="27"/>
    </row>
    <row r="243" spans="1:7" ht="15.75" customHeight="1" thickTop="1">
      <c r="A243" s="43" t="s">
        <v>254</v>
      </c>
      <c r="B243" s="99" t="s">
        <v>255</v>
      </c>
      <c r="C243" s="27"/>
      <c r="D243" s="27"/>
      <c r="E243" s="27"/>
      <c r="F243" s="27"/>
    </row>
    <row r="244" spans="1:7" ht="15.75" customHeight="1">
      <c r="A244" s="43"/>
      <c r="B244" s="100" t="s">
        <v>256</v>
      </c>
      <c r="C244" s="100" t="s">
        <v>257</v>
      </c>
      <c r="D244" s="100" t="s">
        <v>258</v>
      </c>
      <c r="E244" s="101" t="s">
        <v>259</v>
      </c>
      <c r="F244" s="101" t="s">
        <v>260</v>
      </c>
      <c r="G244" s="101" t="s">
        <v>261</v>
      </c>
    </row>
    <row r="245" spans="1:7" ht="15.75" customHeight="1">
      <c r="A245" s="43" t="s">
        <v>262</v>
      </c>
      <c r="B245" s="102" t="s">
        <v>144</v>
      </c>
      <c r="C245" s="103" t="s">
        <v>140</v>
      </c>
      <c r="D245" s="104">
        <v>1</v>
      </c>
      <c r="E245" s="105">
        <f>(D160+D180)/3</f>
        <v>75173.84</v>
      </c>
      <c r="F245" s="105">
        <f>D245*E245</f>
        <v>75173.84</v>
      </c>
      <c r="G245" s="106"/>
    </row>
    <row r="246" spans="1:7" ht="15.75" customHeight="1">
      <c r="A246" s="43" t="s">
        <v>263</v>
      </c>
      <c r="B246" s="102" t="s">
        <v>264</v>
      </c>
      <c r="C246" s="103" t="s">
        <v>22</v>
      </c>
      <c r="D246" s="103">
        <v>12</v>
      </c>
      <c r="E246" s="105"/>
      <c r="F246" s="105"/>
      <c r="G246" s="106"/>
    </row>
    <row r="247" spans="1:7" ht="15.75" customHeight="1">
      <c r="A247" s="43" t="s">
        <v>265</v>
      </c>
      <c r="B247" s="102" t="s">
        <v>266</v>
      </c>
      <c r="C247" s="103" t="s">
        <v>267</v>
      </c>
      <c r="D247" s="107">
        <f>E245</f>
        <v>75173.84</v>
      </c>
      <c r="E247" s="105"/>
      <c r="F247" s="105"/>
      <c r="G247" s="106"/>
    </row>
    <row r="248" spans="1:7" ht="15.75" customHeight="1" thickBot="1">
      <c r="A248" s="43"/>
      <c r="B248" s="98" t="s">
        <v>268</v>
      </c>
      <c r="C248" s="108" t="s">
        <v>267</v>
      </c>
      <c r="D248" s="108"/>
      <c r="E248" s="109">
        <f>D246*D247/12/100</f>
        <v>751.74</v>
      </c>
      <c r="F248" s="109">
        <f>E248</f>
        <v>751.74</v>
      </c>
      <c r="G248" s="106"/>
    </row>
    <row r="249" spans="1:7" ht="15.75" customHeight="1" thickTop="1">
      <c r="A249" s="43"/>
      <c r="B249" s="110" t="s">
        <v>269</v>
      </c>
      <c r="C249" s="111"/>
      <c r="D249" s="111"/>
      <c r="E249" s="112"/>
      <c r="F249" s="113">
        <f>F248</f>
        <v>751.74</v>
      </c>
      <c r="G249" s="106"/>
    </row>
    <row r="250" spans="1:7" ht="15.75" customHeight="1">
      <c r="A250" s="43"/>
      <c r="B250" s="114" t="s">
        <v>270</v>
      </c>
      <c r="C250" s="115" t="s">
        <v>140</v>
      </c>
      <c r="D250" s="115">
        <v>1</v>
      </c>
      <c r="E250" s="116">
        <f>F249</f>
        <v>751.74</v>
      </c>
      <c r="F250" s="113">
        <f>D250*E250</f>
        <v>751.74</v>
      </c>
      <c r="G250" s="106"/>
    </row>
    <row r="251" spans="1:7" ht="15.75" customHeight="1">
      <c r="A251" s="43"/>
      <c r="B251" s="27"/>
      <c r="C251" s="117"/>
      <c r="D251" s="118"/>
      <c r="E251" s="119" t="s">
        <v>271</v>
      </c>
      <c r="F251" s="120">
        <v>1</v>
      </c>
      <c r="G251" s="121">
        <f>F250*F251</f>
        <v>751.74</v>
      </c>
    </row>
    <row r="252" spans="1:7" ht="13.15" customHeight="1" thickBot="1">
      <c r="A252" s="43" t="s">
        <v>253</v>
      </c>
      <c r="B252" s="98" t="s">
        <v>442</v>
      </c>
      <c r="C252" s="27"/>
      <c r="D252" s="27"/>
      <c r="E252" s="27"/>
      <c r="F252" s="27"/>
    </row>
    <row r="253" spans="1:7" ht="15.75" customHeight="1" thickTop="1">
      <c r="A253" s="43" t="s">
        <v>272</v>
      </c>
      <c r="B253" s="99" t="s">
        <v>255</v>
      </c>
      <c r="C253" s="27"/>
      <c r="D253" s="27"/>
      <c r="E253" s="27"/>
      <c r="F253" s="27"/>
    </row>
    <row r="254" spans="1:7" ht="15.75" customHeight="1">
      <c r="A254" s="43"/>
      <c r="B254" s="100" t="s">
        <v>256</v>
      </c>
      <c r="C254" s="100" t="s">
        <v>257</v>
      </c>
      <c r="D254" s="100" t="s">
        <v>258</v>
      </c>
      <c r="E254" s="101" t="s">
        <v>259</v>
      </c>
      <c r="F254" s="101" t="s">
        <v>260</v>
      </c>
      <c r="G254" s="101" t="s">
        <v>261</v>
      </c>
    </row>
    <row r="255" spans="1:7" ht="15.75" customHeight="1">
      <c r="A255" s="43" t="s">
        <v>273</v>
      </c>
      <c r="B255" s="102" t="s">
        <v>214</v>
      </c>
      <c r="C255" s="103" t="s">
        <v>140</v>
      </c>
      <c r="D255" s="104">
        <v>1</v>
      </c>
      <c r="E255" s="105">
        <f>(D201+D216+D231)/3</f>
        <v>2466.86</v>
      </c>
      <c r="F255" s="105">
        <f>D255*E255</f>
        <v>2466.86</v>
      </c>
      <c r="G255" s="106"/>
    </row>
    <row r="256" spans="1:7" ht="15.75" customHeight="1">
      <c r="A256" s="43" t="s">
        <v>274</v>
      </c>
      <c r="B256" s="102" t="s">
        <v>264</v>
      </c>
      <c r="C256" s="103" t="s">
        <v>22</v>
      </c>
      <c r="D256" s="103">
        <v>12</v>
      </c>
      <c r="E256" s="105"/>
      <c r="F256" s="105"/>
      <c r="G256" s="106"/>
    </row>
    <row r="257" spans="1:8" ht="15.75" customHeight="1">
      <c r="A257" s="43" t="s">
        <v>275</v>
      </c>
      <c r="B257" s="102" t="s">
        <v>266</v>
      </c>
      <c r="C257" s="103" t="s">
        <v>267</v>
      </c>
      <c r="D257" s="107">
        <f>E255</f>
        <v>2466.86</v>
      </c>
      <c r="E257" s="105"/>
      <c r="F257" s="105"/>
      <c r="G257" s="106"/>
    </row>
    <row r="258" spans="1:8" ht="15.75" customHeight="1" thickBot="1">
      <c r="A258" s="43"/>
      <c r="B258" s="98" t="s">
        <v>268</v>
      </c>
      <c r="C258" s="108" t="s">
        <v>267</v>
      </c>
      <c r="D258" s="108"/>
      <c r="E258" s="109">
        <f>D256*D257/12/100</f>
        <v>24.67</v>
      </c>
      <c r="F258" s="109">
        <f>E258</f>
        <v>24.67</v>
      </c>
      <c r="G258" s="106"/>
    </row>
    <row r="259" spans="1:8" ht="15.75" customHeight="1" thickTop="1">
      <c r="A259" s="43"/>
      <c r="B259" s="110" t="s">
        <v>276</v>
      </c>
      <c r="C259" s="111"/>
      <c r="D259" s="111"/>
      <c r="E259" s="112"/>
      <c r="F259" s="113">
        <f>F258</f>
        <v>24.67</v>
      </c>
      <c r="G259" s="106"/>
    </row>
    <row r="260" spans="1:8" ht="15.75" customHeight="1">
      <c r="A260" s="43"/>
      <c r="B260" s="114" t="s">
        <v>277</v>
      </c>
      <c r="C260" s="115" t="s">
        <v>140</v>
      </c>
      <c r="D260" s="115">
        <v>5</v>
      </c>
      <c r="E260" s="116">
        <f>F259</f>
        <v>24.67</v>
      </c>
      <c r="F260" s="113">
        <f>D260*E260</f>
        <v>123.35</v>
      </c>
      <c r="G260" s="106"/>
    </row>
    <row r="261" spans="1:8" ht="15.75" customHeight="1">
      <c r="A261" s="43"/>
      <c r="B261" s="27"/>
      <c r="C261" s="117"/>
      <c r="D261" s="118"/>
      <c r="E261" s="119" t="s">
        <v>271</v>
      </c>
      <c r="F261" s="120">
        <v>1</v>
      </c>
      <c r="G261" s="121">
        <f>F260*F261</f>
        <v>123.35</v>
      </c>
    </row>
    <row r="262" spans="1:8" ht="14.65" customHeight="1">
      <c r="A262"/>
      <c r="B262"/>
      <c r="C262"/>
      <c r="D262"/>
      <c r="E262"/>
      <c r="F262"/>
      <c r="G262"/>
    </row>
    <row r="263" spans="1:8" ht="15.75" customHeight="1">
      <c r="A263" s="7" t="s">
        <v>278</v>
      </c>
      <c r="B263" s="272" t="s">
        <v>279</v>
      </c>
      <c r="C263" s="272"/>
      <c r="D263" s="272"/>
      <c r="E263" s="272"/>
      <c r="F263" s="4"/>
      <c r="G263" s="3"/>
    </row>
    <row r="264" spans="1:8" ht="15.75" customHeight="1">
      <c r="A264" s="7" t="s">
        <v>280</v>
      </c>
      <c r="B264" s="273" t="s">
        <v>431</v>
      </c>
      <c r="C264" s="273"/>
      <c r="D264" s="273"/>
      <c r="E264" s="273"/>
      <c r="F264" s="122"/>
      <c r="G264"/>
      <c r="H264" s="123"/>
    </row>
    <row r="265" spans="1:8" ht="15.75" customHeight="1">
      <c r="A265" s="7"/>
      <c r="B265" s="272" t="s">
        <v>256</v>
      </c>
      <c r="C265" s="272"/>
      <c r="D265" s="124" t="s">
        <v>281</v>
      </c>
      <c r="E265" s="124" t="s">
        <v>282</v>
      </c>
      <c r="F265" s="124" t="s">
        <v>260</v>
      </c>
      <c r="G265"/>
    </row>
    <row r="266" spans="1:8" ht="15.75" customHeight="1">
      <c r="A266" s="125" t="s">
        <v>283</v>
      </c>
      <c r="B266" s="126" t="s">
        <v>284</v>
      </c>
      <c r="C266" s="127"/>
      <c r="D266" s="124">
        <v>0</v>
      </c>
      <c r="E266" s="261">
        <v>0</v>
      </c>
      <c r="F266" s="23">
        <f>(D266)*(E266)/3/12</f>
        <v>0</v>
      </c>
      <c r="G266"/>
    </row>
    <row r="267" spans="1:8" ht="15.75" customHeight="1">
      <c r="A267" s="125" t="s">
        <v>285</v>
      </c>
      <c r="B267" s="126" t="s">
        <v>286</v>
      </c>
      <c r="C267" s="127"/>
      <c r="D267" s="124">
        <v>10000</v>
      </c>
      <c r="E267" s="261">
        <f>(52.88/100)</f>
        <v>0.53</v>
      </c>
      <c r="F267" s="23">
        <f t="shared" ref="F267:F274" si="3">(D267)*(E267)/3/12</f>
        <v>147.22</v>
      </c>
      <c r="G267"/>
    </row>
    <row r="268" spans="1:8" ht="15.75" customHeight="1">
      <c r="A268" s="125" t="s">
        <v>287</v>
      </c>
      <c r="B268" s="126" t="s">
        <v>288</v>
      </c>
      <c r="C268" s="127"/>
      <c r="D268" s="124">
        <v>0</v>
      </c>
      <c r="E268" s="261">
        <v>0</v>
      </c>
      <c r="F268" s="23">
        <f t="shared" si="3"/>
        <v>0</v>
      </c>
      <c r="G268"/>
    </row>
    <row r="269" spans="1:8" ht="15.75" customHeight="1">
      <c r="A269" s="125" t="s">
        <v>289</v>
      </c>
      <c r="B269" s="126" t="s">
        <v>391</v>
      </c>
      <c r="C269" s="127"/>
      <c r="D269" s="124">
        <v>0</v>
      </c>
      <c r="E269" s="261">
        <v>0</v>
      </c>
      <c r="F269" s="23">
        <f t="shared" si="3"/>
        <v>0</v>
      </c>
      <c r="G269"/>
    </row>
    <row r="270" spans="1:8" ht="15.75" customHeight="1">
      <c r="A270" s="125" t="s">
        <v>290</v>
      </c>
      <c r="B270" s="126" t="s">
        <v>392</v>
      </c>
      <c r="C270" s="127"/>
      <c r="D270" s="124">
        <v>0</v>
      </c>
      <c r="E270" s="261">
        <v>0</v>
      </c>
      <c r="F270" s="23">
        <f t="shared" si="3"/>
        <v>0</v>
      </c>
      <c r="G270"/>
    </row>
    <row r="271" spans="1:8" ht="15.75" customHeight="1">
      <c r="A271" s="125" t="s">
        <v>291</v>
      </c>
      <c r="B271" s="126" t="s">
        <v>393</v>
      </c>
      <c r="C271" s="127"/>
      <c r="D271" s="124">
        <v>20</v>
      </c>
      <c r="E271" s="261">
        <v>23.96</v>
      </c>
      <c r="F271" s="23">
        <f t="shared" si="3"/>
        <v>13.31</v>
      </c>
      <c r="G271"/>
    </row>
    <row r="272" spans="1:8" ht="15.75" customHeight="1">
      <c r="A272" s="125" t="s">
        <v>292</v>
      </c>
      <c r="B272" s="126" t="s">
        <v>394</v>
      </c>
      <c r="C272" s="127"/>
      <c r="D272" s="124">
        <v>10</v>
      </c>
      <c r="E272" s="261">
        <v>27.02</v>
      </c>
      <c r="F272" s="23">
        <f t="shared" si="3"/>
        <v>7.51</v>
      </c>
      <c r="G272"/>
    </row>
    <row r="273" spans="1:10" ht="15.75" customHeight="1">
      <c r="A273" s="125" t="s">
        <v>293</v>
      </c>
      <c r="B273" s="126" t="s">
        <v>294</v>
      </c>
      <c r="C273" s="127"/>
      <c r="D273" s="124">
        <v>0</v>
      </c>
      <c r="E273" s="261">
        <v>0</v>
      </c>
      <c r="F273" s="23">
        <f t="shared" si="3"/>
        <v>0</v>
      </c>
      <c r="G273"/>
    </row>
    <row r="274" spans="1:10" s="65" customFormat="1">
      <c r="A274" s="125"/>
      <c r="B274" s="126"/>
      <c r="C274" s="127"/>
      <c r="D274" s="124"/>
      <c r="E274" s="47"/>
      <c r="F274" s="23">
        <f t="shared" si="3"/>
        <v>0</v>
      </c>
    </row>
    <row r="275" spans="1:10" ht="15.75" customHeight="1">
      <c r="A275" s="125"/>
      <c r="B275" s="274" t="s">
        <v>295</v>
      </c>
      <c r="C275" s="274"/>
      <c r="D275" s="274"/>
      <c r="E275" s="274"/>
      <c r="F275" s="23">
        <f>SUM(F266:F274)</f>
        <v>168.04</v>
      </c>
      <c r="G275"/>
    </row>
    <row r="276" spans="1:10" ht="15.75" customHeight="1">
      <c r="A276" s="125"/>
      <c r="B276" s="275" t="s">
        <v>28</v>
      </c>
      <c r="C276" s="275"/>
      <c r="D276" s="61"/>
      <c r="E276" s="19"/>
      <c r="F276" s="19"/>
      <c r="G276" s="62">
        <f>F275</f>
        <v>168.04</v>
      </c>
    </row>
    <row r="277" spans="1:10" ht="15.75" customHeight="1">
      <c r="A277" s="29"/>
      <c r="B277" s="63"/>
      <c r="C277" s="63"/>
      <c r="D277" s="61"/>
      <c r="E277" s="19"/>
      <c r="F277" s="19"/>
      <c r="G277" s="64"/>
    </row>
    <row r="278" spans="1:10" ht="17.25" customHeight="1">
      <c r="A278" s="275" t="s">
        <v>296</v>
      </c>
      <c r="B278" s="275"/>
      <c r="C278" s="275"/>
      <c r="D278" s="276">
        <f>G17+G28+G39+G53+G66+G76+G100+G124+G148+G154+F175+F195+F211+F226+F240+G251+G261+G276</f>
        <v>12675.19</v>
      </c>
      <c r="E278" s="276"/>
      <c r="F278" s="276"/>
      <c r="G278" s="276"/>
    </row>
    <row r="279" spans="1:10" ht="17.25" customHeight="1">
      <c r="A279"/>
      <c r="B279"/>
      <c r="C279"/>
      <c r="D279"/>
      <c r="E279"/>
      <c r="F279"/>
      <c r="G279"/>
    </row>
    <row r="280" spans="1:10" ht="15.75" customHeight="1" thickBot="1">
      <c r="A280" s="198"/>
      <c r="B280" s="272" t="s">
        <v>385</v>
      </c>
      <c r="C280" s="272"/>
      <c r="D280" s="272"/>
      <c r="E280" s="272"/>
      <c r="F280" s="4"/>
      <c r="G280" s="3"/>
    </row>
    <row r="281" spans="1:10" s="204" customFormat="1" ht="11.25" customHeight="1" thickBot="1">
      <c r="A281" s="199" t="s">
        <v>397</v>
      </c>
      <c r="B281" s="200" t="s">
        <v>256</v>
      </c>
      <c r="C281" s="201" t="s">
        <v>257</v>
      </c>
      <c r="D281" s="201" t="s">
        <v>258</v>
      </c>
      <c r="E281" s="202" t="s">
        <v>386</v>
      </c>
      <c r="F281" s="202" t="s">
        <v>260</v>
      </c>
      <c r="G281" s="203" t="s">
        <v>387</v>
      </c>
    </row>
    <row r="282" spans="1:10" ht="15.75" customHeight="1" thickBot="1">
      <c r="A282" s="5"/>
      <c r="B282" s="205" t="s">
        <v>388</v>
      </c>
      <c r="C282" s="206" t="s">
        <v>22</v>
      </c>
      <c r="D282" s="214">
        <f>BDI!C15</f>
        <v>0.22919999999999999</v>
      </c>
      <c r="E282" s="207">
        <f>D278</f>
        <v>12675.19</v>
      </c>
      <c r="F282" s="207">
        <f>(E282*D282)</f>
        <v>2905.15</v>
      </c>
      <c r="G282" s="208"/>
      <c r="I282" s="209"/>
    </row>
    <row r="283" spans="1:10" ht="15.75" customHeight="1" thickBot="1">
      <c r="A283" s="5"/>
      <c r="B283" s="204"/>
      <c r="C283" s="204"/>
      <c r="D283" s="204"/>
      <c r="E283" s="208"/>
      <c r="F283" s="208"/>
      <c r="G283" s="210">
        <f>E282+F282</f>
        <v>15580.34</v>
      </c>
      <c r="H283" s="129"/>
      <c r="I283" s="123"/>
      <c r="J283" s="123"/>
    </row>
    <row r="284" spans="1:10">
      <c r="A284" s="5"/>
      <c r="B284" s="5"/>
      <c r="C284" s="5"/>
      <c r="D284" s="4"/>
      <c r="E284" s="122"/>
      <c r="F284" s="122"/>
      <c r="G284" s="57"/>
    </row>
    <row r="285" spans="1:10">
      <c r="A285" s="5"/>
      <c r="B285" s="283" t="s">
        <v>398</v>
      </c>
      <c r="C285" s="283"/>
      <c r="D285" s="283"/>
      <c r="E285" s="283"/>
      <c r="F285" s="215">
        <f>G283/E295</f>
        <v>0.41</v>
      </c>
      <c r="G285" s="3"/>
    </row>
    <row r="286" spans="1:10">
      <c r="A286" s="5"/>
      <c r="B286" s="6"/>
      <c r="C286" s="6"/>
      <c r="D286" s="6"/>
      <c r="E286" s="6"/>
      <c r="F286" s="6"/>
      <c r="G286" s="3"/>
    </row>
    <row r="287" spans="1:10" hidden="1">
      <c r="A287" s="5"/>
      <c r="B287" s="283" t="s">
        <v>418</v>
      </c>
      <c r="C287" s="283"/>
      <c r="D287" s="283"/>
      <c r="E287" s="283"/>
      <c r="F287" s="215">
        <f>F289/12</f>
        <v>1273.8800000000001</v>
      </c>
      <c r="G287" s="3"/>
    </row>
    <row r="288" spans="1:10">
      <c r="A288" s="5"/>
      <c r="B288" s="6"/>
      <c r="C288" s="6"/>
      <c r="D288" s="6"/>
      <c r="E288" s="6"/>
      <c r="F288" s="216"/>
      <c r="G288" s="3"/>
    </row>
    <row r="289" spans="1:7">
      <c r="A289" s="5"/>
      <c r="B289" s="283" t="s">
        <v>399</v>
      </c>
      <c r="C289" s="283"/>
      <c r="D289" s="283"/>
      <c r="E289" s="283"/>
      <c r="F289" s="215">
        <f>F285*'Metragens Anual'!B4</f>
        <v>15286.52</v>
      </c>
      <c r="G289" s="3"/>
    </row>
    <row r="290" spans="1:7">
      <c r="A290" s="32"/>
      <c r="B290" s="283" t="s">
        <v>400</v>
      </c>
      <c r="C290" s="283"/>
      <c r="D290" s="217" t="s">
        <v>257</v>
      </c>
      <c r="E290" s="128" t="s">
        <v>401</v>
      </c>
    </row>
    <row r="291" spans="1:7">
      <c r="A291" s="32" t="s">
        <v>301</v>
      </c>
      <c r="B291" s="284" t="s">
        <v>402</v>
      </c>
      <c r="C291" s="284"/>
      <c r="D291" s="218" t="s">
        <v>403</v>
      </c>
      <c r="E291" s="219">
        <v>120</v>
      </c>
    </row>
    <row r="292" spans="1:7">
      <c r="A292" s="32" t="s">
        <v>404</v>
      </c>
      <c r="B292" s="284" t="s">
        <v>405</v>
      </c>
      <c r="C292" s="284"/>
      <c r="D292" s="218" t="s">
        <v>406</v>
      </c>
      <c r="E292" s="23">
        <v>160</v>
      </c>
    </row>
    <row r="293" spans="1:7">
      <c r="A293" s="32" t="s">
        <v>407</v>
      </c>
      <c r="B293" s="284" t="s">
        <v>408</v>
      </c>
      <c r="C293" s="284"/>
      <c r="D293" s="218" t="s">
        <v>409</v>
      </c>
      <c r="E293" s="23">
        <f>E291*E292</f>
        <v>19200</v>
      </c>
    </row>
    <row r="294" spans="1:7">
      <c r="A294" s="43" t="s">
        <v>410</v>
      </c>
      <c r="B294" s="285" t="s">
        <v>411</v>
      </c>
      <c r="C294" s="285"/>
      <c r="D294" s="243" t="s">
        <v>412</v>
      </c>
      <c r="E294" s="244">
        <f>D27</f>
        <v>2</v>
      </c>
    </row>
    <row r="295" spans="1:7">
      <c r="A295" s="212" t="s">
        <v>413</v>
      </c>
      <c r="B295" s="286" t="s">
        <v>414</v>
      </c>
      <c r="C295" s="286"/>
      <c r="D295" s="251" t="s">
        <v>302</v>
      </c>
      <c r="E295" s="249">
        <f>E293*E294</f>
        <v>38400</v>
      </c>
    </row>
    <row r="296" spans="1:7" ht="15.75" customHeight="1"/>
  </sheetData>
  <mergeCells count="146">
    <mergeCell ref="B291:C291"/>
    <mergeCell ref="B292:C292"/>
    <mergeCell ref="B293:C293"/>
    <mergeCell ref="B294:C294"/>
    <mergeCell ref="B295:C295"/>
    <mergeCell ref="B280:E280"/>
    <mergeCell ref="B285:E285"/>
    <mergeCell ref="B289:E289"/>
    <mergeCell ref="B290:C290"/>
    <mergeCell ref="B287:E287"/>
    <mergeCell ref="A278:C278"/>
    <mergeCell ref="D278:G278"/>
    <mergeCell ref="B213:E213"/>
    <mergeCell ref="B226:C226"/>
    <mergeCell ref="B228:E228"/>
    <mergeCell ref="B240:C240"/>
    <mergeCell ref="B263:E263"/>
    <mergeCell ref="B264:E264"/>
    <mergeCell ref="B265:C265"/>
    <mergeCell ref="B275:E275"/>
    <mergeCell ref="B276:C276"/>
    <mergeCell ref="B177:E177"/>
    <mergeCell ref="B195:C195"/>
    <mergeCell ref="B197:E197"/>
    <mergeCell ref="B198:E198"/>
    <mergeCell ref="B211:C211"/>
    <mergeCell ref="A150:D150"/>
    <mergeCell ref="E150:F150"/>
    <mergeCell ref="B156:E156"/>
    <mergeCell ref="B157:E157"/>
    <mergeCell ref="B175:C175"/>
    <mergeCell ref="B144:C144"/>
    <mergeCell ref="B145:C145"/>
    <mergeCell ref="B146:E146"/>
    <mergeCell ref="B147:C147"/>
    <mergeCell ref="B148:C148"/>
    <mergeCell ref="B139:C139"/>
    <mergeCell ref="B140:C140"/>
    <mergeCell ref="B141:C141"/>
    <mergeCell ref="B142:C142"/>
    <mergeCell ref="B143:C143"/>
    <mergeCell ref="B134:C134"/>
    <mergeCell ref="B135:C135"/>
    <mergeCell ref="B136:C136"/>
    <mergeCell ref="B137:C137"/>
    <mergeCell ref="B138:C138"/>
    <mergeCell ref="B129:C129"/>
    <mergeCell ref="B130:C130"/>
    <mergeCell ref="B131:C131"/>
    <mergeCell ref="B132:C132"/>
    <mergeCell ref="B133:C133"/>
    <mergeCell ref="B123:C123"/>
    <mergeCell ref="B124:C124"/>
    <mergeCell ref="B126:E126"/>
    <mergeCell ref="B127:E127"/>
    <mergeCell ref="B128:C128"/>
    <mergeCell ref="B118:C118"/>
    <mergeCell ref="B119:C119"/>
    <mergeCell ref="B120:C120"/>
    <mergeCell ref="B121:C121"/>
    <mergeCell ref="B122:E122"/>
    <mergeCell ref="B113:C113"/>
    <mergeCell ref="B114:C114"/>
    <mergeCell ref="B115:C115"/>
    <mergeCell ref="B116:C116"/>
    <mergeCell ref="B117:C117"/>
    <mergeCell ref="B108:C108"/>
    <mergeCell ref="B109:C109"/>
    <mergeCell ref="B110:C110"/>
    <mergeCell ref="B111:C111"/>
    <mergeCell ref="B112:C112"/>
    <mergeCell ref="B103:E103"/>
    <mergeCell ref="B104:C104"/>
    <mergeCell ref="B105:C105"/>
    <mergeCell ref="B106:C106"/>
    <mergeCell ref="B107:C107"/>
    <mergeCell ref="B97:C97"/>
    <mergeCell ref="B98:E98"/>
    <mergeCell ref="B99:C99"/>
    <mergeCell ref="B100:C100"/>
    <mergeCell ref="B102:E102"/>
    <mergeCell ref="B92:C92"/>
    <mergeCell ref="B93:C93"/>
    <mergeCell ref="B94:C94"/>
    <mergeCell ref="B95:C95"/>
    <mergeCell ref="B96:C96"/>
    <mergeCell ref="B87:C87"/>
    <mergeCell ref="B88:C88"/>
    <mergeCell ref="B89:C89"/>
    <mergeCell ref="B90:C90"/>
    <mergeCell ref="B91:C91"/>
    <mergeCell ref="B82:C82"/>
    <mergeCell ref="B83:C83"/>
    <mergeCell ref="B84:C84"/>
    <mergeCell ref="B85:C85"/>
    <mergeCell ref="B86:C86"/>
    <mergeCell ref="B76:C76"/>
    <mergeCell ref="B78:E78"/>
    <mergeCell ref="B79:E79"/>
    <mergeCell ref="B80:C80"/>
    <mergeCell ref="B81:C81"/>
    <mergeCell ref="B72:C72"/>
    <mergeCell ref="B73:C73"/>
    <mergeCell ref="B74:C74"/>
    <mergeCell ref="B75:C75"/>
    <mergeCell ref="B65:C65"/>
    <mergeCell ref="B66:C66"/>
    <mergeCell ref="B68:D68"/>
    <mergeCell ref="B69:C69"/>
    <mergeCell ref="B70:C70"/>
    <mergeCell ref="B62:C62"/>
    <mergeCell ref="B63:C63"/>
    <mergeCell ref="B64:C64"/>
    <mergeCell ref="B55:D55"/>
    <mergeCell ref="B56:C56"/>
    <mergeCell ref="B57:C57"/>
    <mergeCell ref="B58:C58"/>
    <mergeCell ref="B59:C59"/>
    <mergeCell ref="B71:C71"/>
    <mergeCell ref="B52:C52"/>
    <mergeCell ref="B53:C53"/>
    <mergeCell ref="B44:C44"/>
    <mergeCell ref="B45:C45"/>
    <mergeCell ref="B46:C46"/>
    <mergeCell ref="B47:C47"/>
    <mergeCell ref="B48:C48"/>
    <mergeCell ref="B60:C60"/>
    <mergeCell ref="B61:C61"/>
    <mergeCell ref="B43:C43"/>
    <mergeCell ref="D6:F6"/>
    <mergeCell ref="B7:F7"/>
    <mergeCell ref="B8:E8"/>
    <mergeCell ref="B15:E15"/>
    <mergeCell ref="B19:E19"/>
    <mergeCell ref="B49:C49"/>
    <mergeCell ref="B50:C50"/>
    <mergeCell ref="B51:C51"/>
    <mergeCell ref="B1:G1"/>
    <mergeCell ref="B2:G2"/>
    <mergeCell ref="B3:G3"/>
    <mergeCell ref="B4:G4"/>
    <mergeCell ref="B5:G5"/>
    <mergeCell ref="B26:E26"/>
    <mergeCell ref="B30:E30"/>
    <mergeCell ref="B37:E37"/>
    <mergeCell ref="B42:D42"/>
  </mergeCells>
  <phoneticPr fontId="38" type="noConversion"/>
  <hyperlinks>
    <hyperlink ref="B243" location="AbaRemun" display="Remuneração do Capital" xr:uid="{00000000-0004-0000-0200-000000000000}"/>
    <hyperlink ref="B253" location="AbaRemun" display="Remuneração do Capital" xr:uid="{00000000-0004-0000-0200-000001000000}"/>
  </hyperlinks>
  <pageMargins left="0.98425196850393704" right="0.59055118110236227" top="0.59055118110236227" bottom="0.39370078740157483" header="0.39370078740157483" footer="0.19685039370078741"/>
  <pageSetup paperSize="9" scale="80" fitToWidth="0" fitToHeight="0" orientation="landscape" r:id="rId1"/>
  <headerFooter>
    <oddHeader>&amp;C&amp;A</oddHeader>
    <oddFooter>&amp;CPágina &amp;P de &amp;N</oddFooter>
  </headerFooter>
  <rowBreaks count="11" manualBreakCount="11">
    <brk id="40" max="16383" man="1"/>
    <brk id="76" max="16383" man="1"/>
    <brk id="100" max="16383" man="1"/>
    <brk id="124" max="16383" man="1"/>
    <brk id="154" max="16383" man="1"/>
    <brk id="175" max="16383" man="1"/>
    <brk id="195" max="16383" man="1"/>
    <brk id="211" max="16383" man="1"/>
    <brk id="226" max="16383" man="1"/>
    <brk id="240" max="16383" man="1"/>
    <brk id="261" max="16383" man="1"/>
  </row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ilha4"/>
  <dimension ref="A1:H38"/>
  <sheetViews>
    <sheetView topLeftCell="A7" workbookViewId="0">
      <selection activeCell="C21" sqref="C21:D21"/>
    </sheetView>
  </sheetViews>
  <sheetFormatPr defaultRowHeight="14.25"/>
  <cols>
    <col min="1" max="5" width="8.125" customWidth="1"/>
    <col min="6" max="6" width="14.75" customWidth="1"/>
    <col min="7" max="7" width="8" customWidth="1"/>
    <col min="8" max="8" width="6" customWidth="1"/>
    <col min="9" max="9" width="8.75" customWidth="1"/>
  </cols>
  <sheetData>
    <row r="1" spans="1:8">
      <c r="A1" s="304" t="s">
        <v>303</v>
      </c>
      <c r="B1" s="304"/>
      <c r="C1" s="304"/>
      <c r="D1" s="304"/>
      <c r="E1" s="304"/>
      <c r="F1" s="304"/>
      <c r="G1" s="304"/>
      <c r="H1" s="304"/>
    </row>
    <row r="2" spans="1:8" ht="15">
      <c r="A2" s="293" t="s">
        <v>416</v>
      </c>
      <c r="B2" s="293"/>
      <c r="C2" s="293"/>
      <c r="D2" s="293"/>
      <c r="E2" s="293"/>
      <c r="F2" s="293"/>
    </row>
    <row r="3" spans="1:8" ht="15">
      <c r="A3" s="296" t="s">
        <v>300</v>
      </c>
      <c r="B3" s="296"/>
      <c r="C3" s="296"/>
      <c r="D3" s="296"/>
      <c r="E3" s="297">
        <f>C11+C22</f>
        <v>12675.19</v>
      </c>
      <c r="F3" s="297"/>
    </row>
    <row r="4" spans="1:8" ht="15">
      <c r="A4" s="296" t="s">
        <v>304</v>
      </c>
      <c r="B4" s="296"/>
      <c r="C4" s="296"/>
      <c r="D4" s="296"/>
      <c r="E4" s="296"/>
      <c r="F4" s="296"/>
      <c r="H4" s="131"/>
    </row>
    <row r="5" spans="1:8" ht="15">
      <c r="A5" s="130"/>
      <c r="B5" s="130"/>
      <c r="C5" s="130"/>
      <c r="D5" s="130"/>
      <c r="E5" s="130"/>
      <c r="F5" s="130"/>
      <c r="H5" s="131"/>
    </row>
    <row r="6" spans="1:8">
      <c r="A6" s="132"/>
      <c r="B6" s="132"/>
      <c r="C6" s="301" t="s">
        <v>300</v>
      </c>
      <c r="D6" s="301"/>
      <c r="E6" s="303" t="s">
        <v>305</v>
      </c>
      <c r="F6" s="303"/>
      <c r="H6" s="131"/>
    </row>
    <row r="7" spans="1:8">
      <c r="A7" s="55" t="s">
        <v>306</v>
      </c>
      <c r="B7" s="55" t="s">
        <v>307</v>
      </c>
      <c r="C7" s="299">
        <f>Iterm_1_2!G17+Iterm_1_2!G28+Iterm_1_2!G39</f>
        <v>6424.65</v>
      </c>
      <c r="D7" s="299"/>
      <c r="E7" s="300">
        <f>C7/E3</f>
        <v>0.50690000000000002</v>
      </c>
      <c r="F7" s="300"/>
      <c r="H7" s="131"/>
    </row>
    <row r="8" spans="1:8">
      <c r="A8" s="55" t="s">
        <v>306</v>
      </c>
      <c r="B8" s="55" t="s">
        <v>308</v>
      </c>
      <c r="C8" s="299">
        <f>Iterm_1_2!G53</f>
        <v>651.73</v>
      </c>
      <c r="D8" s="299"/>
      <c r="E8" s="300">
        <f>C8/E3</f>
        <v>5.1400000000000001E-2</v>
      </c>
      <c r="F8" s="300"/>
      <c r="H8" s="131"/>
    </row>
    <row r="9" spans="1:8">
      <c r="A9" s="55" t="s">
        <v>306</v>
      </c>
      <c r="B9" s="55" t="s">
        <v>309</v>
      </c>
      <c r="C9" s="299">
        <f>Iterm_1_2!G66</f>
        <v>586.44000000000005</v>
      </c>
      <c r="D9" s="299"/>
      <c r="E9" s="300">
        <f>C9/E3</f>
        <v>4.6300000000000001E-2</v>
      </c>
      <c r="F9" s="300"/>
    </row>
    <row r="10" spans="1:8">
      <c r="A10" s="55" t="s">
        <v>306</v>
      </c>
      <c r="B10" s="55" t="s">
        <v>310</v>
      </c>
      <c r="C10" s="299">
        <f>Iterm_1_2!G76</f>
        <v>34</v>
      </c>
      <c r="D10" s="299"/>
      <c r="E10" s="300">
        <f>C10/E3</f>
        <v>2.7000000000000001E-3</v>
      </c>
      <c r="F10" s="300"/>
    </row>
    <row r="11" spans="1:8" ht="15.75">
      <c r="A11" s="301" t="s">
        <v>311</v>
      </c>
      <c r="B11" s="301"/>
      <c r="C11" s="302">
        <f>SUM(C7:D10)</f>
        <v>7696.82</v>
      </c>
      <c r="D11" s="302"/>
      <c r="E11" s="298">
        <f>SUM(E7:F10)</f>
        <v>0.60729999999999995</v>
      </c>
      <c r="F11" s="298"/>
    </row>
    <row r="12" spans="1:8" ht="15.75">
      <c r="A12" s="132"/>
      <c r="B12" s="132"/>
      <c r="C12" s="133"/>
      <c r="D12" s="133"/>
      <c r="E12" s="134"/>
      <c r="F12" s="134"/>
    </row>
    <row r="13" spans="1:8" ht="15">
      <c r="A13" s="296" t="s">
        <v>300</v>
      </c>
      <c r="B13" s="296"/>
      <c r="C13" s="296"/>
      <c r="D13" s="296"/>
      <c r="E13" s="297">
        <f>E3</f>
        <v>12675.19</v>
      </c>
      <c r="F13" s="297"/>
    </row>
    <row r="14" spans="1:8" ht="15">
      <c r="A14" s="296" t="s">
        <v>312</v>
      </c>
      <c r="B14" s="296"/>
      <c r="C14" s="296"/>
      <c r="D14" s="296"/>
      <c r="E14" s="296"/>
      <c r="F14" s="296"/>
    </row>
    <row r="15" spans="1:8">
      <c r="A15" s="277"/>
      <c r="B15" s="277"/>
      <c r="C15" s="277"/>
      <c r="D15" s="277"/>
      <c r="E15" s="277"/>
      <c r="F15" s="277"/>
    </row>
    <row r="16" spans="1:8">
      <c r="A16" s="132"/>
      <c r="B16" s="132"/>
      <c r="C16" s="301" t="s">
        <v>300</v>
      </c>
      <c r="D16" s="301"/>
      <c r="E16" s="303" t="s">
        <v>305</v>
      </c>
      <c r="F16" s="303"/>
    </row>
    <row r="17" spans="1:8">
      <c r="A17" s="55" t="s">
        <v>306</v>
      </c>
      <c r="B17" s="55" t="s">
        <v>313</v>
      </c>
      <c r="C17" s="299">
        <f>Iterm_1_2!G100+Iterm_1_2!G124+Iterm_1_2!G148</f>
        <v>171.77</v>
      </c>
      <c r="D17" s="299"/>
      <c r="E17" s="300">
        <f>C17/E3</f>
        <v>1.3599999999999999E-2</v>
      </c>
      <c r="F17" s="300"/>
    </row>
    <row r="18" spans="1:8">
      <c r="A18" s="55" t="s">
        <v>306</v>
      </c>
      <c r="B18" s="55" t="s">
        <v>314</v>
      </c>
      <c r="C18" s="299">
        <f>Iterm_1_2!G154</f>
        <v>0</v>
      </c>
      <c r="D18" s="299"/>
      <c r="E18" s="300">
        <f>C18/E3</f>
        <v>0</v>
      </c>
      <c r="F18" s="300"/>
      <c r="H18" s="135"/>
    </row>
    <row r="19" spans="1:8">
      <c r="A19" s="55" t="s">
        <v>306</v>
      </c>
      <c r="B19" s="55" t="s">
        <v>315</v>
      </c>
      <c r="C19" s="299">
        <f>Iterm_1_2!F175+Iterm_1_2!F195+Iterm_1_2!F211+Iterm_1_2!F226+Iterm_1_2!F240</f>
        <v>3763.47</v>
      </c>
      <c r="D19" s="299"/>
      <c r="E19" s="300">
        <f>C19/E3</f>
        <v>0.2969</v>
      </c>
      <c r="F19" s="300"/>
      <c r="H19" s="131"/>
    </row>
    <row r="20" spans="1:8">
      <c r="A20" s="55" t="s">
        <v>306</v>
      </c>
      <c r="B20" s="55" t="s">
        <v>253</v>
      </c>
      <c r="C20" s="299">
        <f>Iterm_1_2!G251+Iterm_1_2!G261</f>
        <v>875.09</v>
      </c>
      <c r="D20" s="299"/>
      <c r="E20" s="300">
        <f>C20/E3</f>
        <v>6.9000000000000006E-2</v>
      </c>
      <c r="F20" s="300"/>
    </row>
    <row r="21" spans="1:8">
      <c r="A21" s="55" t="s">
        <v>306</v>
      </c>
      <c r="B21" s="55" t="s">
        <v>316</v>
      </c>
      <c r="C21" s="299">
        <f>Iterm_1_2!G276</f>
        <v>168.04</v>
      </c>
      <c r="D21" s="299"/>
      <c r="E21" s="300">
        <f>C21/E3</f>
        <v>1.3299999999999999E-2</v>
      </c>
      <c r="F21" s="300"/>
    </row>
    <row r="22" spans="1:8" ht="15.75">
      <c r="A22" s="301" t="s">
        <v>311</v>
      </c>
      <c r="B22" s="301"/>
      <c r="C22" s="302">
        <f>SUM(C17:D21)</f>
        <v>4978.37</v>
      </c>
      <c r="D22" s="302"/>
      <c r="E22" s="298">
        <f>SUM(E17:F21)</f>
        <v>0.39279999999999998</v>
      </c>
      <c r="F22" s="298"/>
    </row>
    <row r="24" spans="1:8">
      <c r="A24" s="136"/>
      <c r="B24" s="136"/>
      <c r="C24" s="136"/>
      <c r="D24" s="136"/>
      <c r="E24" s="136"/>
      <c r="F24" s="136"/>
      <c r="G24" s="136"/>
      <c r="H24" s="136"/>
    </row>
    <row r="25" spans="1:8" ht="15">
      <c r="A25" s="296" t="s">
        <v>304</v>
      </c>
      <c r="B25" s="296"/>
      <c r="C25" s="296"/>
      <c r="D25" s="296"/>
      <c r="E25" s="296"/>
      <c r="F25" s="296"/>
      <c r="G25" s="297" t="s">
        <v>305</v>
      </c>
      <c r="H25" s="297"/>
    </row>
    <row r="26" spans="1:8" ht="15">
      <c r="A26" s="296" t="s">
        <v>317</v>
      </c>
      <c r="B26" s="296"/>
      <c r="C26" s="296"/>
      <c r="D26" s="296"/>
      <c r="E26" s="297">
        <f>C11</f>
        <v>7696.82</v>
      </c>
      <c r="F26" s="297"/>
      <c r="G26" s="298">
        <f>E26/E32</f>
        <v>0.60719999999999996</v>
      </c>
      <c r="H26" s="298"/>
    </row>
    <row r="28" spans="1:8" ht="15">
      <c r="A28" s="296" t="s">
        <v>312</v>
      </c>
      <c r="B28" s="296"/>
      <c r="C28" s="296"/>
      <c r="D28" s="296"/>
      <c r="E28" s="296"/>
      <c r="F28" s="296"/>
      <c r="G28" s="297" t="s">
        <v>305</v>
      </c>
      <c r="H28" s="297"/>
    </row>
    <row r="29" spans="1:8" ht="15">
      <c r="A29" s="296" t="s">
        <v>317</v>
      </c>
      <c r="B29" s="296"/>
      <c r="C29" s="296"/>
      <c r="D29" s="296"/>
      <c r="E29" s="297">
        <f>C22</f>
        <v>4978.37</v>
      </c>
      <c r="F29" s="297"/>
      <c r="G29" s="298">
        <f>E29/E32</f>
        <v>0.39279999999999998</v>
      </c>
      <c r="H29" s="298"/>
    </row>
    <row r="31" spans="1:8" ht="15">
      <c r="A31" s="296" t="s">
        <v>318</v>
      </c>
      <c r="B31" s="296"/>
      <c r="C31" s="296"/>
      <c r="D31" s="296"/>
      <c r="E31" s="296"/>
      <c r="F31" s="296"/>
      <c r="G31" s="297" t="s">
        <v>305</v>
      </c>
      <c r="H31" s="297"/>
    </row>
    <row r="32" spans="1:8" ht="15">
      <c r="A32" s="296" t="s">
        <v>319</v>
      </c>
      <c r="B32" s="296"/>
      <c r="C32" s="296"/>
      <c r="D32" s="296"/>
      <c r="E32" s="297">
        <f>E26+E29</f>
        <v>12675.19</v>
      </c>
      <c r="F32" s="297"/>
      <c r="G32" s="298">
        <f>G26+G29</f>
        <v>1</v>
      </c>
      <c r="H32" s="298"/>
    </row>
    <row r="34" spans="1:8" ht="15">
      <c r="A34" s="66" t="s">
        <v>320</v>
      </c>
      <c r="B34" s="296" t="s">
        <v>321</v>
      </c>
      <c r="C34" s="296"/>
      <c r="D34" s="296"/>
      <c r="E34" s="296"/>
      <c r="F34" s="296"/>
      <c r="G34" s="296"/>
      <c r="H34" s="296"/>
    </row>
    <row r="35" spans="1:8" ht="15">
      <c r="A35" s="66"/>
      <c r="B35" s="296" t="s">
        <v>322</v>
      </c>
      <c r="C35" s="296"/>
      <c r="D35" s="296"/>
      <c r="E35" s="296"/>
      <c r="F35" s="296"/>
      <c r="G35" s="296"/>
      <c r="H35" s="296"/>
    </row>
    <row r="36" spans="1:8" ht="15">
      <c r="B36" s="296" t="s">
        <v>389</v>
      </c>
      <c r="C36" s="296"/>
      <c r="D36" s="296"/>
      <c r="E36" s="297">
        <f>Iterm_1_2!F282</f>
        <v>2905.15</v>
      </c>
      <c r="F36" s="297"/>
    </row>
    <row r="38" spans="1:8" ht="15">
      <c r="B38" s="296" t="s">
        <v>323</v>
      </c>
      <c r="C38" s="296"/>
      <c r="D38" s="296"/>
      <c r="E38" s="297">
        <f>E32+E36</f>
        <v>15580.34</v>
      </c>
      <c r="F38" s="297"/>
    </row>
  </sheetData>
  <mergeCells count="58">
    <mergeCell ref="C6:D6"/>
    <mergeCell ref="E6:F6"/>
    <mergeCell ref="A1:H1"/>
    <mergeCell ref="A2:F2"/>
    <mergeCell ref="A3:D3"/>
    <mergeCell ref="E3:F3"/>
    <mergeCell ref="A4:F4"/>
    <mergeCell ref="A13:D13"/>
    <mergeCell ref="E13:F13"/>
    <mergeCell ref="C7:D7"/>
    <mergeCell ref="E7:F7"/>
    <mergeCell ref="C8:D8"/>
    <mergeCell ref="E8:F8"/>
    <mergeCell ref="C9:D9"/>
    <mergeCell ref="E9:F9"/>
    <mergeCell ref="C10:D10"/>
    <mergeCell ref="E10:F10"/>
    <mergeCell ref="A11:B11"/>
    <mergeCell ref="C11:D11"/>
    <mergeCell ref="E11:F11"/>
    <mergeCell ref="A14:F14"/>
    <mergeCell ref="A15:F15"/>
    <mergeCell ref="C16:D16"/>
    <mergeCell ref="E16:F16"/>
    <mergeCell ref="C17:D17"/>
    <mergeCell ref="E17:F17"/>
    <mergeCell ref="C18:D18"/>
    <mergeCell ref="E18:F18"/>
    <mergeCell ref="C19:D19"/>
    <mergeCell ref="E19:F19"/>
    <mergeCell ref="C20:D20"/>
    <mergeCell ref="E20:F20"/>
    <mergeCell ref="C21:D21"/>
    <mergeCell ref="E21:F21"/>
    <mergeCell ref="A22:B22"/>
    <mergeCell ref="C22:D22"/>
    <mergeCell ref="E22:F22"/>
    <mergeCell ref="A32:D32"/>
    <mergeCell ref="E32:F32"/>
    <mergeCell ref="G32:H32"/>
    <mergeCell ref="G25:H25"/>
    <mergeCell ref="A26:D26"/>
    <mergeCell ref="E26:F26"/>
    <mergeCell ref="G26:H26"/>
    <mergeCell ref="A28:F28"/>
    <mergeCell ref="G28:H28"/>
    <mergeCell ref="A25:F25"/>
    <mergeCell ref="A29:D29"/>
    <mergeCell ref="E29:F29"/>
    <mergeCell ref="G29:H29"/>
    <mergeCell ref="A31:F31"/>
    <mergeCell ref="G31:H31"/>
    <mergeCell ref="B34:H34"/>
    <mergeCell ref="B35:H35"/>
    <mergeCell ref="B36:D36"/>
    <mergeCell ref="E36:F36"/>
    <mergeCell ref="B38:D38"/>
    <mergeCell ref="E38:F38"/>
  </mergeCells>
  <pageMargins left="0.98425196850393692" right="0.511811023622047" top="0.78740157480315021" bottom="0.78740157480315021" header="0.31496062992126012" footer="0.31496062992126012"/>
  <pageSetup paperSize="9" fitToWidth="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2B221-2274-4102-96A2-31E34AF49BA3}">
  <sheetPr codeName="Planilha11"/>
  <dimension ref="A1:J296"/>
  <sheetViews>
    <sheetView zoomScale="90" zoomScaleNormal="90" workbookViewId="0">
      <selection activeCell="B7" sqref="B7:F7"/>
    </sheetView>
  </sheetViews>
  <sheetFormatPr defaultRowHeight="15"/>
  <cols>
    <col min="1" max="1" width="6.875" style="1" customWidth="1"/>
    <col min="2" max="2" width="41.125" style="1" customWidth="1"/>
    <col min="3" max="3" width="16.375" style="1" bestFit="1" customWidth="1"/>
    <col min="4" max="4" width="13.875" style="1" bestFit="1" customWidth="1"/>
    <col min="5" max="5" width="14.875" style="1" bestFit="1" customWidth="1"/>
    <col min="6" max="6" width="12.875" style="1" bestFit="1" customWidth="1"/>
    <col min="7" max="7" width="9.25" style="1" customWidth="1"/>
    <col min="8" max="8" width="7.875" customWidth="1"/>
    <col min="9" max="9" width="8.75" customWidth="1"/>
  </cols>
  <sheetData>
    <row r="1" spans="1:7">
      <c r="B1" s="287" t="s">
        <v>0</v>
      </c>
      <c r="C1" s="287"/>
      <c r="D1" s="287"/>
      <c r="E1" s="287"/>
      <c r="F1" s="287"/>
      <c r="G1" s="287"/>
    </row>
    <row r="2" spans="1:7">
      <c r="B2" s="288" t="s">
        <v>1</v>
      </c>
      <c r="C2" s="288"/>
      <c r="D2" s="288"/>
      <c r="E2" s="288"/>
      <c r="F2" s="288"/>
      <c r="G2" s="288"/>
    </row>
    <row r="3" spans="1:7">
      <c r="B3" s="289" t="s">
        <v>2</v>
      </c>
      <c r="C3" s="289"/>
      <c r="D3" s="289"/>
      <c r="E3" s="289"/>
      <c r="F3" s="289"/>
      <c r="G3" s="289"/>
    </row>
    <row r="4" spans="1:7">
      <c r="A4" s="2"/>
      <c r="B4" s="305" t="s">
        <v>3</v>
      </c>
      <c r="C4" s="305"/>
      <c r="D4" s="305"/>
      <c r="E4" s="305"/>
      <c r="F4" s="305"/>
      <c r="G4" s="305"/>
    </row>
    <row r="5" spans="1:7">
      <c r="A5" s="4"/>
      <c r="B5" s="306" t="s">
        <v>437</v>
      </c>
      <c r="C5" s="306"/>
      <c r="D5" s="306"/>
      <c r="E5" s="306"/>
      <c r="F5" s="306"/>
      <c r="G5" s="306"/>
    </row>
    <row r="6" spans="1:7" ht="15.75" customHeight="1">
      <c r="A6" s="2">
        <v>1</v>
      </c>
      <c r="B6" s="5" t="s">
        <v>4</v>
      </c>
      <c r="C6" s="4"/>
      <c r="D6" s="293" t="s">
        <v>487</v>
      </c>
      <c r="E6" s="293"/>
      <c r="F6" s="293"/>
      <c r="G6" s="3"/>
    </row>
    <row r="7" spans="1:7" ht="15.75" customHeight="1">
      <c r="A7" s="5" t="s">
        <v>5</v>
      </c>
      <c r="B7" s="294" t="s">
        <v>415</v>
      </c>
      <c r="C7" s="294"/>
      <c r="D7" s="294"/>
      <c r="E7" s="294"/>
      <c r="F7" s="294"/>
      <c r="G7" s="3"/>
    </row>
    <row r="8" spans="1:7" ht="15.75" customHeight="1">
      <c r="A8" s="7" t="s">
        <v>6</v>
      </c>
      <c r="B8" s="295" t="s">
        <v>445</v>
      </c>
      <c r="C8" s="295"/>
      <c r="D8" s="295"/>
      <c r="E8" s="295"/>
      <c r="F8" s="8"/>
      <c r="G8" s="8"/>
    </row>
    <row r="9" spans="1:7" ht="15.75" customHeight="1">
      <c r="A9" s="7"/>
      <c r="B9" s="9" t="s">
        <v>7</v>
      </c>
      <c r="C9" s="10" t="s">
        <v>8</v>
      </c>
      <c r="D9" s="10" t="s">
        <v>9</v>
      </c>
      <c r="E9" s="10" t="s">
        <v>10</v>
      </c>
      <c r="F9" s="10" t="s">
        <v>11</v>
      </c>
      <c r="G9" s="10" t="s">
        <v>12</v>
      </c>
    </row>
    <row r="10" spans="1:7" ht="15.75" customHeight="1">
      <c r="A10" s="11" t="s">
        <v>13</v>
      </c>
      <c r="B10" s="12" t="s">
        <v>14</v>
      </c>
      <c r="C10" s="13" t="s">
        <v>15</v>
      </c>
      <c r="D10" s="14">
        <v>220</v>
      </c>
      <c r="E10" s="15">
        <f>F10/D10</f>
        <v>6.13</v>
      </c>
      <c r="F10" s="15">
        <f>4045.46/3</f>
        <v>1348.49</v>
      </c>
      <c r="G10"/>
    </row>
    <row r="11" spans="1:7" ht="15.75" customHeight="1">
      <c r="A11" s="11" t="s">
        <v>16</v>
      </c>
      <c r="B11" s="12" t="s">
        <v>17</v>
      </c>
      <c r="C11" s="13"/>
      <c r="D11" s="16">
        <v>0</v>
      </c>
      <c r="E11" s="17">
        <f>(F10)</f>
        <v>1348.49</v>
      </c>
      <c r="F11" s="15">
        <f>F10*D11</f>
        <v>0</v>
      </c>
      <c r="G11"/>
    </row>
    <row r="12" spans="1:7" ht="15.75" customHeight="1">
      <c r="A12" s="11" t="s">
        <v>18</v>
      </c>
      <c r="B12"/>
      <c r="C12"/>
      <c r="D12"/>
      <c r="E12" s="18" t="s">
        <v>19</v>
      </c>
      <c r="F12" s="15">
        <f>F10+F11</f>
        <v>1348.49</v>
      </c>
      <c r="G12"/>
    </row>
    <row r="13" spans="1:7" ht="15.75" customHeight="1">
      <c r="A13"/>
      <c r="B13"/>
      <c r="C13"/>
      <c r="D13"/>
      <c r="E13" s="19"/>
      <c r="F13" s="19"/>
      <c r="G13"/>
    </row>
    <row r="14" spans="1:7" ht="15.75" customHeight="1">
      <c r="A14" s="11" t="s">
        <v>20</v>
      </c>
      <c r="B14" s="20" t="s">
        <v>21</v>
      </c>
      <c r="C14" s="21" t="s">
        <v>22</v>
      </c>
      <c r="D14" s="22">
        <f>Encargos_Sociais!B35</f>
        <v>0.71599999999999997</v>
      </c>
      <c r="E14" s="15">
        <f>F12</f>
        <v>1348.49</v>
      </c>
      <c r="F14" s="23">
        <f>E14*D14</f>
        <v>965.52</v>
      </c>
      <c r="G14"/>
    </row>
    <row r="15" spans="1:7" ht="15.75" customHeight="1">
      <c r="A15" s="11" t="s">
        <v>23</v>
      </c>
      <c r="B15" s="274" t="s">
        <v>24</v>
      </c>
      <c r="C15" s="274"/>
      <c r="D15" s="274"/>
      <c r="E15" s="274"/>
      <c r="F15" s="15">
        <f>SUM(F12:F14)</f>
        <v>2314.0100000000002</v>
      </c>
      <c r="G15"/>
    </row>
    <row r="16" spans="1:7" ht="15.75" customHeight="1">
      <c r="A16" s="11" t="s">
        <v>25</v>
      </c>
      <c r="B16" s="25" t="s">
        <v>26</v>
      </c>
      <c r="C16" s="13" t="s">
        <v>27</v>
      </c>
      <c r="D16" s="13">
        <v>1</v>
      </c>
      <c r="E16" s="15">
        <f>(F15)</f>
        <v>2314.0100000000002</v>
      </c>
      <c r="F16" s="15">
        <f>D16*E16</f>
        <v>2314.0100000000002</v>
      </c>
      <c r="G16"/>
    </row>
    <row r="17" spans="1:7" ht="15.75" customHeight="1">
      <c r="A17" s="11"/>
      <c r="B17" s="7" t="s">
        <v>28</v>
      </c>
      <c r="C17"/>
      <c r="D17"/>
      <c r="E17"/>
      <c r="F17"/>
      <c r="G17" s="26">
        <f>(F16)</f>
        <v>2314.0100000000002</v>
      </c>
    </row>
    <row r="18" spans="1:7" ht="15.75" customHeight="1">
      <c r="A18" s="4"/>
      <c r="B18" s="4"/>
      <c r="C18"/>
      <c r="D18"/>
      <c r="E18"/>
      <c r="F18"/>
      <c r="G18" s="4"/>
    </row>
    <row r="19" spans="1:7" ht="15.75" customHeight="1">
      <c r="A19" s="7" t="s">
        <v>29</v>
      </c>
      <c r="B19" s="295" t="s">
        <v>440</v>
      </c>
      <c r="C19" s="295"/>
      <c r="D19" s="295"/>
      <c r="E19" s="295"/>
      <c r="F19" s="8"/>
      <c r="G19" s="8"/>
    </row>
    <row r="20" spans="1:7" ht="15.75" customHeight="1">
      <c r="A20" s="7"/>
      <c r="B20" s="9" t="s">
        <v>7</v>
      </c>
      <c r="C20" s="10" t="s">
        <v>8</v>
      </c>
      <c r="D20" s="10" t="s">
        <v>9</v>
      </c>
      <c r="E20" s="10" t="s">
        <v>10</v>
      </c>
      <c r="F20" s="10" t="s">
        <v>11</v>
      </c>
      <c r="G20" s="10" t="s">
        <v>12</v>
      </c>
    </row>
    <row r="21" spans="1:7" ht="15.75" customHeight="1">
      <c r="A21" s="11" t="s">
        <v>30</v>
      </c>
      <c r="B21" s="12" t="s">
        <v>14</v>
      </c>
      <c r="C21" s="13" t="s">
        <v>15</v>
      </c>
      <c r="D21" s="14">
        <v>220</v>
      </c>
      <c r="E21" s="15">
        <f>F21/D21</f>
        <v>2.68</v>
      </c>
      <c r="F21" s="23">
        <f>1765.86/3</f>
        <v>588.62</v>
      </c>
      <c r="G21" s="8"/>
    </row>
    <row r="22" spans="1:7" ht="15.75" customHeight="1">
      <c r="A22" s="11" t="s">
        <v>31</v>
      </c>
      <c r="B22" s="12" t="s">
        <v>17</v>
      </c>
      <c r="C22" s="13"/>
      <c r="D22" s="16">
        <v>0.2</v>
      </c>
      <c r="E22" s="17">
        <f>(F21)</f>
        <v>588.62</v>
      </c>
      <c r="F22" s="15">
        <f>F21*D22</f>
        <v>117.72</v>
      </c>
      <c r="G22" s="8"/>
    </row>
    <row r="23" spans="1:7" ht="15.75" customHeight="1">
      <c r="A23" s="11" t="s">
        <v>32</v>
      </c>
      <c r="B23" s="19"/>
      <c r="C23" s="19"/>
      <c r="D23" s="19"/>
      <c r="E23" s="27" t="s">
        <v>19</v>
      </c>
      <c r="F23" s="15">
        <f>F21+F22</f>
        <v>706.34</v>
      </c>
      <c r="G23" s="8"/>
    </row>
    <row r="24" spans="1:7" ht="15.75" customHeight="1">
      <c r="A24" s="8"/>
      <c r="B24" s="19"/>
      <c r="C24" s="19"/>
      <c r="D24" s="19"/>
      <c r="E24" s="19"/>
      <c r="F24" s="19"/>
      <c r="G24" s="8"/>
    </row>
    <row r="25" spans="1:7" ht="15.75" customHeight="1">
      <c r="A25" s="11" t="s">
        <v>33</v>
      </c>
      <c r="B25" s="20" t="s">
        <v>21</v>
      </c>
      <c r="C25" s="21" t="s">
        <v>22</v>
      </c>
      <c r="D25" s="22">
        <f>Encargos_Sociais!B35</f>
        <v>0.71599999999999997</v>
      </c>
      <c r="E25" s="28">
        <f>F23</f>
        <v>706.34</v>
      </c>
      <c r="F25" s="23">
        <f>E25*D25</f>
        <v>505.74</v>
      </c>
      <c r="G25" s="8"/>
    </row>
    <row r="26" spans="1:7" ht="15.75" customHeight="1">
      <c r="A26" s="11" t="s">
        <v>34</v>
      </c>
      <c r="B26" s="274" t="s">
        <v>24</v>
      </c>
      <c r="C26" s="274"/>
      <c r="D26" s="274"/>
      <c r="E26" s="274"/>
      <c r="F26" s="15">
        <f>SUM(F23:F25)</f>
        <v>1212.08</v>
      </c>
      <c r="G26" s="8"/>
    </row>
    <row r="27" spans="1:7" ht="15.75" customHeight="1">
      <c r="A27" s="11" t="s">
        <v>35</v>
      </c>
      <c r="B27" s="25" t="s">
        <v>26</v>
      </c>
      <c r="C27" s="13" t="s">
        <v>27</v>
      </c>
      <c r="D27" s="13">
        <v>2</v>
      </c>
      <c r="E27" s="15">
        <f>(F26)</f>
        <v>1212.08</v>
      </c>
      <c r="F27" s="15">
        <f>D27*E27</f>
        <v>2424.16</v>
      </c>
      <c r="G27" s="8"/>
    </row>
    <row r="28" spans="1:7" ht="15.75" customHeight="1">
      <c r="A28" s="11"/>
      <c r="B28" s="7" t="s">
        <v>28</v>
      </c>
      <c r="C28" s="19"/>
      <c r="D28" s="19"/>
      <c r="E28" s="19"/>
      <c r="F28" s="19"/>
      <c r="G28" s="26">
        <f>(F27)</f>
        <v>2424.16</v>
      </c>
    </row>
    <row r="29" spans="1:7" ht="15.75" customHeight="1">
      <c r="A29" s="29"/>
      <c r="B29" s="29"/>
      <c r="C29" s="19"/>
      <c r="D29" s="19"/>
      <c r="E29" s="19"/>
      <c r="F29" s="19"/>
      <c r="G29" s="30"/>
    </row>
    <row r="30" spans="1:7" ht="15.75" customHeight="1">
      <c r="A30" s="7" t="s">
        <v>36</v>
      </c>
      <c r="B30" s="295" t="s">
        <v>446</v>
      </c>
      <c r="C30" s="295"/>
      <c r="D30" s="295"/>
      <c r="E30" s="295"/>
      <c r="F30" s="8"/>
      <c r="G30" s="8"/>
    </row>
    <row r="31" spans="1:7" ht="15.75" customHeight="1">
      <c r="A31" s="7"/>
      <c r="B31" s="9" t="s">
        <v>7</v>
      </c>
      <c r="C31" s="10" t="s">
        <v>8</v>
      </c>
      <c r="D31" s="10" t="s">
        <v>9</v>
      </c>
      <c r="E31" s="10" t="s">
        <v>10</v>
      </c>
      <c r="F31" s="10" t="s">
        <v>11</v>
      </c>
      <c r="G31" s="10" t="s">
        <v>12</v>
      </c>
    </row>
    <row r="32" spans="1:7" ht="15.75" customHeight="1">
      <c r="A32" s="11" t="s">
        <v>37</v>
      </c>
      <c r="B32" s="12" t="s">
        <v>14</v>
      </c>
      <c r="C32" s="13" t="s">
        <v>15</v>
      </c>
      <c r="D32" s="14">
        <v>220</v>
      </c>
      <c r="E32" s="15">
        <f>F32/D32</f>
        <v>3.72</v>
      </c>
      <c r="F32" s="23">
        <f>2457/3</f>
        <v>819</v>
      </c>
      <c r="G32" s="8"/>
    </row>
    <row r="33" spans="1:7" ht="15.75" customHeight="1">
      <c r="A33" s="11" t="s">
        <v>38</v>
      </c>
      <c r="B33" s="12" t="s">
        <v>17</v>
      </c>
      <c r="C33" s="13"/>
      <c r="D33" s="31">
        <v>0.2</v>
      </c>
      <c r="E33" s="17">
        <f>(F32)</f>
        <v>819</v>
      </c>
      <c r="F33" s="15">
        <f>F32*D33</f>
        <v>163.80000000000001</v>
      </c>
      <c r="G33" s="8"/>
    </row>
    <row r="34" spans="1:7" ht="15.75" customHeight="1">
      <c r="A34" s="11" t="s">
        <v>39</v>
      </c>
      <c r="B34" s="19"/>
      <c r="C34" s="19"/>
      <c r="D34" s="19"/>
      <c r="E34" s="18" t="s">
        <v>19</v>
      </c>
      <c r="F34" s="15">
        <f>F32+F33</f>
        <v>982.8</v>
      </c>
      <c r="G34" s="8"/>
    </row>
    <row r="35" spans="1:7" ht="15.75" customHeight="1">
      <c r="A35" s="8"/>
      <c r="B35" s="19"/>
      <c r="C35" s="19"/>
      <c r="D35" s="19"/>
      <c r="E35" s="19"/>
      <c r="F35" s="19"/>
      <c r="G35" s="8"/>
    </row>
    <row r="36" spans="1:7" ht="15.75" customHeight="1">
      <c r="A36" s="11" t="s">
        <v>40</v>
      </c>
      <c r="B36" s="20" t="s">
        <v>21</v>
      </c>
      <c r="C36" s="21" t="s">
        <v>22</v>
      </c>
      <c r="D36" s="22">
        <f>Encargos_Sociais!B35</f>
        <v>0.71599999999999997</v>
      </c>
      <c r="E36" s="28">
        <f>F34</f>
        <v>982.8</v>
      </c>
      <c r="F36" s="23">
        <f>E36*D36</f>
        <v>703.68</v>
      </c>
      <c r="G36" s="8"/>
    </row>
    <row r="37" spans="1:7" ht="15.75" customHeight="1">
      <c r="A37" s="11" t="s">
        <v>41</v>
      </c>
      <c r="B37" s="274" t="s">
        <v>24</v>
      </c>
      <c r="C37" s="274"/>
      <c r="D37" s="274"/>
      <c r="E37" s="274"/>
      <c r="F37" s="15">
        <f>SUM(F34:F36)</f>
        <v>1686.48</v>
      </c>
      <c r="G37" s="8"/>
    </row>
    <row r="38" spans="1:7" ht="15.75" customHeight="1">
      <c r="A38" s="11" t="s">
        <v>42</v>
      </c>
      <c r="B38" s="25" t="s">
        <v>26</v>
      </c>
      <c r="C38" s="13" t="s">
        <v>27</v>
      </c>
      <c r="D38" s="13">
        <v>1</v>
      </c>
      <c r="E38" s="15">
        <f>(F37)</f>
        <v>1686.48</v>
      </c>
      <c r="F38" s="15">
        <f>D38*E38</f>
        <v>1686.48</v>
      </c>
      <c r="G38" s="8"/>
    </row>
    <row r="39" spans="1:7" ht="15.75" customHeight="1">
      <c r="A39" s="11"/>
      <c r="B39" s="7" t="s">
        <v>28</v>
      </c>
      <c r="C39" s="19"/>
      <c r="D39" s="19"/>
      <c r="E39" s="19"/>
      <c r="F39" s="19"/>
      <c r="G39" s="26">
        <f>(F38)</f>
        <v>1686.48</v>
      </c>
    </row>
    <row r="40" spans="1:7" ht="15.75" customHeight="1">
      <c r="A40" s="29"/>
      <c r="B40" s="29"/>
      <c r="C40" s="19"/>
      <c r="D40" s="19"/>
      <c r="E40" s="19"/>
      <c r="F40" s="19"/>
      <c r="G40" s="4"/>
    </row>
    <row r="41" spans="1:7" ht="15.75" customHeight="1">
      <c r="A41" s="29"/>
      <c r="B41" s="29"/>
      <c r="C41" s="19"/>
      <c r="D41" s="19"/>
      <c r="E41" s="19"/>
      <c r="F41" s="19"/>
      <c r="G41" s="30"/>
    </row>
    <row r="42" spans="1:7" ht="15.75" customHeight="1">
      <c r="A42" s="32" t="s">
        <v>43</v>
      </c>
      <c r="B42" s="273" t="s">
        <v>44</v>
      </c>
      <c r="C42" s="273"/>
      <c r="D42" s="273"/>
      <c r="E42" s="33"/>
      <c r="F42" s="3"/>
      <c r="G42" s="3"/>
    </row>
    <row r="43" spans="1:7" ht="15.75" customHeight="1">
      <c r="A43" s="32"/>
      <c r="B43" s="272" t="s">
        <v>7</v>
      </c>
      <c r="C43" s="272"/>
      <c r="D43" s="34" t="s">
        <v>9</v>
      </c>
      <c r="E43" s="34" t="s">
        <v>10</v>
      </c>
      <c r="F43" s="34" t="s">
        <v>11</v>
      </c>
      <c r="G43" s="34" t="s">
        <v>12</v>
      </c>
    </row>
    <row r="44" spans="1:7" ht="15.75" customHeight="1">
      <c r="A44" s="32" t="s">
        <v>45</v>
      </c>
      <c r="B44" s="273" t="str">
        <f>B8</f>
        <v>Preposto/Encarregado - Rateio p/ 3 itens</v>
      </c>
      <c r="C44" s="273"/>
      <c r="D44" s="34"/>
      <c r="E44" s="34"/>
      <c r="F44" s="35"/>
      <c r="G44" s="26">
        <f>F45-F46</f>
        <v>162.93</v>
      </c>
    </row>
    <row r="45" spans="1:7" ht="15.75" customHeight="1">
      <c r="A45" s="36"/>
      <c r="B45" s="284" t="s">
        <v>46</v>
      </c>
      <c r="C45" s="284"/>
      <c r="D45" s="37">
        <f>(20*4)*(D46)</f>
        <v>80</v>
      </c>
      <c r="E45" s="38">
        <v>6.5</v>
      </c>
      <c r="F45" s="17">
        <f>SUM(E45*D45)/3</f>
        <v>173.33</v>
      </c>
      <c r="G45" s="3"/>
    </row>
    <row r="46" spans="1:7" ht="15.75" customHeight="1">
      <c r="A46" s="36"/>
      <c r="B46" s="284" t="s">
        <v>47</v>
      </c>
      <c r="C46" s="284"/>
      <c r="D46" s="37">
        <f>D16</f>
        <v>1</v>
      </c>
      <c r="E46" s="39" t="s">
        <v>48</v>
      </c>
      <c r="F46" s="23">
        <f>(F45*E46)</f>
        <v>10.4</v>
      </c>
      <c r="G46" s="3"/>
    </row>
    <row r="47" spans="1:7" ht="15.75" customHeight="1">
      <c r="A47" s="32" t="s">
        <v>49</v>
      </c>
      <c r="B47" s="273" t="str">
        <f>B19</f>
        <v>Auxiliar de serviços Gerais/Jardineiro  - Rateio p/ 3 itens</v>
      </c>
      <c r="C47" s="273"/>
      <c r="D47" s="34"/>
      <c r="E47" s="34"/>
      <c r="F47" s="35"/>
      <c r="G47" s="26">
        <f>F48-F49</f>
        <v>325.87</v>
      </c>
    </row>
    <row r="48" spans="1:7" ht="15.75" customHeight="1">
      <c r="A48" s="36"/>
      <c r="B48" s="284" t="s">
        <v>46</v>
      </c>
      <c r="C48" s="284"/>
      <c r="D48" s="37">
        <f>(20*4)*(D49)</f>
        <v>160</v>
      </c>
      <c r="E48" s="38">
        <f>E45</f>
        <v>6.5</v>
      </c>
      <c r="F48" s="17">
        <f>SUM(E48*D48)/3</f>
        <v>346.67</v>
      </c>
      <c r="G48" s="3"/>
    </row>
    <row r="49" spans="1:7" ht="15.75" customHeight="1">
      <c r="A49" s="36"/>
      <c r="B49" s="284" t="s">
        <v>47</v>
      </c>
      <c r="C49" s="284"/>
      <c r="D49" s="37">
        <f>D27</f>
        <v>2</v>
      </c>
      <c r="E49" s="39" t="s">
        <v>48</v>
      </c>
      <c r="F49" s="23">
        <f>(F48*E49)</f>
        <v>20.8</v>
      </c>
      <c r="G49" s="3"/>
    </row>
    <row r="50" spans="1:7" ht="15.75" customHeight="1">
      <c r="A50" s="32" t="s">
        <v>50</v>
      </c>
      <c r="B50" s="273" t="str">
        <f>B30</f>
        <v>Motorista   - Rateio p/ 3 itens</v>
      </c>
      <c r="C50" s="273"/>
      <c r="D50" s="34"/>
      <c r="E50" s="34"/>
      <c r="F50" s="35"/>
      <c r="G50" s="26">
        <f>F51-F52</f>
        <v>162.93</v>
      </c>
    </row>
    <row r="51" spans="1:7" ht="15.75" customHeight="1">
      <c r="A51" s="36"/>
      <c r="B51" s="284" t="s">
        <v>46</v>
      </c>
      <c r="C51" s="284"/>
      <c r="D51" s="37">
        <f>(20*4)*(D52)</f>
        <v>80</v>
      </c>
      <c r="E51" s="38">
        <f>E48</f>
        <v>6.5</v>
      </c>
      <c r="F51" s="17">
        <f>SUM(E51*D51)/3</f>
        <v>173.33</v>
      </c>
      <c r="G51" s="3"/>
    </row>
    <row r="52" spans="1:7" ht="15.75" customHeight="1">
      <c r="A52" s="36"/>
      <c r="B52" s="284" t="s">
        <v>47</v>
      </c>
      <c r="C52" s="284"/>
      <c r="D52" s="40">
        <f>D38</f>
        <v>1</v>
      </c>
      <c r="E52" s="39" t="s">
        <v>48</v>
      </c>
      <c r="F52" s="23">
        <f>(F51*E52)</f>
        <v>10.4</v>
      </c>
      <c r="G52" s="3"/>
    </row>
    <row r="53" spans="1:7" ht="15.75" customHeight="1">
      <c r="A53" s="32"/>
      <c r="B53" s="283" t="s">
        <v>28</v>
      </c>
      <c r="C53" s="283"/>
      <c r="D53" s="4"/>
      <c r="E53" s="41"/>
      <c r="F53" s="4"/>
      <c r="G53" s="26">
        <f>G44+G47+G50</f>
        <v>651.73</v>
      </c>
    </row>
    <row r="54" spans="1:7" ht="15.75" customHeight="1">
      <c r="A54" s="5"/>
      <c r="B54" s="6"/>
      <c r="C54" s="6"/>
      <c r="D54" s="4"/>
      <c r="E54" s="41"/>
      <c r="F54" s="4"/>
      <c r="G54" s="3"/>
    </row>
    <row r="55" spans="1:7" ht="15.75" customHeight="1">
      <c r="A55" s="32" t="s">
        <v>51</v>
      </c>
      <c r="B55" s="273" t="s">
        <v>52</v>
      </c>
      <c r="C55" s="273"/>
      <c r="D55" s="273"/>
      <c r="E55" s="42"/>
      <c r="F55" s="4"/>
      <c r="G55" s="3"/>
    </row>
    <row r="56" spans="1:7" ht="15.75" customHeight="1">
      <c r="A56" s="43"/>
      <c r="B56" s="275" t="s">
        <v>7</v>
      </c>
      <c r="C56" s="275"/>
      <c r="D56" s="44" t="s">
        <v>9</v>
      </c>
      <c r="E56" s="44" t="s">
        <v>10</v>
      </c>
      <c r="F56" s="44" t="s">
        <v>11</v>
      </c>
      <c r="G56" s="34" t="s">
        <v>12</v>
      </c>
    </row>
    <row r="57" spans="1:7" ht="15.75" customHeight="1">
      <c r="A57" s="32" t="s">
        <v>53</v>
      </c>
      <c r="B57" s="273" t="str">
        <f>B44</f>
        <v>Preposto/Encarregado - Rateio p/ 3 itens</v>
      </c>
      <c r="C57" s="273"/>
      <c r="D57" s="45"/>
      <c r="E57" s="46"/>
      <c r="F57" s="47"/>
      <c r="G57" s="48">
        <f>F58-F59</f>
        <v>146.61000000000001</v>
      </c>
    </row>
    <row r="58" spans="1:7" ht="15.75" customHeight="1">
      <c r="A58" s="32"/>
      <c r="B58" s="274" t="s">
        <v>54</v>
      </c>
      <c r="C58" s="274"/>
      <c r="D58" s="37">
        <f>(20)*(D59)</f>
        <v>20</v>
      </c>
      <c r="E58" s="49">
        <v>27.15</v>
      </c>
      <c r="F58" s="23">
        <f>(E58*D58)/3</f>
        <v>181</v>
      </c>
      <c r="G58" s="50"/>
    </row>
    <row r="59" spans="1:7" ht="15.75" customHeight="1">
      <c r="A59" s="32"/>
      <c r="B59" s="274" t="s">
        <v>55</v>
      </c>
      <c r="C59" s="274"/>
      <c r="D59" s="37">
        <f>D46</f>
        <v>1</v>
      </c>
      <c r="E59" s="51">
        <v>0.19</v>
      </c>
      <c r="F59" s="23">
        <f>F58*E59</f>
        <v>34.39</v>
      </c>
      <c r="G59" s="3"/>
    </row>
    <row r="60" spans="1:7" ht="15.75" customHeight="1">
      <c r="A60" s="32" t="s">
        <v>56</v>
      </c>
      <c r="B60" s="273" t="str">
        <f>B47</f>
        <v>Auxiliar de serviços Gerais/Jardineiro  - Rateio p/ 3 itens</v>
      </c>
      <c r="C60" s="273"/>
      <c r="D60" s="45"/>
      <c r="E60" s="51"/>
      <c r="F60" s="47"/>
      <c r="G60" s="48">
        <f>F61-F62</f>
        <v>293.22000000000003</v>
      </c>
    </row>
    <row r="61" spans="1:7" ht="15.75" customHeight="1">
      <c r="A61" s="32"/>
      <c r="B61" s="274" t="s">
        <v>54</v>
      </c>
      <c r="C61" s="274"/>
      <c r="D61" s="37">
        <f>(20)*(D62)</f>
        <v>40</v>
      </c>
      <c r="E61" s="49">
        <f>E58</f>
        <v>27.15</v>
      </c>
      <c r="F61" s="23">
        <f>(E61*D61)/3</f>
        <v>362</v>
      </c>
      <c r="G61" s="3"/>
    </row>
    <row r="62" spans="1:7" ht="15.75" customHeight="1">
      <c r="A62" s="32"/>
      <c r="B62" s="274" t="s">
        <v>55</v>
      </c>
      <c r="C62" s="274"/>
      <c r="D62" s="37">
        <f>D49</f>
        <v>2</v>
      </c>
      <c r="E62" s="51">
        <v>0.19</v>
      </c>
      <c r="F62" s="23">
        <f>F61*E62</f>
        <v>68.78</v>
      </c>
      <c r="G62" s="3"/>
    </row>
    <row r="63" spans="1:7" ht="15.75" customHeight="1">
      <c r="A63" s="32" t="s">
        <v>56</v>
      </c>
      <c r="B63" s="273" t="str">
        <f>B50</f>
        <v>Motorista   - Rateio p/ 3 itens</v>
      </c>
      <c r="C63" s="273"/>
      <c r="D63" s="45"/>
      <c r="E63" s="51"/>
      <c r="F63" s="47"/>
      <c r="G63" s="48">
        <f>F64-F65</f>
        <v>146.61000000000001</v>
      </c>
    </row>
    <row r="64" spans="1:7" ht="15.75" customHeight="1">
      <c r="A64" s="32"/>
      <c r="B64" s="274" t="s">
        <v>54</v>
      </c>
      <c r="C64" s="274"/>
      <c r="D64" s="37">
        <f>(20)*(D65)</f>
        <v>20</v>
      </c>
      <c r="E64" s="49">
        <f>E58</f>
        <v>27.15</v>
      </c>
      <c r="F64" s="23">
        <f>(E64*D64)/3</f>
        <v>181</v>
      </c>
      <c r="G64" s="3"/>
    </row>
    <row r="65" spans="1:7" ht="15.75" customHeight="1">
      <c r="A65" s="32"/>
      <c r="B65" s="274" t="s">
        <v>55</v>
      </c>
      <c r="C65" s="274"/>
      <c r="D65" s="37">
        <f>D52</f>
        <v>1</v>
      </c>
      <c r="E65" s="51">
        <v>0.19</v>
      </c>
      <c r="F65" s="23">
        <f>F64*E65</f>
        <v>34.39</v>
      </c>
      <c r="G65" s="3"/>
    </row>
    <row r="66" spans="1:7" ht="15.75" customHeight="1">
      <c r="A66" s="32"/>
      <c r="B66" s="275" t="s">
        <v>28</v>
      </c>
      <c r="C66" s="275"/>
      <c r="D66" s="52"/>
      <c r="E66" s="53"/>
      <c r="F66" s="52"/>
      <c r="G66" s="48">
        <f>G57+G60+G63</f>
        <v>586.44000000000005</v>
      </c>
    </row>
    <row r="67" spans="1:7" ht="15.75" customHeight="1">
      <c r="A67"/>
      <c r="B67"/>
      <c r="C67"/>
      <c r="D67"/>
      <c r="E67"/>
      <c r="F67"/>
      <c r="G67" s="54"/>
    </row>
    <row r="68" spans="1:7" ht="15.75" customHeight="1">
      <c r="A68" s="32" t="s">
        <v>57</v>
      </c>
      <c r="B68" s="273" t="s">
        <v>58</v>
      </c>
      <c r="C68" s="273"/>
      <c r="D68" s="273"/>
      <c r="E68" s="55"/>
      <c r="F68"/>
      <c r="G68" s="3"/>
    </row>
    <row r="69" spans="1:7" ht="15.75" customHeight="1">
      <c r="A69" s="43"/>
      <c r="B69" s="275" t="s">
        <v>7</v>
      </c>
      <c r="C69" s="275"/>
      <c r="D69" s="44" t="s">
        <v>9</v>
      </c>
      <c r="E69" s="44" t="s">
        <v>10</v>
      </c>
      <c r="F69" s="44" t="s">
        <v>11</v>
      </c>
      <c r="G69" s="34" t="s">
        <v>12</v>
      </c>
    </row>
    <row r="70" spans="1:7" ht="15.75" customHeight="1">
      <c r="A70" s="32" t="s">
        <v>59</v>
      </c>
      <c r="B70" s="273" t="str">
        <f>B57</f>
        <v>Preposto/Encarregado - Rateio p/ 3 itens</v>
      </c>
      <c r="C70" s="273"/>
      <c r="D70" s="45"/>
      <c r="E70" s="46"/>
      <c r="F70" s="47"/>
      <c r="G70" s="48">
        <f>F71</f>
        <v>8.5</v>
      </c>
    </row>
    <row r="71" spans="1:7" ht="15.75" customHeight="1">
      <c r="A71" s="32"/>
      <c r="B71" s="274" t="s">
        <v>60</v>
      </c>
      <c r="C71" s="274"/>
      <c r="D71" s="37">
        <f>D16</f>
        <v>1</v>
      </c>
      <c r="E71" s="49">
        <v>25.5</v>
      </c>
      <c r="F71" s="23">
        <f>(E71*D71)/3</f>
        <v>8.5</v>
      </c>
      <c r="G71" s="50"/>
    </row>
    <row r="72" spans="1:7" ht="15.75" customHeight="1">
      <c r="A72" s="32" t="s">
        <v>61</v>
      </c>
      <c r="B72" s="273" t="str">
        <f>B60</f>
        <v>Auxiliar de serviços Gerais/Jardineiro  - Rateio p/ 3 itens</v>
      </c>
      <c r="C72" s="273"/>
      <c r="D72" s="45"/>
      <c r="E72" s="51"/>
      <c r="F72" s="47"/>
      <c r="G72" s="48">
        <f>F73</f>
        <v>17</v>
      </c>
    </row>
    <row r="73" spans="1:7" ht="15.75" customHeight="1">
      <c r="A73" s="32"/>
      <c r="B73" s="274" t="s">
        <v>60</v>
      </c>
      <c r="C73" s="274"/>
      <c r="D73" s="37">
        <f>D27</f>
        <v>2</v>
      </c>
      <c r="E73" s="49">
        <f>E71</f>
        <v>25.5</v>
      </c>
      <c r="F73" s="23">
        <f>(E73*D73)/3</f>
        <v>17</v>
      </c>
      <c r="G73" s="3"/>
    </row>
    <row r="74" spans="1:7" ht="15.75" customHeight="1">
      <c r="A74" s="32" t="s">
        <v>62</v>
      </c>
      <c r="B74" s="273" t="str">
        <f>B63</f>
        <v>Motorista   - Rateio p/ 3 itens</v>
      </c>
      <c r="C74" s="273"/>
      <c r="D74" s="45"/>
      <c r="E74" s="51"/>
      <c r="F74" s="47"/>
      <c r="G74" s="48">
        <f>F75</f>
        <v>8.5</v>
      </c>
    </row>
    <row r="75" spans="1:7" ht="15.75" customHeight="1">
      <c r="A75" s="32"/>
      <c r="B75" s="274" t="s">
        <v>60</v>
      </c>
      <c r="C75" s="274"/>
      <c r="D75" s="37">
        <f>D65</f>
        <v>1</v>
      </c>
      <c r="E75" s="49">
        <f>E73</f>
        <v>25.5</v>
      </c>
      <c r="F75" s="23">
        <f>(E75*D75)/3</f>
        <v>8.5</v>
      </c>
      <c r="G75" s="3"/>
    </row>
    <row r="76" spans="1:7" ht="15.75" customHeight="1">
      <c r="A76" s="32"/>
      <c r="B76" s="275" t="s">
        <v>28</v>
      </c>
      <c r="C76" s="275"/>
      <c r="D76" s="52"/>
      <c r="E76" s="53"/>
      <c r="F76" s="52"/>
      <c r="G76" s="48">
        <f>G70+G72+G74</f>
        <v>34</v>
      </c>
    </row>
    <row r="77" spans="1:7" ht="15.75" customHeight="1">
      <c r="A77" s="5"/>
      <c r="B77" s="56"/>
      <c r="C77" s="4"/>
      <c r="D77" s="4"/>
      <c r="E77" s="4"/>
      <c r="F77" s="4"/>
      <c r="G77" s="57"/>
    </row>
    <row r="78" spans="1:7" ht="15.75" customHeight="1">
      <c r="A78" s="58">
        <v>2</v>
      </c>
      <c r="B78" s="272" t="s">
        <v>63</v>
      </c>
      <c r="C78" s="272"/>
      <c r="D78" s="272"/>
      <c r="E78" s="272"/>
      <c r="F78" s="4"/>
      <c r="G78" s="3"/>
    </row>
    <row r="79" spans="1:7" ht="15.75" customHeight="1">
      <c r="A79" s="32" t="s">
        <v>64</v>
      </c>
      <c r="B79" s="282" t="str">
        <f>B70</f>
        <v>Preposto/Encarregado - Rateio p/ 3 itens</v>
      </c>
      <c r="C79" s="282"/>
      <c r="D79" s="282"/>
      <c r="E79" s="282"/>
      <c r="F79" s="4"/>
      <c r="G79" s="3"/>
    </row>
    <row r="80" spans="1:7" ht="15.75" customHeight="1">
      <c r="A80" s="7"/>
      <c r="B80" s="275" t="s">
        <v>65</v>
      </c>
      <c r="C80" s="275"/>
      <c r="D80" s="44" t="s">
        <v>66</v>
      </c>
      <c r="E80" s="44" t="s">
        <v>10</v>
      </c>
      <c r="F80" s="44" t="s">
        <v>67</v>
      </c>
      <c r="G80" s="10" t="s">
        <v>12</v>
      </c>
    </row>
    <row r="81" spans="1:7" ht="15.75" customHeight="1">
      <c r="A81" s="7" t="s">
        <v>68</v>
      </c>
      <c r="B81" s="274" t="s">
        <v>69</v>
      </c>
      <c r="C81" s="274"/>
      <c r="D81" s="59">
        <v>3</v>
      </c>
      <c r="E81" s="47">
        <v>72.2</v>
      </c>
      <c r="F81" s="23">
        <f>(D81)*E81/12/3</f>
        <v>6.02</v>
      </c>
      <c r="G81" s="8"/>
    </row>
    <row r="82" spans="1:7" ht="15.75" customHeight="1">
      <c r="A82" s="7" t="s">
        <v>70</v>
      </c>
      <c r="B82" s="274" t="s">
        <v>71</v>
      </c>
      <c r="C82" s="274"/>
      <c r="D82" s="59">
        <v>3</v>
      </c>
      <c r="E82" s="47">
        <v>52.07</v>
      </c>
      <c r="F82" s="23">
        <f t="shared" ref="F82:F97" si="0">(D82)*E82/12/3</f>
        <v>4.34</v>
      </c>
      <c r="G82" s="8"/>
    </row>
    <row r="83" spans="1:7" ht="15.75" customHeight="1">
      <c r="A83" s="7" t="s">
        <v>72</v>
      </c>
      <c r="B83" s="274" t="s">
        <v>444</v>
      </c>
      <c r="C83" s="274"/>
      <c r="D83" s="59">
        <v>1</v>
      </c>
      <c r="E83" s="47">
        <v>31.8</v>
      </c>
      <c r="F83" s="23">
        <f t="shared" si="0"/>
        <v>0.88</v>
      </c>
      <c r="G83" s="8"/>
    </row>
    <row r="84" spans="1:7" ht="15.75" customHeight="1">
      <c r="A84" s="7" t="s">
        <v>73</v>
      </c>
      <c r="B84" s="274" t="s">
        <v>74</v>
      </c>
      <c r="C84" s="274"/>
      <c r="D84" s="59">
        <v>0</v>
      </c>
      <c r="E84" s="47">
        <v>31.25</v>
      </c>
      <c r="F84" s="23">
        <f t="shared" si="0"/>
        <v>0</v>
      </c>
      <c r="G84" s="8"/>
    </row>
    <row r="85" spans="1:7" ht="15.75" customHeight="1">
      <c r="A85" s="7" t="s">
        <v>75</v>
      </c>
      <c r="B85" s="274" t="s">
        <v>76</v>
      </c>
      <c r="C85" s="274"/>
      <c r="D85" s="59">
        <v>0</v>
      </c>
      <c r="E85" s="47">
        <v>115.13</v>
      </c>
      <c r="F85" s="23">
        <f t="shared" si="0"/>
        <v>0</v>
      </c>
      <c r="G85" s="8"/>
    </row>
    <row r="86" spans="1:7" ht="15.75" customHeight="1">
      <c r="A86" s="7" t="s">
        <v>77</v>
      </c>
      <c r="B86" s="274" t="s">
        <v>78</v>
      </c>
      <c r="C86" s="274"/>
      <c r="D86" s="59">
        <v>2</v>
      </c>
      <c r="E86" s="47">
        <v>29.74</v>
      </c>
      <c r="F86" s="23">
        <f t="shared" si="0"/>
        <v>1.65</v>
      </c>
      <c r="G86" s="8"/>
    </row>
    <row r="87" spans="1:7" ht="15.75" customHeight="1">
      <c r="A87" s="7" t="s">
        <v>79</v>
      </c>
      <c r="B87" s="274" t="s">
        <v>80</v>
      </c>
      <c r="C87" s="274"/>
      <c r="D87" s="59">
        <v>1</v>
      </c>
      <c r="E87" s="47">
        <v>30.09</v>
      </c>
      <c r="F87" s="23">
        <f t="shared" si="0"/>
        <v>0.84</v>
      </c>
      <c r="G87" s="8"/>
    </row>
    <row r="88" spans="1:7" ht="15.75" customHeight="1">
      <c r="A88" s="7" t="s">
        <v>81</v>
      </c>
      <c r="B88" s="274" t="s">
        <v>82</v>
      </c>
      <c r="C88" s="274"/>
      <c r="D88" s="59">
        <v>0</v>
      </c>
      <c r="E88" s="47">
        <v>0</v>
      </c>
      <c r="F88" s="23">
        <f t="shared" si="0"/>
        <v>0</v>
      </c>
      <c r="G88" s="8"/>
    </row>
    <row r="89" spans="1:7" ht="15.75" customHeight="1">
      <c r="A89" s="7" t="s">
        <v>83</v>
      </c>
      <c r="B89" s="274" t="s">
        <v>84</v>
      </c>
      <c r="C89" s="274"/>
      <c r="D89" s="59">
        <v>2</v>
      </c>
      <c r="E89" s="47">
        <v>73.31</v>
      </c>
      <c r="F89" s="23">
        <f t="shared" si="0"/>
        <v>4.07</v>
      </c>
      <c r="G89" s="8"/>
    </row>
    <row r="90" spans="1:7" ht="15.75" customHeight="1">
      <c r="A90" s="7" t="s">
        <v>85</v>
      </c>
      <c r="B90" s="281" t="s">
        <v>86</v>
      </c>
      <c r="C90" s="281"/>
      <c r="D90" s="59">
        <v>0</v>
      </c>
      <c r="E90" s="233">
        <v>0</v>
      </c>
      <c r="F90" s="23">
        <f t="shared" si="0"/>
        <v>0</v>
      </c>
      <c r="G90" s="8"/>
    </row>
    <row r="91" spans="1:7" ht="15.75" customHeight="1">
      <c r="A91" s="7" t="s">
        <v>87</v>
      </c>
      <c r="B91" s="274" t="s">
        <v>88</v>
      </c>
      <c r="C91" s="274"/>
      <c r="D91" s="59">
        <v>0</v>
      </c>
      <c r="E91" s="233">
        <v>59.04</v>
      </c>
      <c r="F91" s="23">
        <f t="shared" si="0"/>
        <v>0</v>
      </c>
      <c r="G91" s="8"/>
    </row>
    <row r="92" spans="1:7" ht="15.75" customHeight="1">
      <c r="A92" s="7" t="s">
        <v>89</v>
      </c>
      <c r="B92" s="274" t="s">
        <v>90</v>
      </c>
      <c r="C92" s="274"/>
      <c r="D92" s="59">
        <v>0</v>
      </c>
      <c r="E92" s="47">
        <v>4.04</v>
      </c>
      <c r="F92" s="23">
        <f t="shared" si="0"/>
        <v>0</v>
      </c>
      <c r="G92" s="8"/>
    </row>
    <row r="93" spans="1:7" ht="15.75" customHeight="1">
      <c r="A93" s="7" t="s">
        <v>91</v>
      </c>
      <c r="B93" s="274" t="s">
        <v>92</v>
      </c>
      <c r="C93" s="274"/>
      <c r="D93" s="59">
        <v>1</v>
      </c>
      <c r="E93" s="47">
        <v>14.64</v>
      </c>
      <c r="F93" s="23">
        <f t="shared" si="0"/>
        <v>0.41</v>
      </c>
      <c r="G93" s="8"/>
    </row>
    <row r="94" spans="1:7" ht="15.75" customHeight="1">
      <c r="A94" s="7" t="s">
        <v>93</v>
      </c>
      <c r="B94" s="274" t="s">
        <v>94</v>
      </c>
      <c r="C94" s="274"/>
      <c r="D94" s="59">
        <v>0</v>
      </c>
      <c r="E94" s="47">
        <v>12.7</v>
      </c>
      <c r="F94" s="23">
        <f t="shared" si="0"/>
        <v>0</v>
      </c>
      <c r="G94" s="8"/>
    </row>
    <row r="95" spans="1:7" ht="15.75" customHeight="1">
      <c r="A95" s="7" t="s">
        <v>95</v>
      </c>
      <c r="B95" s="274" t="s">
        <v>96</v>
      </c>
      <c r="C95" s="274"/>
      <c r="D95" s="59">
        <v>0</v>
      </c>
      <c r="E95" s="47">
        <v>7.36</v>
      </c>
      <c r="F95" s="23">
        <f t="shared" si="0"/>
        <v>0</v>
      </c>
      <c r="G95" s="8"/>
    </row>
    <row r="96" spans="1:7" ht="15.75" customHeight="1">
      <c r="A96" s="7" t="s">
        <v>97</v>
      </c>
      <c r="B96" s="274" t="s">
        <v>98</v>
      </c>
      <c r="C96" s="274"/>
      <c r="D96" s="59">
        <v>0</v>
      </c>
      <c r="E96" s="47">
        <v>16.329999999999998</v>
      </c>
      <c r="F96" s="23">
        <f t="shared" si="0"/>
        <v>0</v>
      </c>
      <c r="G96" s="8"/>
    </row>
    <row r="97" spans="1:7" s="236" customFormat="1" ht="15.75" customHeight="1">
      <c r="A97" s="7" t="s">
        <v>419</v>
      </c>
      <c r="B97" s="281" t="s">
        <v>99</v>
      </c>
      <c r="C97" s="281"/>
      <c r="D97" s="234">
        <v>0</v>
      </c>
      <c r="E97" s="233">
        <v>100</v>
      </c>
      <c r="F97" s="23">
        <f t="shared" si="0"/>
        <v>0</v>
      </c>
      <c r="G97" s="235"/>
    </row>
    <row r="98" spans="1:7" ht="15.75" customHeight="1">
      <c r="A98" s="7"/>
      <c r="B98" s="274" t="s">
        <v>100</v>
      </c>
      <c r="C98" s="274"/>
      <c r="D98" s="274"/>
      <c r="E98" s="274"/>
      <c r="F98" s="23">
        <f>SUM(F81:F97)</f>
        <v>18.21</v>
      </c>
      <c r="G98" s="8"/>
    </row>
    <row r="99" spans="1:7" ht="15.75" customHeight="1">
      <c r="A99" s="7"/>
      <c r="B99" s="278" t="s">
        <v>101</v>
      </c>
      <c r="C99" s="278"/>
      <c r="D99" s="60">
        <f>D16</f>
        <v>1</v>
      </c>
      <c r="E99" s="23">
        <f>(F98)</f>
        <v>18.21</v>
      </c>
      <c r="F99" s="23">
        <f>SUM(D99*E99)</f>
        <v>18.21</v>
      </c>
      <c r="G99" s="8"/>
    </row>
    <row r="100" spans="1:7" ht="15.75" customHeight="1">
      <c r="A100" s="7"/>
      <c r="B100" s="275" t="s">
        <v>28</v>
      </c>
      <c r="C100" s="275"/>
      <c r="D100" s="61"/>
      <c r="E100" s="19"/>
      <c r="F100" s="19"/>
      <c r="G100" s="62">
        <f>(F99)</f>
        <v>18.21</v>
      </c>
    </row>
    <row r="101" spans="1:7" ht="15.75" customHeight="1">
      <c r="A101" s="5"/>
      <c r="B101" s="56"/>
      <c r="C101" s="4"/>
      <c r="D101" s="4"/>
      <c r="E101" s="4"/>
      <c r="F101" s="4"/>
      <c r="G101" s="57"/>
    </row>
    <row r="102" spans="1:7" ht="15.75" customHeight="1">
      <c r="A102" s="58">
        <v>2</v>
      </c>
      <c r="B102" s="272" t="s">
        <v>63</v>
      </c>
      <c r="C102" s="272"/>
      <c r="D102" s="272"/>
      <c r="E102" s="272"/>
      <c r="F102" s="4"/>
      <c r="G102" s="3"/>
    </row>
    <row r="103" spans="1:7" ht="15.75" customHeight="1">
      <c r="A103" s="32" t="s">
        <v>102</v>
      </c>
      <c r="B103" s="282" t="str">
        <f>B72</f>
        <v>Auxiliar de serviços Gerais/Jardineiro  - Rateio p/ 3 itens</v>
      </c>
      <c r="C103" s="282"/>
      <c r="D103" s="282"/>
      <c r="E103" s="282"/>
      <c r="F103" s="4"/>
      <c r="G103" s="3"/>
    </row>
    <row r="104" spans="1:7" ht="15.75" customHeight="1">
      <c r="A104" s="7"/>
      <c r="B104" s="275" t="s">
        <v>65</v>
      </c>
      <c r="C104" s="275"/>
      <c r="D104" s="44" t="s">
        <v>66</v>
      </c>
      <c r="E104" s="44" t="s">
        <v>10</v>
      </c>
      <c r="F104" s="44" t="s">
        <v>67</v>
      </c>
      <c r="G104" s="10" t="s">
        <v>12</v>
      </c>
    </row>
    <row r="105" spans="1:7" ht="15.75" customHeight="1">
      <c r="A105" s="7" t="s">
        <v>103</v>
      </c>
      <c r="B105" s="274" t="s">
        <v>69</v>
      </c>
      <c r="C105" s="274"/>
      <c r="D105" s="59">
        <v>16</v>
      </c>
      <c r="E105" s="47">
        <v>72.2</v>
      </c>
      <c r="F105" s="23">
        <f>(D105)*E105/12/3</f>
        <v>32.090000000000003</v>
      </c>
      <c r="G105" s="8"/>
    </row>
    <row r="106" spans="1:7" ht="15.75" customHeight="1">
      <c r="A106" s="7" t="s">
        <v>104</v>
      </c>
      <c r="B106" s="274" t="s">
        <v>71</v>
      </c>
      <c r="C106" s="274"/>
      <c r="D106" s="59">
        <v>16</v>
      </c>
      <c r="E106" s="47">
        <v>52.07</v>
      </c>
      <c r="F106" s="23">
        <f t="shared" ref="F106:F121" si="1">(D106)*E106/12/3</f>
        <v>23.14</v>
      </c>
      <c r="G106" s="8"/>
    </row>
    <row r="107" spans="1:7" ht="15.75" customHeight="1">
      <c r="A107" s="7" t="s">
        <v>105</v>
      </c>
      <c r="B107" s="274" t="s">
        <v>444</v>
      </c>
      <c r="C107" s="274"/>
      <c r="D107" s="59">
        <v>1</v>
      </c>
      <c r="E107" s="47">
        <v>31.8</v>
      </c>
      <c r="F107" s="23">
        <f t="shared" si="1"/>
        <v>0.88</v>
      </c>
      <c r="G107" s="8"/>
    </row>
    <row r="108" spans="1:7" ht="15.75" customHeight="1">
      <c r="A108" s="7" t="s">
        <v>106</v>
      </c>
      <c r="B108" s="274" t="s">
        <v>74</v>
      </c>
      <c r="C108" s="274"/>
      <c r="D108" s="59">
        <v>4</v>
      </c>
      <c r="E108" s="47">
        <v>31.25</v>
      </c>
      <c r="F108" s="23">
        <f t="shared" si="1"/>
        <v>3.47</v>
      </c>
      <c r="G108" s="8"/>
    </row>
    <row r="109" spans="1:7" ht="15.75" customHeight="1">
      <c r="A109" s="7" t="s">
        <v>107</v>
      </c>
      <c r="B109" s="274" t="s">
        <v>76</v>
      </c>
      <c r="C109" s="274"/>
      <c r="D109" s="59">
        <v>4</v>
      </c>
      <c r="E109" s="47">
        <v>115.13</v>
      </c>
      <c r="F109" s="23">
        <f t="shared" si="1"/>
        <v>12.79</v>
      </c>
      <c r="G109" s="8"/>
    </row>
    <row r="110" spans="1:7" ht="15.75" customHeight="1">
      <c r="A110" s="7" t="s">
        <v>108</v>
      </c>
      <c r="B110" s="274" t="s">
        <v>78</v>
      </c>
      <c r="C110" s="274"/>
      <c r="D110" s="59">
        <v>12</v>
      </c>
      <c r="E110" s="47">
        <v>29.74</v>
      </c>
      <c r="F110" s="23">
        <f t="shared" si="1"/>
        <v>9.91</v>
      </c>
      <c r="G110" s="8"/>
    </row>
    <row r="111" spans="1:7" ht="15.75" customHeight="1">
      <c r="A111" s="7" t="s">
        <v>109</v>
      </c>
      <c r="B111" s="274" t="s">
        <v>80</v>
      </c>
      <c r="C111" s="274"/>
      <c r="D111" s="59">
        <v>4</v>
      </c>
      <c r="E111" s="47">
        <v>30.09</v>
      </c>
      <c r="F111" s="23">
        <f t="shared" si="1"/>
        <v>3.34</v>
      </c>
      <c r="G111" s="8"/>
    </row>
    <row r="112" spans="1:7" ht="15.75" customHeight="1">
      <c r="A112" s="7" t="s">
        <v>110</v>
      </c>
      <c r="B112" s="274" t="s">
        <v>82</v>
      </c>
      <c r="C112" s="274"/>
      <c r="D112" s="59">
        <v>0</v>
      </c>
      <c r="E112" s="47">
        <v>0</v>
      </c>
      <c r="F112" s="23">
        <f t="shared" si="1"/>
        <v>0</v>
      </c>
      <c r="G112" s="8"/>
    </row>
    <row r="113" spans="1:7" ht="15.75" customHeight="1">
      <c r="A113" s="7" t="s">
        <v>111</v>
      </c>
      <c r="B113" s="274" t="s">
        <v>84</v>
      </c>
      <c r="C113" s="274"/>
      <c r="D113" s="59">
        <v>8</v>
      </c>
      <c r="E113" s="47">
        <v>73.31</v>
      </c>
      <c r="F113" s="23">
        <f t="shared" si="1"/>
        <v>16.29</v>
      </c>
      <c r="G113" s="8"/>
    </row>
    <row r="114" spans="1:7" ht="15.75" customHeight="1">
      <c r="A114" s="7" t="s">
        <v>112</v>
      </c>
      <c r="B114" s="274" t="s">
        <v>86</v>
      </c>
      <c r="C114" s="274"/>
      <c r="D114" s="59">
        <v>0</v>
      </c>
      <c r="E114" s="233">
        <v>0</v>
      </c>
      <c r="F114" s="23">
        <f t="shared" si="1"/>
        <v>0</v>
      </c>
      <c r="G114" s="8"/>
    </row>
    <row r="115" spans="1:7" ht="15.75" customHeight="1">
      <c r="A115" s="7" t="s">
        <v>113</v>
      </c>
      <c r="B115" s="274" t="s">
        <v>88</v>
      </c>
      <c r="C115" s="274"/>
      <c r="D115" s="59">
        <v>2</v>
      </c>
      <c r="E115" s="233">
        <v>59.04</v>
      </c>
      <c r="F115" s="23">
        <f t="shared" si="1"/>
        <v>3.28</v>
      </c>
      <c r="G115" s="8"/>
    </row>
    <row r="116" spans="1:7" ht="15.75" customHeight="1">
      <c r="A116" s="7" t="s">
        <v>114</v>
      </c>
      <c r="B116" s="274" t="s">
        <v>90</v>
      </c>
      <c r="C116" s="274"/>
      <c r="D116" s="59">
        <v>8</v>
      </c>
      <c r="E116" s="47">
        <v>4.04</v>
      </c>
      <c r="F116" s="23">
        <f t="shared" si="1"/>
        <v>0.9</v>
      </c>
      <c r="G116" s="8"/>
    </row>
    <row r="117" spans="1:7" ht="15.75" customHeight="1">
      <c r="A117" s="7" t="s">
        <v>115</v>
      </c>
      <c r="B117" s="274" t="s">
        <v>92</v>
      </c>
      <c r="C117" s="274"/>
      <c r="D117" s="59">
        <v>6</v>
      </c>
      <c r="E117" s="47">
        <v>14.64</v>
      </c>
      <c r="F117" s="23">
        <f t="shared" si="1"/>
        <v>2.44</v>
      </c>
      <c r="G117" s="8"/>
    </row>
    <row r="118" spans="1:7" ht="15.75" customHeight="1">
      <c r="A118" s="7" t="s">
        <v>116</v>
      </c>
      <c r="B118" s="274" t="s">
        <v>94</v>
      </c>
      <c r="C118" s="274"/>
      <c r="D118" s="59">
        <v>24</v>
      </c>
      <c r="E118" s="47">
        <v>12.7</v>
      </c>
      <c r="F118" s="23">
        <f t="shared" si="1"/>
        <v>8.4700000000000006</v>
      </c>
      <c r="G118" s="8"/>
    </row>
    <row r="119" spans="1:7" ht="15.75" customHeight="1">
      <c r="A119" s="7" t="s">
        <v>117</v>
      </c>
      <c r="B119" s="274" t="s">
        <v>96</v>
      </c>
      <c r="C119" s="274"/>
      <c r="D119" s="59">
        <v>72</v>
      </c>
      <c r="E119" s="47">
        <v>7.36</v>
      </c>
      <c r="F119" s="23">
        <f t="shared" si="1"/>
        <v>14.72</v>
      </c>
      <c r="G119" s="8"/>
    </row>
    <row r="120" spans="1:7" ht="15.75" customHeight="1">
      <c r="A120" s="7" t="s">
        <v>118</v>
      </c>
      <c r="B120" s="274" t="s">
        <v>98</v>
      </c>
      <c r="C120" s="274"/>
      <c r="D120" s="59">
        <v>8</v>
      </c>
      <c r="E120" s="47">
        <v>16.329999999999998</v>
      </c>
      <c r="F120" s="23">
        <f t="shared" si="1"/>
        <v>3.63</v>
      </c>
      <c r="G120" s="8"/>
    </row>
    <row r="121" spans="1:7" s="236" customFormat="1" ht="15.75" customHeight="1">
      <c r="A121" s="7" t="s">
        <v>433</v>
      </c>
      <c r="B121" s="281" t="s">
        <v>99</v>
      </c>
      <c r="C121" s="281"/>
      <c r="D121" s="234">
        <v>0</v>
      </c>
      <c r="E121" s="233">
        <v>100</v>
      </c>
      <c r="F121" s="23">
        <f t="shared" si="1"/>
        <v>0</v>
      </c>
      <c r="G121" s="235"/>
    </row>
    <row r="122" spans="1:7" ht="15.75" customHeight="1">
      <c r="A122" s="7"/>
      <c r="B122" s="274" t="s">
        <v>100</v>
      </c>
      <c r="C122" s="274"/>
      <c r="D122" s="274"/>
      <c r="E122" s="274"/>
      <c r="F122" s="23">
        <f>SUM(F105:F121)</f>
        <v>135.35</v>
      </c>
      <c r="G122" s="8"/>
    </row>
    <row r="123" spans="1:7" ht="15.75" customHeight="1">
      <c r="A123" s="7"/>
      <c r="B123" s="278" t="s">
        <v>101</v>
      </c>
      <c r="C123" s="278"/>
      <c r="D123" s="60">
        <v>1</v>
      </c>
      <c r="E123" s="23">
        <f>(F122)</f>
        <v>135.35</v>
      </c>
      <c r="F123" s="23">
        <f>SUM(D123*E123)</f>
        <v>135.35</v>
      </c>
      <c r="G123" s="8"/>
    </row>
    <row r="124" spans="1:7" ht="15.75" customHeight="1">
      <c r="A124" s="7"/>
      <c r="B124" s="275" t="s">
        <v>28</v>
      </c>
      <c r="C124" s="275"/>
      <c r="D124" s="61"/>
      <c r="E124" s="19"/>
      <c r="F124" s="19"/>
      <c r="G124" s="62">
        <f>(F123)</f>
        <v>135.35</v>
      </c>
    </row>
    <row r="125" spans="1:7" ht="15.75" customHeight="1">
      <c r="A125" s="5"/>
      <c r="B125" s="56"/>
      <c r="C125" s="4"/>
      <c r="D125" s="4"/>
      <c r="E125" s="4"/>
      <c r="F125" s="4"/>
      <c r="G125" s="57"/>
    </row>
    <row r="126" spans="1:7" ht="15.75" customHeight="1">
      <c r="A126" s="58">
        <v>2</v>
      </c>
      <c r="B126" s="272" t="s">
        <v>63</v>
      </c>
      <c r="C126" s="272"/>
      <c r="D126" s="272"/>
      <c r="E126" s="272"/>
      <c r="F126" s="4"/>
      <c r="G126" s="3"/>
    </row>
    <row r="127" spans="1:7" ht="15.75" customHeight="1">
      <c r="A127" s="32" t="s">
        <v>119</v>
      </c>
      <c r="B127" s="282" t="str">
        <f>B74</f>
        <v>Motorista   - Rateio p/ 3 itens</v>
      </c>
      <c r="C127" s="282"/>
      <c r="D127" s="282"/>
      <c r="E127" s="282"/>
      <c r="F127" s="4"/>
      <c r="G127" s="3"/>
    </row>
    <row r="128" spans="1:7" ht="15.75" customHeight="1">
      <c r="A128" s="7"/>
      <c r="B128" s="275" t="s">
        <v>65</v>
      </c>
      <c r="C128" s="275"/>
      <c r="D128" s="44" t="s">
        <v>66</v>
      </c>
      <c r="E128" s="44" t="s">
        <v>10</v>
      </c>
      <c r="F128" s="44" t="s">
        <v>67</v>
      </c>
      <c r="G128" s="10" t="s">
        <v>12</v>
      </c>
    </row>
    <row r="129" spans="1:7" ht="15.75" customHeight="1">
      <c r="A129" s="7" t="s">
        <v>120</v>
      </c>
      <c r="B129" s="274" t="s">
        <v>69</v>
      </c>
      <c r="C129" s="274"/>
      <c r="D129" s="59">
        <v>3</v>
      </c>
      <c r="E129" s="47">
        <v>72.2</v>
      </c>
      <c r="F129" s="23">
        <f>(D129)*E129/12/3</f>
        <v>6.02</v>
      </c>
      <c r="G129" s="8"/>
    </row>
    <row r="130" spans="1:7" ht="15.75" customHeight="1">
      <c r="A130" s="7" t="s">
        <v>121</v>
      </c>
      <c r="B130" s="274" t="s">
        <v>71</v>
      </c>
      <c r="C130" s="274"/>
      <c r="D130" s="59">
        <v>3</v>
      </c>
      <c r="E130" s="47">
        <v>52.07</v>
      </c>
      <c r="F130" s="23">
        <f t="shared" ref="F130:F145" si="2">(D130)*E130/12/3</f>
        <v>4.34</v>
      </c>
      <c r="G130" s="8"/>
    </row>
    <row r="131" spans="1:7" ht="15.75" customHeight="1">
      <c r="A131" s="7" t="s">
        <v>122</v>
      </c>
      <c r="B131" s="274" t="s">
        <v>444</v>
      </c>
      <c r="C131" s="274"/>
      <c r="D131" s="59">
        <v>1</v>
      </c>
      <c r="E131" s="47">
        <v>31.8</v>
      </c>
      <c r="F131" s="23">
        <f t="shared" si="2"/>
        <v>0.88</v>
      </c>
      <c r="G131" s="8"/>
    </row>
    <row r="132" spans="1:7" ht="15.75" customHeight="1">
      <c r="A132" s="7" t="s">
        <v>123</v>
      </c>
      <c r="B132" s="274" t="s">
        <v>74</v>
      </c>
      <c r="C132" s="274"/>
      <c r="D132" s="59">
        <v>0</v>
      </c>
      <c r="E132" s="47">
        <v>31.25</v>
      </c>
      <c r="F132" s="23">
        <f t="shared" si="2"/>
        <v>0</v>
      </c>
      <c r="G132" s="8"/>
    </row>
    <row r="133" spans="1:7" ht="15.75" customHeight="1">
      <c r="A133" s="7" t="s">
        <v>124</v>
      </c>
      <c r="B133" s="274" t="s">
        <v>76</v>
      </c>
      <c r="C133" s="274"/>
      <c r="D133" s="59">
        <v>0</v>
      </c>
      <c r="E133" s="47">
        <v>115.13</v>
      </c>
      <c r="F133" s="23">
        <f t="shared" si="2"/>
        <v>0</v>
      </c>
      <c r="G133" s="8"/>
    </row>
    <row r="134" spans="1:7" ht="15.75" customHeight="1">
      <c r="A134" s="7" t="s">
        <v>125</v>
      </c>
      <c r="B134" s="274" t="s">
        <v>78</v>
      </c>
      <c r="C134" s="274"/>
      <c r="D134" s="59">
        <v>2</v>
      </c>
      <c r="E134" s="47">
        <v>29.74</v>
      </c>
      <c r="F134" s="23">
        <f t="shared" si="2"/>
        <v>1.65</v>
      </c>
      <c r="G134" s="8"/>
    </row>
    <row r="135" spans="1:7" ht="15.75" customHeight="1">
      <c r="A135" s="7" t="s">
        <v>126</v>
      </c>
      <c r="B135" s="274" t="s">
        <v>80</v>
      </c>
      <c r="C135" s="274"/>
      <c r="D135" s="59">
        <v>1</v>
      </c>
      <c r="E135" s="47">
        <v>30.09</v>
      </c>
      <c r="F135" s="23">
        <f t="shared" si="2"/>
        <v>0.84</v>
      </c>
      <c r="G135" s="8"/>
    </row>
    <row r="136" spans="1:7" ht="15.75" customHeight="1">
      <c r="A136" s="7" t="s">
        <v>127</v>
      </c>
      <c r="B136" s="274" t="s">
        <v>82</v>
      </c>
      <c r="C136" s="274"/>
      <c r="D136" s="59">
        <v>0</v>
      </c>
      <c r="E136" s="47">
        <v>0</v>
      </c>
      <c r="F136" s="23">
        <f t="shared" si="2"/>
        <v>0</v>
      </c>
      <c r="G136" s="8"/>
    </row>
    <row r="137" spans="1:7" ht="15.75" customHeight="1">
      <c r="A137" s="7" t="s">
        <v>128</v>
      </c>
      <c r="B137" s="274" t="s">
        <v>84</v>
      </c>
      <c r="C137" s="274"/>
      <c r="D137" s="59">
        <v>2</v>
      </c>
      <c r="E137" s="47">
        <v>73.31</v>
      </c>
      <c r="F137" s="23">
        <f t="shared" si="2"/>
        <v>4.07</v>
      </c>
      <c r="G137" s="8"/>
    </row>
    <row r="138" spans="1:7" ht="15.75" customHeight="1">
      <c r="A138" s="7" t="s">
        <v>129</v>
      </c>
      <c r="B138" s="274" t="s">
        <v>86</v>
      </c>
      <c r="C138" s="274"/>
      <c r="D138" s="59">
        <v>0</v>
      </c>
      <c r="E138" s="233">
        <v>0</v>
      </c>
      <c r="F138" s="23">
        <f t="shared" si="2"/>
        <v>0</v>
      </c>
      <c r="G138" s="8"/>
    </row>
    <row r="139" spans="1:7" ht="15.75" customHeight="1">
      <c r="A139" s="7" t="s">
        <v>130</v>
      </c>
      <c r="B139" s="274" t="s">
        <v>88</v>
      </c>
      <c r="C139" s="274"/>
      <c r="D139" s="59">
        <v>0</v>
      </c>
      <c r="E139" s="233">
        <v>59.04</v>
      </c>
      <c r="F139" s="23">
        <f t="shared" si="2"/>
        <v>0</v>
      </c>
      <c r="G139" s="8"/>
    </row>
    <row r="140" spans="1:7" ht="15.75" customHeight="1">
      <c r="A140" s="7" t="s">
        <v>131</v>
      </c>
      <c r="B140" s="274" t="s">
        <v>90</v>
      </c>
      <c r="C140" s="274"/>
      <c r="D140" s="59">
        <v>0</v>
      </c>
      <c r="E140" s="47">
        <v>4.04</v>
      </c>
      <c r="F140" s="23">
        <f t="shared" si="2"/>
        <v>0</v>
      </c>
      <c r="G140" s="8"/>
    </row>
    <row r="141" spans="1:7" ht="15.75" customHeight="1">
      <c r="A141" s="7" t="s">
        <v>132</v>
      </c>
      <c r="B141" s="274" t="s">
        <v>92</v>
      </c>
      <c r="C141" s="274"/>
      <c r="D141" s="59">
        <v>1</v>
      </c>
      <c r="E141" s="47">
        <v>14.64</v>
      </c>
      <c r="F141" s="23">
        <f t="shared" si="2"/>
        <v>0.41</v>
      </c>
      <c r="G141" s="8"/>
    </row>
    <row r="142" spans="1:7" ht="15.75" customHeight="1">
      <c r="A142" s="7" t="s">
        <v>133</v>
      </c>
      <c r="B142" s="274" t="s">
        <v>94</v>
      </c>
      <c r="C142" s="274"/>
      <c r="D142" s="59">
        <v>0</v>
      </c>
      <c r="E142" s="47">
        <v>12.7</v>
      </c>
      <c r="F142" s="23">
        <f t="shared" si="2"/>
        <v>0</v>
      </c>
      <c r="G142" s="8"/>
    </row>
    <row r="143" spans="1:7" ht="15.75" customHeight="1">
      <c r="A143" s="7" t="s">
        <v>134</v>
      </c>
      <c r="B143" s="274" t="s">
        <v>96</v>
      </c>
      <c r="C143" s="274"/>
      <c r="D143" s="59">
        <v>0</v>
      </c>
      <c r="E143" s="47">
        <v>7.36</v>
      </c>
      <c r="F143" s="23">
        <f t="shared" si="2"/>
        <v>0</v>
      </c>
      <c r="G143" s="8"/>
    </row>
    <row r="144" spans="1:7" ht="15.75" customHeight="1">
      <c r="A144" s="7" t="s">
        <v>135</v>
      </c>
      <c r="B144" s="274" t="s">
        <v>98</v>
      </c>
      <c r="C144" s="274"/>
      <c r="D144" s="59">
        <v>0</v>
      </c>
      <c r="E144" s="47">
        <v>16.329999999999998</v>
      </c>
      <c r="F144" s="23">
        <f t="shared" si="2"/>
        <v>0</v>
      </c>
      <c r="G144" s="8"/>
    </row>
    <row r="145" spans="1:7" s="236" customFormat="1" ht="15.75" customHeight="1">
      <c r="A145" s="7" t="s">
        <v>434</v>
      </c>
      <c r="B145" s="281" t="s">
        <v>99</v>
      </c>
      <c r="C145" s="281"/>
      <c r="D145" s="234">
        <v>0</v>
      </c>
      <c r="E145" s="233">
        <v>100</v>
      </c>
      <c r="F145" s="23">
        <f t="shared" si="2"/>
        <v>0</v>
      </c>
      <c r="G145" s="235"/>
    </row>
    <row r="146" spans="1:7" ht="15.75" customHeight="1">
      <c r="A146" s="7"/>
      <c r="B146" s="274" t="s">
        <v>100</v>
      </c>
      <c r="C146" s="274"/>
      <c r="D146" s="274"/>
      <c r="E146" s="274"/>
      <c r="F146" s="23">
        <f>SUM(F129:F145)</f>
        <v>18.21</v>
      </c>
      <c r="G146" s="8"/>
    </row>
    <row r="147" spans="1:7" ht="15.75" customHeight="1">
      <c r="A147" s="7"/>
      <c r="B147" s="278" t="s">
        <v>101</v>
      </c>
      <c r="C147" s="278"/>
      <c r="D147" s="60">
        <v>1</v>
      </c>
      <c r="E147" s="23">
        <f>(F146)</f>
        <v>18.21</v>
      </c>
      <c r="F147" s="23">
        <f>SUM(D147*E147)</f>
        <v>18.21</v>
      </c>
      <c r="G147" s="8"/>
    </row>
    <row r="148" spans="1:7" ht="15.75" customHeight="1">
      <c r="A148" s="7"/>
      <c r="B148" s="275" t="s">
        <v>28</v>
      </c>
      <c r="C148" s="275"/>
      <c r="D148" s="61"/>
      <c r="E148" s="19"/>
      <c r="F148" s="19"/>
      <c r="G148" s="62">
        <f>(F147)</f>
        <v>18.21</v>
      </c>
    </row>
    <row r="149" spans="1:7" ht="15.75" customHeight="1">
      <c r="A149" s="29"/>
      <c r="B149" s="63"/>
      <c r="C149" s="63"/>
      <c r="D149" s="61"/>
      <c r="E149" s="19"/>
      <c r="F149" s="19"/>
      <c r="G149" s="64"/>
    </row>
    <row r="150" spans="1:7" s="65" customFormat="1">
      <c r="A150" s="273" t="s">
        <v>441</v>
      </c>
      <c r="B150" s="273"/>
      <c r="C150" s="273"/>
      <c r="D150" s="273"/>
      <c r="E150" s="277"/>
      <c r="F150" s="277"/>
    </row>
    <row r="151" spans="1:7" s="65" customFormat="1" hidden="1">
      <c r="A151" s="44" t="s">
        <v>136</v>
      </c>
      <c r="B151" s="44" t="s">
        <v>7</v>
      </c>
      <c r="C151" s="44" t="s">
        <v>137</v>
      </c>
      <c r="D151" s="44" t="s">
        <v>9</v>
      </c>
      <c r="E151" s="44" t="s">
        <v>10</v>
      </c>
      <c r="F151" s="44" t="s">
        <v>67</v>
      </c>
    </row>
    <row r="152" spans="1:7" s="65" customFormat="1" ht="15" hidden="1" customHeight="1">
      <c r="A152" s="7" t="s">
        <v>138</v>
      </c>
      <c r="B152" s="24" t="s">
        <v>139</v>
      </c>
      <c r="C152" s="24" t="s">
        <v>140</v>
      </c>
      <c r="D152" s="47"/>
      <c r="E152" s="47"/>
      <c r="F152" s="47">
        <f>ROUND(D152*E152,2)/12/3</f>
        <v>0</v>
      </c>
    </row>
    <row r="153" spans="1:7" s="65" customFormat="1" ht="15" hidden="1" customHeight="1">
      <c r="A153" s="7" t="s">
        <v>141</v>
      </c>
      <c r="B153" s="24" t="s">
        <v>142</v>
      </c>
      <c r="C153" s="24" t="s">
        <v>140</v>
      </c>
      <c r="D153" s="47"/>
      <c r="E153" s="47"/>
      <c r="F153" s="47">
        <f>ROUND(D153*E153,2)/12/3</f>
        <v>0</v>
      </c>
    </row>
    <row r="154" spans="1:7" s="65" customFormat="1" ht="15.75" hidden="1" customHeight="1">
      <c r="A154" s="7" t="s">
        <v>141</v>
      </c>
      <c r="B154" s="24" t="s">
        <v>432</v>
      </c>
      <c r="C154" s="24" t="s">
        <v>140</v>
      </c>
      <c r="D154" s="47"/>
      <c r="E154" s="47"/>
      <c r="F154" s="47">
        <f>ROUND(D154*E154,2)/12/3</f>
        <v>0</v>
      </c>
      <c r="G154" s="62">
        <f>SUM(F152:F154)</f>
        <v>0</v>
      </c>
    </row>
    <row r="155" spans="1:7" ht="15.75" customHeight="1">
      <c r="A155" s="29"/>
      <c r="B155" s="63"/>
      <c r="C155" s="63"/>
      <c r="D155" s="61"/>
      <c r="E155" s="19"/>
      <c r="F155" s="19"/>
      <c r="G155" s="64"/>
    </row>
    <row r="156" spans="1:7" ht="15.75" customHeight="1">
      <c r="A156" s="66" t="s">
        <v>143</v>
      </c>
      <c r="B156" s="279" t="s">
        <v>144</v>
      </c>
      <c r="C156" s="279"/>
      <c r="D156" s="279"/>
      <c r="E156" s="279"/>
    </row>
    <row r="157" spans="1:7" ht="15.75" customHeight="1">
      <c r="A157" s="32" t="s">
        <v>145</v>
      </c>
      <c r="B157" s="280" t="s">
        <v>447</v>
      </c>
      <c r="C157" s="280"/>
      <c r="D157" s="280"/>
      <c r="E157" s="280"/>
      <c r="F157"/>
      <c r="G157" s="67"/>
    </row>
    <row r="158" spans="1:7" ht="15.75" customHeight="1">
      <c r="A158" s="32" t="s">
        <v>146</v>
      </c>
      <c r="B158" s="68" t="s">
        <v>147</v>
      </c>
      <c r="C158" s="69"/>
      <c r="D158" s="70"/>
      <c r="E158" s="71" t="s">
        <v>148</v>
      </c>
      <c r="F158" s="72">
        <f>(D159+D164+D165+D166+D167)/3</f>
        <v>1073.8499999999999</v>
      </c>
    </row>
    <row r="159" spans="1:7" ht="30">
      <c r="A159" s="32" t="s">
        <v>149</v>
      </c>
      <c r="B159" s="71" t="s">
        <v>150</v>
      </c>
      <c r="C159" s="69" t="s">
        <v>151</v>
      </c>
      <c r="D159" s="72">
        <f>D161/12</f>
        <v>1503.48</v>
      </c>
      <c r="E159" s="70"/>
      <c r="F159" s="70"/>
    </row>
    <row r="160" spans="1:7" ht="15.75" customHeight="1">
      <c r="A160" s="32" t="s">
        <v>152</v>
      </c>
      <c r="B160" s="71" t="s">
        <v>395</v>
      </c>
      <c r="C160" s="69" t="s">
        <v>153</v>
      </c>
      <c r="D160" s="70">
        <v>225521.51</v>
      </c>
      <c r="E160" s="70"/>
      <c r="F160" s="70"/>
    </row>
    <row r="161" spans="1:7" ht="45.2" customHeight="1">
      <c r="A161" s="32" t="s">
        <v>154</v>
      </c>
      <c r="B161" s="71" t="s">
        <v>155</v>
      </c>
      <c r="C161" s="69" t="s">
        <v>156</v>
      </c>
      <c r="D161" s="73">
        <f>(D160-D162)/D163</f>
        <v>18041.72</v>
      </c>
      <c r="E161" s="70"/>
      <c r="F161" s="70"/>
    </row>
    <row r="162" spans="1:7" ht="15.75" customHeight="1">
      <c r="A162" s="32" t="s">
        <v>157</v>
      </c>
      <c r="B162" s="71" t="s">
        <v>158</v>
      </c>
      <c r="C162" s="74">
        <v>0.2</v>
      </c>
      <c r="D162" s="72">
        <f>D160*C162</f>
        <v>45104.3</v>
      </c>
      <c r="E162" s="70"/>
      <c r="F162" s="70"/>
    </row>
    <row r="163" spans="1:7" ht="15.75" customHeight="1">
      <c r="A163" s="32" t="s">
        <v>159</v>
      </c>
      <c r="B163" s="71" t="s">
        <v>160</v>
      </c>
      <c r="C163" s="75" t="s">
        <v>161</v>
      </c>
      <c r="D163" s="76">
        <v>10</v>
      </c>
      <c r="E163" s="70"/>
      <c r="F163" s="70"/>
    </row>
    <row r="164" spans="1:7" ht="15.75" customHeight="1">
      <c r="A164" s="32" t="s">
        <v>162</v>
      </c>
      <c r="B164" s="71" t="s">
        <v>163</v>
      </c>
      <c r="C164" s="69" t="s">
        <v>164</v>
      </c>
      <c r="D164" s="72">
        <f>194.5/12</f>
        <v>16.21</v>
      </c>
      <c r="E164" s="70"/>
      <c r="F164" s="70"/>
    </row>
    <row r="165" spans="1:7" ht="15.75" customHeight="1">
      <c r="A165" s="32" t="s">
        <v>165</v>
      </c>
      <c r="B165" s="71" t="s">
        <v>166</v>
      </c>
      <c r="C165" s="69" t="s">
        <v>167</v>
      </c>
      <c r="D165" s="72">
        <f>125.23/12</f>
        <v>10.44</v>
      </c>
      <c r="E165" s="70"/>
      <c r="F165" s="70"/>
    </row>
    <row r="166" spans="1:7" ht="34.9" customHeight="1">
      <c r="A166" s="32" t="s">
        <v>168</v>
      </c>
      <c r="B166" s="71" t="s">
        <v>169</v>
      </c>
      <c r="C166" s="69" t="s">
        <v>170</v>
      </c>
      <c r="D166" s="72">
        <f>(D160*0.06)/12</f>
        <v>1127.6099999999999</v>
      </c>
      <c r="E166" s="70"/>
      <c r="F166" s="70"/>
    </row>
    <row r="167" spans="1:7" ht="34.9" customHeight="1">
      <c r="A167" s="32" t="s">
        <v>171</v>
      </c>
      <c r="B167" s="71" t="s">
        <v>172</v>
      </c>
      <c r="C167" s="69" t="s">
        <v>173</v>
      </c>
      <c r="D167" s="72">
        <f>(D160*0.03)/12</f>
        <v>563.79999999999995</v>
      </c>
      <c r="E167" s="70"/>
      <c r="F167" s="70"/>
    </row>
    <row r="168" spans="1:7" ht="45">
      <c r="A168" s="32" t="s">
        <v>174</v>
      </c>
      <c r="B168" s="68" t="s">
        <v>175</v>
      </c>
      <c r="C168" s="77" t="s">
        <v>176</v>
      </c>
      <c r="D168" s="78">
        <v>1200</v>
      </c>
      <c r="E168" s="70" t="s">
        <v>148</v>
      </c>
      <c r="F168" s="72">
        <f>SUM(D169:D173)/3</f>
        <v>843.25</v>
      </c>
    </row>
    <row r="169" spans="1:7" ht="34.9" customHeight="1">
      <c r="A169" s="32" t="s">
        <v>177</v>
      </c>
      <c r="B169" s="71" t="s">
        <v>178</v>
      </c>
      <c r="C169" s="69" t="s">
        <v>179</v>
      </c>
      <c r="D169" s="72">
        <f>(D160*0.05)/12</f>
        <v>939.67</v>
      </c>
      <c r="E169" s="70"/>
      <c r="F169" s="70"/>
    </row>
    <row r="170" spans="1:7" ht="56.1" customHeight="1">
      <c r="A170" s="32" t="s">
        <v>180</v>
      </c>
      <c r="B170" s="71" t="s">
        <v>181</v>
      </c>
      <c r="C170" s="69" t="s">
        <v>182</v>
      </c>
      <c r="D170" s="72">
        <f>(469*4)/12</f>
        <v>156.33000000000001</v>
      </c>
      <c r="E170" s="70"/>
      <c r="F170" s="70"/>
    </row>
    <row r="171" spans="1:7" ht="75">
      <c r="A171" s="32" t="s">
        <v>183</v>
      </c>
      <c r="B171" s="71" t="s">
        <v>184</v>
      </c>
      <c r="C171" s="69" t="s">
        <v>450</v>
      </c>
      <c r="D171" s="72">
        <f>1200/7*7.44</f>
        <v>1275.43</v>
      </c>
      <c r="E171" s="70"/>
      <c r="F171" s="70"/>
    </row>
    <row r="172" spans="1:7" ht="60">
      <c r="A172" s="32" t="s">
        <v>185</v>
      </c>
      <c r="B172" s="79" t="s">
        <v>186</v>
      </c>
      <c r="C172" s="80" t="s">
        <v>187</v>
      </c>
      <c r="D172" s="72">
        <f>350*2/12</f>
        <v>58.33</v>
      </c>
      <c r="E172" s="81"/>
      <c r="F172" s="81"/>
      <c r="G172" s="82"/>
    </row>
    <row r="173" spans="1:7" ht="45">
      <c r="A173" s="32" t="s">
        <v>188</v>
      </c>
      <c r="B173" s="79" t="s">
        <v>189</v>
      </c>
      <c r="C173" s="80" t="s">
        <v>420</v>
      </c>
      <c r="D173" s="72">
        <v>100</v>
      </c>
      <c r="E173" s="83"/>
      <c r="F173" s="84"/>
      <c r="G173" s="82"/>
    </row>
    <row r="174" spans="1:7" ht="15.75" customHeight="1">
      <c r="A174" s="32"/>
      <c r="B174" s="85" t="s">
        <v>190</v>
      </c>
      <c r="C174" s="86"/>
      <c r="D174" s="87"/>
      <c r="E174" s="87"/>
      <c r="F174" s="72">
        <f>F158+F168</f>
        <v>1917.1</v>
      </c>
    </row>
    <row r="175" spans="1:7" ht="15.75" customHeight="1">
      <c r="A175" s="43"/>
      <c r="B175" s="278" t="s">
        <v>191</v>
      </c>
      <c r="C175" s="278"/>
      <c r="D175" s="88">
        <v>1</v>
      </c>
      <c r="E175" s="89"/>
      <c r="F175" s="90">
        <f>F174*D175</f>
        <v>1917.1</v>
      </c>
    </row>
    <row r="176" spans="1:7" ht="15.75" customHeight="1">
      <c r="A176" s="5"/>
      <c r="B176" s="91"/>
      <c r="D176" s="92"/>
      <c r="E176" s="92"/>
      <c r="F176" s="92"/>
    </row>
    <row r="177" spans="1:7" ht="15.75" customHeight="1">
      <c r="A177" s="58" t="s">
        <v>192</v>
      </c>
      <c r="B177" s="273" t="s">
        <v>458</v>
      </c>
      <c r="C177" s="273"/>
      <c r="D177" s="273"/>
      <c r="E177" s="273"/>
      <c r="F177" s="6"/>
      <c r="G177" s="67"/>
    </row>
    <row r="178" spans="1:7" ht="15.75" hidden="1" customHeight="1">
      <c r="A178" s="32" t="s">
        <v>193</v>
      </c>
      <c r="B178" s="68" t="s">
        <v>147</v>
      </c>
      <c r="C178" s="69"/>
      <c r="D178" s="70"/>
      <c r="E178" s="71" t="s">
        <v>148</v>
      </c>
      <c r="F178" s="72">
        <f>(D179+D184+D185+D186+D187)/3</f>
        <v>0</v>
      </c>
    </row>
    <row r="179" spans="1:7" ht="30" hidden="1">
      <c r="A179" s="32" t="s">
        <v>194</v>
      </c>
      <c r="B179" s="71" t="s">
        <v>150</v>
      </c>
      <c r="C179" s="69" t="s">
        <v>151</v>
      </c>
      <c r="D179" s="72">
        <f>D181/12</f>
        <v>0</v>
      </c>
      <c r="E179" s="70"/>
      <c r="F179" s="70"/>
    </row>
    <row r="180" spans="1:7" ht="15.75" hidden="1" customHeight="1">
      <c r="A180" s="32" t="s">
        <v>195</v>
      </c>
      <c r="B180" s="71" t="s">
        <v>396</v>
      </c>
      <c r="C180" s="69" t="s">
        <v>153</v>
      </c>
      <c r="D180" s="70"/>
      <c r="E180" s="70"/>
      <c r="F180" s="70"/>
    </row>
    <row r="181" spans="1:7" ht="45.2" hidden="1" customHeight="1">
      <c r="A181" s="32" t="s">
        <v>196</v>
      </c>
      <c r="B181" s="71" t="s">
        <v>155</v>
      </c>
      <c r="C181" s="69" t="s">
        <v>156</v>
      </c>
      <c r="D181" s="73">
        <f>(D180-D182)/D183</f>
        <v>0</v>
      </c>
      <c r="E181" s="70"/>
      <c r="F181" s="70"/>
    </row>
    <row r="182" spans="1:7" ht="15.75" hidden="1" customHeight="1">
      <c r="A182" s="32" t="s">
        <v>197</v>
      </c>
      <c r="B182" s="71" t="s">
        <v>158</v>
      </c>
      <c r="C182" s="74">
        <v>0.25</v>
      </c>
      <c r="D182" s="72">
        <f>D180*C182</f>
        <v>0</v>
      </c>
      <c r="E182" s="70"/>
      <c r="F182" s="70"/>
    </row>
    <row r="183" spans="1:7" ht="15.75" hidden="1" customHeight="1">
      <c r="A183" s="32" t="s">
        <v>198</v>
      </c>
      <c r="B183" s="71" t="s">
        <v>160</v>
      </c>
      <c r="C183" s="75" t="s">
        <v>161</v>
      </c>
      <c r="D183" s="76">
        <v>10</v>
      </c>
      <c r="E183" s="70"/>
      <c r="F183" s="70"/>
    </row>
    <row r="184" spans="1:7" ht="15.75" hidden="1" customHeight="1">
      <c r="A184" s="32" t="s">
        <v>199</v>
      </c>
      <c r="B184" s="71" t="s">
        <v>163</v>
      </c>
      <c r="C184" s="69" t="s">
        <v>164</v>
      </c>
      <c r="D184" s="72">
        <v>0</v>
      </c>
      <c r="E184" s="70"/>
      <c r="F184" s="70"/>
    </row>
    <row r="185" spans="1:7" ht="15.75" hidden="1" customHeight="1">
      <c r="A185" s="32" t="s">
        <v>200</v>
      </c>
      <c r="B185" s="71" t="s">
        <v>166</v>
      </c>
      <c r="C185" s="69" t="s">
        <v>167</v>
      </c>
      <c r="D185" s="72">
        <v>0</v>
      </c>
      <c r="E185" s="70"/>
      <c r="F185" s="70"/>
    </row>
    <row r="186" spans="1:7" ht="34.9" hidden="1" customHeight="1">
      <c r="A186" s="32" t="s">
        <v>201</v>
      </c>
      <c r="B186" s="71" t="s">
        <v>169</v>
      </c>
      <c r="C186" s="69" t="s">
        <v>170</v>
      </c>
      <c r="D186" s="72">
        <f>(D180*0.06)/12</f>
        <v>0</v>
      </c>
      <c r="E186" s="70"/>
      <c r="F186" s="70"/>
    </row>
    <row r="187" spans="1:7" ht="34.9" hidden="1" customHeight="1">
      <c r="A187" s="32" t="s">
        <v>202</v>
      </c>
      <c r="B187" s="71" t="s">
        <v>172</v>
      </c>
      <c r="C187" s="69" t="s">
        <v>173</v>
      </c>
      <c r="D187" s="72">
        <f>(D180*0.03)/12</f>
        <v>0</v>
      </c>
      <c r="E187" s="70"/>
      <c r="F187" s="70"/>
    </row>
    <row r="188" spans="1:7" ht="45" hidden="1">
      <c r="A188" s="32" t="s">
        <v>203</v>
      </c>
      <c r="B188" s="68" t="s">
        <v>175</v>
      </c>
      <c r="C188" s="77" t="s">
        <v>204</v>
      </c>
      <c r="D188" s="78">
        <v>2000</v>
      </c>
      <c r="E188" s="70" t="s">
        <v>148</v>
      </c>
      <c r="F188" s="72">
        <f>SUM(D189:D193)/3</f>
        <v>0</v>
      </c>
    </row>
    <row r="189" spans="1:7" ht="30" hidden="1">
      <c r="A189" s="32" t="s">
        <v>205</v>
      </c>
      <c r="B189" s="71" t="s">
        <v>178</v>
      </c>
      <c r="C189" s="69" t="s">
        <v>179</v>
      </c>
      <c r="D189" s="72">
        <f>(D180*0.05)/12</f>
        <v>0</v>
      </c>
      <c r="E189" s="70"/>
      <c r="F189" s="70"/>
    </row>
    <row r="190" spans="1:7" ht="60" hidden="1">
      <c r="A190" s="32" t="s">
        <v>206</v>
      </c>
      <c r="B190" s="71" t="s">
        <v>181</v>
      </c>
      <c r="C190" s="69" t="s">
        <v>207</v>
      </c>
      <c r="D190" s="72">
        <v>0</v>
      </c>
      <c r="E190" s="70"/>
      <c r="F190" s="70"/>
    </row>
    <row r="191" spans="1:7" ht="75" hidden="1">
      <c r="A191" s="32" t="s">
        <v>208</v>
      </c>
      <c r="B191" s="71" t="s">
        <v>184</v>
      </c>
      <c r="C191" s="69" t="s">
        <v>209</v>
      </c>
      <c r="D191" s="72">
        <v>0</v>
      </c>
      <c r="E191" s="70"/>
      <c r="F191" s="70"/>
    </row>
    <row r="192" spans="1:7" ht="60" hidden="1">
      <c r="A192" s="32" t="s">
        <v>210</v>
      </c>
      <c r="B192" s="79" t="s">
        <v>186</v>
      </c>
      <c r="C192" s="80" t="s">
        <v>211</v>
      </c>
      <c r="D192" s="72">
        <v>0</v>
      </c>
      <c r="E192" s="81"/>
      <c r="F192" s="81"/>
      <c r="G192" s="82"/>
    </row>
    <row r="193" spans="1:7" ht="45" hidden="1">
      <c r="A193" s="32" t="s">
        <v>212</v>
      </c>
      <c r="B193" s="79" t="s">
        <v>189</v>
      </c>
      <c r="C193" s="80" t="s">
        <v>421</v>
      </c>
      <c r="D193" s="72">
        <v>0</v>
      </c>
      <c r="E193" s="83"/>
      <c r="F193" s="81"/>
      <c r="G193" s="82"/>
    </row>
    <row r="194" spans="1:7" ht="15.75" hidden="1" customHeight="1">
      <c r="A194" s="32"/>
      <c r="B194" s="85" t="s">
        <v>190</v>
      </c>
      <c r="C194" s="86"/>
      <c r="D194" s="87"/>
      <c r="E194" s="87"/>
      <c r="F194" s="93">
        <f>F178+F188</f>
        <v>0</v>
      </c>
    </row>
    <row r="195" spans="1:7" ht="15.75" hidden="1" customHeight="1">
      <c r="A195" s="43"/>
      <c r="B195" s="278" t="s">
        <v>191</v>
      </c>
      <c r="C195" s="278"/>
      <c r="D195" s="88">
        <v>1</v>
      </c>
      <c r="E195" s="89"/>
      <c r="F195" s="90">
        <f>F194*D195</f>
        <v>0</v>
      </c>
    </row>
    <row r="196" spans="1:7">
      <c r="A196" s="5"/>
      <c r="B196" s="91"/>
      <c r="D196" s="92"/>
      <c r="E196" s="92"/>
      <c r="F196" s="92"/>
    </row>
    <row r="197" spans="1:7" ht="15.75" customHeight="1">
      <c r="A197" s="58" t="s">
        <v>213</v>
      </c>
      <c r="B197" s="272" t="s">
        <v>214</v>
      </c>
      <c r="C197" s="272"/>
      <c r="D197" s="272"/>
      <c r="E197" s="272"/>
      <c r="F197" s="6"/>
      <c r="G197" s="67"/>
    </row>
    <row r="198" spans="1:7" ht="15.75" customHeight="1">
      <c r="A198" s="32" t="s">
        <v>213</v>
      </c>
      <c r="B198" s="273" t="s">
        <v>455</v>
      </c>
      <c r="C198" s="273"/>
      <c r="D198" s="273"/>
      <c r="E198" s="273"/>
      <c r="F198" s="6"/>
      <c r="G198" s="67"/>
    </row>
    <row r="199" spans="1:7" ht="15.75" customHeight="1">
      <c r="A199" s="32" t="s">
        <v>215</v>
      </c>
      <c r="B199" s="94" t="s">
        <v>147</v>
      </c>
      <c r="C199" s="69"/>
      <c r="D199" s="70"/>
      <c r="E199" s="95" t="s">
        <v>148</v>
      </c>
      <c r="F199" s="72">
        <f>D200/3</f>
        <v>5.44</v>
      </c>
    </row>
    <row r="200" spans="1:7" ht="30">
      <c r="A200" s="5" t="s">
        <v>216</v>
      </c>
      <c r="B200" s="71" t="s">
        <v>150</v>
      </c>
      <c r="C200" s="69" t="s">
        <v>151</v>
      </c>
      <c r="D200" s="72">
        <f>D202/12</f>
        <v>16.329999999999998</v>
      </c>
      <c r="E200" s="70"/>
      <c r="F200" s="96"/>
    </row>
    <row r="201" spans="1:7" s="236" customFormat="1" ht="30">
      <c r="A201" s="237" t="s">
        <v>217</v>
      </c>
      <c r="B201" s="239" t="s">
        <v>459</v>
      </c>
      <c r="C201" s="240" t="s">
        <v>153</v>
      </c>
      <c r="D201" s="241">
        <v>1088.45</v>
      </c>
      <c r="E201" s="241"/>
      <c r="F201" s="241"/>
      <c r="G201" s="242"/>
    </row>
    <row r="202" spans="1:7" ht="45.2" customHeight="1">
      <c r="A202" s="5" t="s">
        <v>218</v>
      </c>
      <c r="B202" s="71" t="s">
        <v>155</v>
      </c>
      <c r="C202" s="69" t="s">
        <v>156</v>
      </c>
      <c r="D202" s="73">
        <f>(D201-D203)/D204</f>
        <v>195.92</v>
      </c>
      <c r="E202" s="70"/>
      <c r="F202" s="70"/>
      <c r="G202" s="92"/>
    </row>
    <row r="203" spans="1:7" ht="15.75" customHeight="1">
      <c r="A203" s="32" t="s">
        <v>219</v>
      </c>
      <c r="B203" s="71" t="s">
        <v>158</v>
      </c>
      <c r="C203" s="74">
        <v>0.1</v>
      </c>
      <c r="D203" s="72">
        <f>D201*C203</f>
        <v>108.85</v>
      </c>
      <c r="E203" s="70"/>
      <c r="F203" s="70"/>
    </row>
    <row r="204" spans="1:7" ht="15.75" customHeight="1">
      <c r="A204" s="5" t="s">
        <v>220</v>
      </c>
      <c r="B204" s="71" t="s">
        <v>160</v>
      </c>
      <c r="C204" s="75" t="s">
        <v>221</v>
      </c>
      <c r="D204" s="76">
        <v>5</v>
      </c>
      <c r="E204" s="70"/>
      <c r="F204" s="70"/>
    </row>
    <row r="205" spans="1:7" ht="45">
      <c r="A205" s="32" t="s">
        <v>222</v>
      </c>
      <c r="B205" s="94" t="s">
        <v>175</v>
      </c>
      <c r="C205" s="97" t="s">
        <v>223</v>
      </c>
      <c r="D205" s="78">
        <f>200*2</f>
        <v>400</v>
      </c>
      <c r="E205" s="70" t="s">
        <v>148</v>
      </c>
      <c r="F205" s="72">
        <f>SUM(D206:D209)/3</f>
        <v>469.29</v>
      </c>
    </row>
    <row r="206" spans="1:7" ht="34.9" customHeight="1">
      <c r="A206" s="5" t="s">
        <v>224</v>
      </c>
      <c r="B206" s="71" t="s">
        <v>178</v>
      </c>
      <c r="C206" s="69" t="s">
        <v>179</v>
      </c>
      <c r="D206" s="72">
        <f>(D201*0.05)/12</f>
        <v>4.54</v>
      </c>
      <c r="E206" s="70"/>
      <c r="F206" s="70"/>
    </row>
    <row r="207" spans="1:7" ht="60">
      <c r="A207" s="32" t="s">
        <v>225</v>
      </c>
      <c r="B207" s="71" t="s">
        <v>184</v>
      </c>
      <c r="C207" s="69" t="s">
        <v>460</v>
      </c>
      <c r="D207" s="72">
        <f>200/1*6.78</f>
        <v>1356</v>
      </c>
      <c r="E207" s="70"/>
      <c r="F207" s="70"/>
    </row>
    <row r="208" spans="1:7" ht="45.2" customHeight="1">
      <c r="A208" s="5" t="s">
        <v>226</v>
      </c>
      <c r="B208" s="79" t="s">
        <v>186</v>
      </c>
      <c r="C208" s="80" t="s">
        <v>227</v>
      </c>
      <c r="D208" s="72">
        <f>200*0.74*1/12</f>
        <v>12.33</v>
      </c>
      <c r="E208" s="81"/>
      <c r="F208" s="81"/>
      <c r="G208" s="82"/>
    </row>
    <row r="209" spans="1:7" ht="30">
      <c r="A209" s="32" t="s">
        <v>228</v>
      </c>
      <c r="B209" s="79" t="s">
        <v>229</v>
      </c>
      <c r="C209" s="80" t="s">
        <v>422</v>
      </c>
      <c r="D209" s="72">
        <v>35</v>
      </c>
      <c r="E209" s="83"/>
      <c r="F209" s="81"/>
      <c r="G209" s="82"/>
    </row>
    <row r="210" spans="1:7" ht="15.75" customHeight="1">
      <c r="A210" s="32"/>
      <c r="B210" s="85" t="s">
        <v>190</v>
      </c>
      <c r="C210" s="86"/>
      <c r="D210" s="92"/>
      <c r="E210" s="87"/>
      <c r="F210" s="93">
        <f>F199+F205</f>
        <v>474.73</v>
      </c>
    </row>
    <row r="211" spans="1:7" ht="15.75" customHeight="1">
      <c r="A211" s="43"/>
      <c r="B211" s="278" t="s">
        <v>191</v>
      </c>
      <c r="C211" s="278"/>
      <c r="D211" s="72">
        <v>1</v>
      </c>
      <c r="E211" s="89"/>
      <c r="F211" s="90">
        <f>F210*D211</f>
        <v>474.73</v>
      </c>
    </row>
    <row r="212" spans="1:7" ht="14.65" customHeight="1"/>
    <row r="213" spans="1:7" ht="15.75" customHeight="1">
      <c r="A213" s="58" t="s">
        <v>230</v>
      </c>
      <c r="B213" s="273" t="s">
        <v>448</v>
      </c>
      <c r="C213" s="273"/>
      <c r="D213" s="273"/>
      <c r="E213" s="273"/>
      <c r="F213" s="6"/>
      <c r="G213"/>
    </row>
    <row r="214" spans="1:7">
      <c r="A214" s="32" t="s">
        <v>231</v>
      </c>
      <c r="B214" s="94" t="s">
        <v>147</v>
      </c>
      <c r="C214" s="69"/>
      <c r="D214" s="70"/>
      <c r="E214" s="71" t="s">
        <v>148</v>
      </c>
      <c r="F214" s="72">
        <f>D215/3</f>
        <v>8.7100000000000009</v>
      </c>
      <c r="G214"/>
    </row>
    <row r="215" spans="1:7" ht="30">
      <c r="A215" s="32" t="s">
        <v>232</v>
      </c>
      <c r="B215" s="71" t="s">
        <v>150</v>
      </c>
      <c r="C215" s="69" t="s">
        <v>151</v>
      </c>
      <c r="D215" s="72">
        <f>D217/12</f>
        <v>26.13</v>
      </c>
      <c r="E215" s="70"/>
      <c r="F215" s="70"/>
      <c r="G215"/>
    </row>
    <row r="216" spans="1:7" ht="15.75" customHeight="1">
      <c r="A216" s="32" t="s">
        <v>233</v>
      </c>
      <c r="B216" s="71" t="s">
        <v>449</v>
      </c>
      <c r="C216" s="69" t="s">
        <v>153</v>
      </c>
      <c r="D216" s="241">
        <v>3484.56</v>
      </c>
      <c r="E216" s="70"/>
      <c r="F216" s="70"/>
      <c r="G216"/>
    </row>
    <row r="217" spans="1:7" ht="44.65" customHeight="1">
      <c r="A217" s="32" t="s">
        <v>234</v>
      </c>
      <c r="B217" s="71" t="s">
        <v>155</v>
      </c>
      <c r="C217" s="69" t="s">
        <v>156</v>
      </c>
      <c r="D217" s="73">
        <f>(D216-D218)/D219</f>
        <v>313.61</v>
      </c>
      <c r="E217" s="70"/>
      <c r="F217" s="70"/>
      <c r="G217"/>
    </row>
    <row r="218" spans="1:7" ht="15.75" customHeight="1">
      <c r="A218" s="32" t="s">
        <v>235</v>
      </c>
      <c r="B218" s="71" t="s">
        <v>158</v>
      </c>
      <c r="C218" s="74">
        <v>0.1</v>
      </c>
      <c r="D218" s="72">
        <f>D216*C218</f>
        <v>348.46</v>
      </c>
      <c r="E218" s="70"/>
      <c r="F218" s="70"/>
      <c r="G218"/>
    </row>
    <row r="219" spans="1:7" ht="15.75" customHeight="1">
      <c r="A219" s="32" t="s">
        <v>236</v>
      </c>
      <c r="B219" s="71" t="s">
        <v>160</v>
      </c>
      <c r="C219" s="75" t="s">
        <v>161</v>
      </c>
      <c r="D219" s="76">
        <v>10</v>
      </c>
      <c r="E219" s="70"/>
      <c r="F219" s="70"/>
      <c r="G219"/>
    </row>
    <row r="220" spans="1:7" ht="45">
      <c r="A220" s="32" t="s">
        <v>237</v>
      </c>
      <c r="B220" s="94" t="s">
        <v>175</v>
      </c>
      <c r="C220" s="97" t="s">
        <v>238</v>
      </c>
      <c r="D220" s="78">
        <v>200</v>
      </c>
      <c r="E220" s="70" t="s">
        <v>148</v>
      </c>
      <c r="F220" s="72">
        <f>SUM(D221:D224)/3</f>
        <v>195.38</v>
      </c>
      <c r="G220"/>
    </row>
    <row r="221" spans="1:7" ht="34.9" customHeight="1">
      <c r="A221" s="32" t="s">
        <v>239</v>
      </c>
      <c r="B221" s="71" t="s">
        <v>178</v>
      </c>
      <c r="C221" s="69" t="s">
        <v>179</v>
      </c>
      <c r="D221" s="72">
        <f>(D216*0.05)/12</f>
        <v>14.52</v>
      </c>
      <c r="E221" s="70"/>
      <c r="F221" s="70"/>
      <c r="G221"/>
    </row>
    <row r="222" spans="1:7" ht="60">
      <c r="A222" s="32" t="s">
        <v>240</v>
      </c>
      <c r="B222" s="71" t="s">
        <v>184</v>
      </c>
      <c r="C222" s="69" t="s">
        <v>452</v>
      </c>
      <c r="D222" s="72">
        <f>200/2.8*6.78</f>
        <v>484.29</v>
      </c>
      <c r="E222" s="70"/>
      <c r="F222" s="70"/>
    </row>
    <row r="223" spans="1:7" ht="45.2" customHeight="1">
      <c r="A223" s="32" t="s">
        <v>241</v>
      </c>
      <c r="B223" s="79" t="s">
        <v>186</v>
      </c>
      <c r="C223" s="80" t="s">
        <v>227</v>
      </c>
      <c r="D223" s="72">
        <f>200*0.74*1/12</f>
        <v>12.33</v>
      </c>
      <c r="E223" s="81"/>
      <c r="F223" s="81"/>
      <c r="G223" s="82"/>
    </row>
    <row r="224" spans="1:7" ht="30">
      <c r="A224" s="32" t="s">
        <v>242</v>
      </c>
      <c r="B224" s="79" t="s">
        <v>189</v>
      </c>
      <c r="C224" s="80" t="s">
        <v>423</v>
      </c>
      <c r="D224" s="72">
        <v>75</v>
      </c>
      <c r="E224" s="83"/>
      <c r="F224" s="84"/>
      <c r="G224"/>
    </row>
    <row r="225" spans="1:7" ht="15.75" customHeight="1">
      <c r="A225" s="32"/>
      <c r="B225" s="85" t="s">
        <v>190</v>
      </c>
      <c r="C225" s="86"/>
      <c r="D225" s="87"/>
      <c r="E225" s="87"/>
      <c r="F225" s="72">
        <f>F214+F220</f>
        <v>204.09</v>
      </c>
      <c r="G225"/>
    </row>
    <row r="226" spans="1:7" ht="15.75" customHeight="1">
      <c r="A226" s="43"/>
      <c r="B226" s="278" t="s">
        <v>191</v>
      </c>
      <c r="C226" s="278"/>
      <c r="D226" s="88">
        <v>2</v>
      </c>
      <c r="E226" s="89"/>
      <c r="F226" s="90">
        <f>F225*D226</f>
        <v>408.18</v>
      </c>
    </row>
    <row r="227" spans="1:7" ht="14.65" customHeight="1"/>
    <row r="228" spans="1:7" ht="15.75" customHeight="1">
      <c r="A228" s="58" t="s">
        <v>243</v>
      </c>
      <c r="B228" s="273" t="s">
        <v>453</v>
      </c>
      <c r="C228" s="273"/>
      <c r="D228" s="273"/>
      <c r="E228" s="273"/>
      <c r="F228" s="6"/>
      <c r="G228"/>
    </row>
    <row r="229" spans="1:7">
      <c r="A229" s="32" t="s">
        <v>244</v>
      </c>
      <c r="B229" s="94" t="s">
        <v>147</v>
      </c>
      <c r="C229" s="69"/>
      <c r="D229" s="70"/>
      <c r="E229" s="71" t="s">
        <v>148</v>
      </c>
      <c r="F229" s="72">
        <f>D230/3</f>
        <v>14.14</v>
      </c>
      <c r="G229"/>
    </row>
    <row r="230" spans="1:7" ht="30">
      <c r="A230" s="32" t="s">
        <v>245</v>
      </c>
      <c r="B230" s="71" t="s">
        <v>150</v>
      </c>
      <c r="C230" s="69" t="s">
        <v>151</v>
      </c>
      <c r="D230" s="72">
        <f>D232/12</f>
        <v>42.41</v>
      </c>
      <c r="E230" s="70"/>
      <c r="F230" s="70"/>
      <c r="G230"/>
    </row>
    <row r="231" spans="1:7" s="236" customFormat="1" ht="33" customHeight="1">
      <c r="A231" s="237" t="s">
        <v>246</v>
      </c>
      <c r="B231" s="239" t="s">
        <v>454</v>
      </c>
      <c r="C231" s="240" t="s">
        <v>153</v>
      </c>
      <c r="D231" s="241">
        <v>2827.58</v>
      </c>
      <c r="E231" s="241"/>
      <c r="F231" s="241"/>
    </row>
    <row r="232" spans="1:7" ht="44.65" customHeight="1">
      <c r="A232" s="32" t="s">
        <v>247</v>
      </c>
      <c r="B232" s="71" t="s">
        <v>155</v>
      </c>
      <c r="C232" s="69" t="s">
        <v>156</v>
      </c>
      <c r="D232" s="73">
        <f>(D231-D233)/D234</f>
        <v>508.96</v>
      </c>
      <c r="E232" s="70"/>
      <c r="F232" s="70"/>
      <c r="G232"/>
    </row>
    <row r="233" spans="1:7" ht="15.75" customHeight="1">
      <c r="A233" s="32" t="s">
        <v>248</v>
      </c>
      <c r="B233" s="71" t="s">
        <v>158</v>
      </c>
      <c r="C233" s="74">
        <v>0.1</v>
      </c>
      <c r="D233" s="72">
        <f>D231*C233</f>
        <v>282.76</v>
      </c>
      <c r="E233" s="70"/>
      <c r="F233" s="70"/>
      <c r="G233"/>
    </row>
    <row r="234" spans="1:7" ht="15.75" customHeight="1">
      <c r="A234" s="32" t="s">
        <v>249</v>
      </c>
      <c r="B234" s="71" t="s">
        <v>160</v>
      </c>
      <c r="C234" s="75" t="s">
        <v>221</v>
      </c>
      <c r="D234" s="76">
        <v>5</v>
      </c>
      <c r="E234" s="70"/>
      <c r="F234" s="70"/>
      <c r="G234"/>
    </row>
    <row r="235" spans="1:7" ht="45">
      <c r="A235" s="32" t="s">
        <v>250</v>
      </c>
      <c r="B235" s="94" t="s">
        <v>175</v>
      </c>
      <c r="C235" s="97" t="s">
        <v>223</v>
      </c>
      <c r="D235" s="78">
        <f>200*3</f>
        <v>600</v>
      </c>
      <c r="E235" s="70" t="s">
        <v>148</v>
      </c>
      <c r="F235" s="72">
        <f>SUM(D236:D238)/3</f>
        <v>467.59</v>
      </c>
      <c r="G235"/>
    </row>
    <row r="236" spans="1:7" ht="60">
      <c r="A236" s="32" t="s">
        <v>225</v>
      </c>
      <c r="B236" s="71" t="s">
        <v>184</v>
      </c>
      <c r="C236" s="69" t="s">
        <v>451</v>
      </c>
      <c r="D236" s="72">
        <f>200/1*6.78</f>
        <v>1356</v>
      </c>
      <c r="E236" s="70"/>
      <c r="F236" s="70"/>
    </row>
    <row r="237" spans="1:7" ht="34.9" customHeight="1">
      <c r="A237" s="32" t="s">
        <v>251</v>
      </c>
      <c r="B237" s="71" t="s">
        <v>178</v>
      </c>
      <c r="C237" s="69" t="s">
        <v>179</v>
      </c>
      <c r="D237" s="72">
        <f>(D231*0.05)/12</f>
        <v>11.78</v>
      </c>
      <c r="E237" s="70"/>
      <c r="F237" s="70"/>
      <c r="G237"/>
    </row>
    <row r="238" spans="1:7" ht="30">
      <c r="A238" s="32" t="s">
        <v>252</v>
      </c>
      <c r="B238" s="79" t="s">
        <v>229</v>
      </c>
      <c r="C238" s="80" t="s">
        <v>422</v>
      </c>
      <c r="D238" s="72">
        <v>35</v>
      </c>
      <c r="E238" s="83"/>
      <c r="F238" s="84"/>
      <c r="G238"/>
    </row>
    <row r="239" spans="1:7" ht="15.75" customHeight="1">
      <c r="A239" s="32"/>
      <c r="B239" s="85" t="s">
        <v>190</v>
      </c>
      <c r="C239" s="86"/>
      <c r="D239" s="92"/>
      <c r="E239" s="87"/>
      <c r="F239" s="72">
        <f>F229+F235</f>
        <v>481.73</v>
      </c>
      <c r="G239"/>
    </row>
    <row r="240" spans="1:7" ht="15.75" customHeight="1">
      <c r="A240" s="43"/>
      <c r="B240" s="278" t="s">
        <v>191</v>
      </c>
      <c r="C240" s="278"/>
      <c r="D240" s="72">
        <v>2</v>
      </c>
      <c r="E240" s="89"/>
      <c r="F240" s="90">
        <f>F239*D240</f>
        <v>963.46</v>
      </c>
    </row>
    <row r="241" spans="1:7" ht="15.75" customHeight="1">
      <c r="A241" s="5"/>
      <c r="B241" s="91"/>
      <c r="D241" s="92"/>
      <c r="E241" s="92"/>
      <c r="F241"/>
      <c r="G241"/>
    </row>
    <row r="242" spans="1:7" ht="13.15" customHeight="1" thickBot="1">
      <c r="A242" s="43" t="s">
        <v>253</v>
      </c>
      <c r="B242" s="98" t="s">
        <v>461</v>
      </c>
      <c r="C242" s="27"/>
      <c r="D242" s="27"/>
      <c r="E242" s="27"/>
      <c r="F242" s="27"/>
    </row>
    <row r="243" spans="1:7" ht="15.75" customHeight="1" thickTop="1">
      <c r="A243" s="43" t="s">
        <v>254</v>
      </c>
      <c r="B243" s="99" t="s">
        <v>255</v>
      </c>
      <c r="C243" s="27"/>
      <c r="D243" s="27"/>
      <c r="E243" s="27"/>
      <c r="F243" s="27"/>
    </row>
    <row r="244" spans="1:7" ht="15.75" customHeight="1">
      <c r="A244" s="43"/>
      <c r="B244" s="100" t="s">
        <v>256</v>
      </c>
      <c r="C244" s="100" t="s">
        <v>257</v>
      </c>
      <c r="D244" s="100" t="s">
        <v>258</v>
      </c>
      <c r="E244" s="101" t="s">
        <v>259</v>
      </c>
      <c r="F244" s="101" t="s">
        <v>260</v>
      </c>
      <c r="G244" s="101" t="s">
        <v>261</v>
      </c>
    </row>
    <row r="245" spans="1:7" ht="15.75" customHeight="1">
      <c r="A245" s="43" t="s">
        <v>262</v>
      </c>
      <c r="B245" s="102" t="s">
        <v>144</v>
      </c>
      <c r="C245" s="103" t="s">
        <v>140</v>
      </c>
      <c r="D245" s="104">
        <v>1</v>
      </c>
      <c r="E245" s="105">
        <f>(D160+D180)/3</f>
        <v>75173.84</v>
      </c>
      <c r="F245" s="105">
        <f>D245*E245</f>
        <v>75173.84</v>
      </c>
      <c r="G245" s="106"/>
    </row>
    <row r="246" spans="1:7" ht="15.75" customHeight="1">
      <c r="A246" s="43" t="s">
        <v>263</v>
      </c>
      <c r="B246" s="102" t="s">
        <v>264</v>
      </c>
      <c r="C246" s="103" t="s">
        <v>22</v>
      </c>
      <c r="D246" s="103">
        <v>12</v>
      </c>
      <c r="E246" s="105"/>
      <c r="F246" s="105"/>
      <c r="G246" s="106"/>
    </row>
    <row r="247" spans="1:7" ht="15.75" customHeight="1">
      <c r="A247" s="43" t="s">
        <v>265</v>
      </c>
      <c r="B247" s="102" t="s">
        <v>266</v>
      </c>
      <c r="C247" s="103" t="s">
        <v>267</v>
      </c>
      <c r="D247" s="107">
        <f>E245</f>
        <v>75173.84</v>
      </c>
      <c r="E247" s="105"/>
      <c r="F247" s="105"/>
      <c r="G247" s="106"/>
    </row>
    <row r="248" spans="1:7" ht="15.75" customHeight="1" thickBot="1">
      <c r="A248" s="43"/>
      <c r="B248" s="98" t="s">
        <v>268</v>
      </c>
      <c r="C248" s="108" t="s">
        <v>267</v>
      </c>
      <c r="D248" s="108"/>
      <c r="E248" s="109">
        <f>D246*D247/12/100</f>
        <v>751.74</v>
      </c>
      <c r="F248" s="109">
        <f>E248</f>
        <v>751.74</v>
      </c>
      <c r="G248" s="106"/>
    </row>
    <row r="249" spans="1:7" ht="15.75" customHeight="1" thickTop="1">
      <c r="A249" s="43"/>
      <c r="B249" s="110" t="s">
        <v>269</v>
      </c>
      <c r="C249" s="111"/>
      <c r="D249" s="111"/>
      <c r="E249" s="112"/>
      <c r="F249" s="113">
        <f>F248</f>
        <v>751.74</v>
      </c>
      <c r="G249" s="106"/>
    </row>
    <row r="250" spans="1:7" ht="15.75" customHeight="1">
      <c r="A250" s="43"/>
      <c r="B250" s="114" t="s">
        <v>270</v>
      </c>
      <c r="C250" s="115" t="s">
        <v>140</v>
      </c>
      <c r="D250" s="115">
        <v>1</v>
      </c>
      <c r="E250" s="116">
        <f>F249</f>
        <v>751.74</v>
      </c>
      <c r="F250" s="113">
        <f>D250*E250</f>
        <v>751.74</v>
      </c>
      <c r="G250" s="106"/>
    </row>
    <row r="251" spans="1:7" ht="15.75" customHeight="1">
      <c r="A251" s="43"/>
      <c r="B251" s="27"/>
      <c r="C251" s="117"/>
      <c r="D251" s="118"/>
      <c r="E251" s="119" t="s">
        <v>271</v>
      </c>
      <c r="F251" s="120">
        <v>1</v>
      </c>
      <c r="G251" s="121">
        <f>F250*F251</f>
        <v>751.74</v>
      </c>
    </row>
    <row r="252" spans="1:7" ht="13.15" customHeight="1" thickBot="1">
      <c r="A252" s="43" t="s">
        <v>253</v>
      </c>
      <c r="B252" s="98" t="s">
        <v>442</v>
      </c>
      <c r="C252" s="27"/>
      <c r="D252" s="27"/>
      <c r="E252" s="27"/>
      <c r="F252" s="27"/>
    </row>
    <row r="253" spans="1:7" ht="15.75" customHeight="1" thickTop="1">
      <c r="A253" s="43" t="s">
        <v>272</v>
      </c>
      <c r="B253" s="99" t="s">
        <v>255</v>
      </c>
      <c r="C253" s="27"/>
      <c r="D253" s="27"/>
      <c r="E253" s="27"/>
      <c r="F253" s="27"/>
    </row>
    <row r="254" spans="1:7" ht="15.75" customHeight="1">
      <c r="A254" s="43"/>
      <c r="B254" s="100" t="s">
        <v>256</v>
      </c>
      <c r="C254" s="100" t="s">
        <v>257</v>
      </c>
      <c r="D254" s="100" t="s">
        <v>258</v>
      </c>
      <c r="E254" s="101" t="s">
        <v>259</v>
      </c>
      <c r="F254" s="101" t="s">
        <v>260</v>
      </c>
      <c r="G254" s="101" t="s">
        <v>261</v>
      </c>
    </row>
    <row r="255" spans="1:7" ht="15.75" customHeight="1">
      <c r="A255" s="43" t="s">
        <v>273</v>
      </c>
      <c r="B255" s="102" t="s">
        <v>214</v>
      </c>
      <c r="C255" s="103" t="s">
        <v>140</v>
      </c>
      <c r="D255" s="104">
        <v>1</v>
      </c>
      <c r="E255" s="105">
        <f>(D201+D216+D231)/3</f>
        <v>2466.86</v>
      </c>
      <c r="F255" s="105">
        <f>D255*E255</f>
        <v>2466.86</v>
      </c>
      <c r="G255" s="106"/>
    </row>
    <row r="256" spans="1:7" ht="15.75" customHeight="1">
      <c r="A256" s="43" t="s">
        <v>274</v>
      </c>
      <c r="B256" s="102" t="s">
        <v>264</v>
      </c>
      <c r="C256" s="103" t="s">
        <v>22</v>
      </c>
      <c r="D256" s="103">
        <v>12</v>
      </c>
      <c r="E256" s="105"/>
      <c r="F256" s="105"/>
      <c r="G256" s="106"/>
    </row>
    <row r="257" spans="1:8" ht="15.75" customHeight="1">
      <c r="A257" s="43" t="s">
        <v>275</v>
      </c>
      <c r="B257" s="102" t="s">
        <v>266</v>
      </c>
      <c r="C257" s="103" t="s">
        <v>267</v>
      </c>
      <c r="D257" s="107">
        <f>E255</f>
        <v>2466.86</v>
      </c>
      <c r="E257" s="105"/>
      <c r="F257" s="105"/>
      <c r="G257" s="106"/>
    </row>
    <row r="258" spans="1:8" ht="15.75" customHeight="1" thickBot="1">
      <c r="A258" s="43"/>
      <c r="B258" s="98" t="s">
        <v>268</v>
      </c>
      <c r="C258" s="108" t="s">
        <v>267</v>
      </c>
      <c r="D258" s="108"/>
      <c r="E258" s="109">
        <f>D256*D257/12/100</f>
        <v>24.67</v>
      </c>
      <c r="F258" s="109">
        <f>E258</f>
        <v>24.67</v>
      </c>
      <c r="G258" s="106"/>
    </row>
    <row r="259" spans="1:8" ht="15.75" customHeight="1" thickTop="1">
      <c r="A259" s="43"/>
      <c r="B259" s="110" t="s">
        <v>276</v>
      </c>
      <c r="C259" s="111"/>
      <c r="D259" s="111"/>
      <c r="E259" s="112"/>
      <c r="F259" s="113">
        <f>F258</f>
        <v>24.67</v>
      </c>
      <c r="G259" s="106"/>
    </row>
    <row r="260" spans="1:8" ht="15.75" customHeight="1">
      <c r="A260" s="43"/>
      <c r="B260" s="114" t="s">
        <v>277</v>
      </c>
      <c r="C260" s="115" t="s">
        <v>140</v>
      </c>
      <c r="D260" s="115">
        <v>5</v>
      </c>
      <c r="E260" s="116">
        <f>F259</f>
        <v>24.67</v>
      </c>
      <c r="F260" s="113">
        <f>D260*E260</f>
        <v>123.35</v>
      </c>
      <c r="G260" s="106"/>
    </row>
    <row r="261" spans="1:8" ht="15.75" customHeight="1">
      <c r="A261" s="43"/>
      <c r="B261" s="27"/>
      <c r="C261" s="117"/>
      <c r="D261" s="118"/>
      <c r="E261" s="119" t="s">
        <v>271</v>
      </c>
      <c r="F261" s="120">
        <v>1</v>
      </c>
      <c r="G261" s="121">
        <f>F260*F261</f>
        <v>123.35</v>
      </c>
    </row>
    <row r="262" spans="1:8" ht="14.65" customHeight="1">
      <c r="A262"/>
      <c r="B262"/>
      <c r="C262"/>
      <c r="D262"/>
      <c r="E262"/>
      <c r="F262"/>
      <c r="G262"/>
    </row>
    <row r="263" spans="1:8" ht="15.75" customHeight="1">
      <c r="A263" s="7" t="s">
        <v>278</v>
      </c>
      <c r="B263" s="272" t="s">
        <v>279</v>
      </c>
      <c r="C263" s="272"/>
      <c r="D263" s="272"/>
      <c r="E263" s="272"/>
      <c r="F263" s="4"/>
      <c r="G263" s="3"/>
    </row>
    <row r="264" spans="1:8" ht="15.75" customHeight="1">
      <c r="A264" s="7" t="s">
        <v>280</v>
      </c>
      <c r="B264" s="273" t="s">
        <v>431</v>
      </c>
      <c r="C264" s="273"/>
      <c r="D264" s="273"/>
      <c r="E264" s="273"/>
      <c r="F264" s="122"/>
      <c r="G264"/>
      <c r="H264" s="123"/>
    </row>
    <row r="265" spans="1:8" ht="15.75" customHeight="1">
      <c r="A265" s="7"/>
      <c r="B265" s="272" t="s">
        <v>256</v>
      </c>
      <c r="C265" s="272"/>
      <c r="D265" s="124" t="s">
        <v>281</v>
      </c>
      <c r="E265" s="124" t="s">
        <v>282</v>
      </c>
      <c r="F265" s="124" t="s">
        <v>260</v>
      </c>
      <c r="G265"/>
    </row>
    <row r="266" spans="1:8" ht="15.75" customHeight="1">
      <c r="A266" s="125" t="s">
        <v>283</v>
      </c>
      <c r="B266" s="126" t="s">
        <v>284</v>
      </c>
      <c r="C266" s="127"/>
      <c r="D266" s="124">
        <v>0</v>
      </c>
      <c r="E266" s="261">
        <v>0</v>
      </c>
      <c r="F266" s="23">
        <f>(D266)*(E266)/3/12</f>
        <v>0</v>
      </c>
      <c r="G266"/>
    </row>
    <row r="267" spans="1:8" ht="15.75" customHeight="1">
      <c r="A267" s="125" t="s">
        <v>285</v>
      </c>
      <c r="B267" s="126" t="s">
        <v>286</v>
      </c>
      <c r="C267" s="127"/>
      <c r="D267" s="124">
        <v>10000</v>
      </c>
      <c r="E267" s="261">
        <f>(52.88/100)</f>
        <v>0.53</v>
      </c>
      <c r="F267" s="23">
        <f t="shared" ref="F267:F274" si="3">(D267)*(E267)/3/12</f>
        <v>147.22</v>
      </c>
      <c r="G267"/>
    </row>
    <row r="268" spans="1:8" ht="15.75" customHeight="1">
      <c r="A268" s="125" t="s">
        <v>287</v>
      </c>
      <c r="B268" s="126" t="s">
        <v>288</v>
      </c>
      <c r="C268" s="127"/>
      <c r="D268" s="124">
        <v>0</v>
      </c>
      <c r="E268" s="261">
        <v>0</v>
      </c>
      <c r="F268" s="23">
        <f t="shared" si="3"/>
        <v>0</v>
      </c>
      <c r="G268"/>
    </row>
    <row r="269" spans="1:8" ht="15.75" customHeight="1">
      <c r="A269" s="125" t="s">
        <v>289</v>
      </c>
      <c r="B269" s="126" t="s">
        <v>391</v>
      </c>
      <c r="C269" s="127"/>
      <c r="D269" s="124">
        <v>0</v>
      </c>
      <c r="E269" s="261">
        <v>0</v>
      </c>
      <c r="F269" s="23">
        <f t="shared" si="3"/>
        <v>0</v>
      </c>
      <c r="G269"/>
    </row>
    <row r="270" spans="1:8" ht="15.75" customHeight="1">
      <c r="A270" s="125" t="s">
        <v>290</v>
      </c>
      <c r="B270" s="126" t="s">
        <v>392</v>
      </c>
      <c r="C270" s="127"/>
      <c r="D270" s="124">
        <v>0</v>
      </c>
      <c r="E270" s="261">
        <v>0</v>
      </c>
      <c r="F270" s="23">
        <f t="shared" si="3"/>
        <v>0</v>
      </c>
      <c r="G270"/>
    </row>
    <row r="271" spans="1:8" ht="15.75" customHeight="1">
      <c r="A271" s="125" t="s">
        <v>291</v>
      </c>
      <c r="B271" s="126" t="s">
        <v>393</v>
      </c>
      <c r="C271" s="127"/>
      <c r="D271" s="124">
        <v>20</v>
      </c>
      <c r="E271" s="261">
        <v>23.96</v>
      </c>
      <c r="F271" s="23">
        <f t="shared" si="3"/>
        <v>13.31</v>
      </c>
      <c r="G271"/>
    </row>
    <row r="272" spans="1:8" ht="15.75" customHeight="1">
      <c r="A272" s="125" t="s">
        <v>292</v>
      </c>
      <c r="B272" s="126" t="s">
        <v>394</v>
      </c>
      <c r="C272" s="127"/>
      <c r="D272" s="124">
        <v>10</v>
      </c>
      <c r="E272" s="261">
        <v>27.02</v>
      </c>
      <c r="F272" s="23">
        <f t="shared" si="3"/>
        <v>7.51</v>
      </c>
      <c r="G272"/>
    </row>
    <row r="273" spans="1:10" ht="15.75" customHeight="1">
      <c r="A273" s="125" t="s">
        <v>293</v>
      </c>
      <c r="B273" s="126" t="s">
        <v>294</v>
      </c>
      <c r="C273" s="127"/>
      <c r="D273" s="124">
        <v>0</v>
      </c>
      <c r="E273" s="261">
        <v>0</v>
      </c>
      <c r="F273" s="23">
        <f t="shared" si="3"/>
        <v>0</v>
      </c>
      <c r="G273"/>
    </row>
    <row r="274" spans="1:10" s="65" customFormat="1">
      <c r="A274" s="125"/>
      <c r="B274" s="126"/>
      <c r="C274" s="127"/>
      <c r="D274" s="124"/>
      <c r="E274" s="47"/>
      <c r="F274" s="23">
        <f t="shared" si="3"/>
        <v>0</v>
      </c>
    </row>
    <row r="275" spans="1:10" ht="15.75" customHeight="1">
      <c r="A275" s="125"/>
      <c r="B275" s="274" t="s">
        <v>295</v>
      </c>
      <c r="C275" s="274"/>
      <c r="D275" s="274"/>
      <c r="E275" s="274"/>
      <c r="F275" s="23">
        <f>SUM(F266:F274)</f>
        <v>168.04</v>
      </c>
      <c r="G275"/>
    </row>
    <row r="276" spans="1:10" ht="15.75" customHeight="1">
      <c r="A276" s="125"/>
      <c r="B276" s="275" t="s">
        <v>28</v>
      </c>
      <c r="C276" s="275"/>
      <c r="D276" s="61"/>
      <c r="E276" s="19"/>
      <c r="F276" s="19"/>
      <c r="G276" s="62">
        <f>F275</f>
        <v>168.04</v>
      </c>
    </row>
    <row r="277" spans="1:10" ht="15.75" customHeight="1">
      <c r="A277" s="29"/>
      <c r="B277" s="63"/>
      <c r="C277" s="63"/>
      <c r="D277" s="61"/>
      <c r="E277" s="19"/>
      <c r="F277" s="19"/>
      <c r="G277" s="64"/>
    </row>
    <row r="278" spans="1:10" ht="17.25" customHeight="1">
      <c r="A278" s="275" t="s">
        <v>296</v>
      </c>
      <c r="B278" s="275"/>
      <c r="C278" s="275"/>
      <c r="D278" s="276">
        <f>G17+G28+G39+G53+G66+G76+G100+G124+G148+G154+F175+F195+F211+F226+F240+G251+G261+G276</f>
        <v>12675.19</v>
      </c>
      <c r="E278" s="276"/>
      <c r="F278" s="276"/>
      <c r="G278" s="276"/>
    </row>
    <row r="279" spans="1:10" ht="17.25" customHeight="1">
      <c r="A279"/>
      <c r="B279"/>
      <c r="C279"/>
      <c r="D279"/>
      <c r="E279"/>
      <c r="F279"/>
      <c r="G279"/>
    </row>
    <row r="280" spans="1:10" ht="15.75" customHeight="1" thickBot="1">
      <c r="A280" s="198"/>
      <c r="B280" s="272" t="s">
        <v>385</v>
      </c>
      <c r="C280" s="272"/>
      <c r="D280" s="272"/>
      <c r="E280" s="272"/>
      <c r="F280" s="4"/>
      <c r="G280" s="3"/>
    </row>
    <row r="281" spans="1:10" s="204" customFormat="1" ht="11.25" customHeight="1" thickBot="1">
      <c r="A281" s="199" t="s">
        <v>397</v>
      </c>
      <c r="B281" s="200" t="s">
        <v>256</v>
      </c>
      <c r="C281" s="201" t="s">
        <v>257</v>
      </c>
      <c r="D281" s="201" t="s">
        <v>258</v>
      </c>
      <c r="E281" s="202" t="s">
        <v>386</v>
      </c>
      <c r="F281" s="202" t="s">
        <v>260</v>
      </c>
      <c r="G281" s="203" t="s">
        <v>387</v>
      </c>
    </row>
    <row r="282" spans="1:10" ht="15.75" customHeight="1" thickBot="1">
      <c r="A282" s="5"/>
      <c r="B282" s="205" t="s">
        <v>388</v>
      </c>
      <c r="C282" s="206" t="s">
        <v>22</v>
      </c>
      <c r="D282" s="214">
        <f>BDI!C15</f>
        <v>0.22919999999999999</v>
      </c>
      <c r="E282" s="207">
        <f>D278</f>
        <v>12675.19</v>
      </c>
      <c r="F282" s="207">
        <f>(E282*D282)</f>
        <v>2905.15</v>
      </c>
      <c r="G282" s="208"/>
      <c r="I282" s="209"/>
    </row>
    <row r="283" spans="1:10" ht="15.75" customHeight="1" thickBot="1">
      <c r="A283" s="5"/>
      <c r="B283" s="204"/>
      <c r="C283" s="204"/>
      <c r="D283" s="204"/>
      <c r="E283" s="208"/>
      <c r="F283" s="208"/>
      <c r="G283" s="210">
        <f>E282+F282</f>
        <v>15580.34</v>
      </c>
      <c r="H283" s="129"/>
      <c r="I283" s="123"/>
      <c r="J283" s="123"/>
    </row>
    <row r="284" spans="1:10">
      <c r="A284" s="5"/>
      <c r="B284" s="5"/>
      <c r="C284" s="5"/>
      <c r="D284" s="4"/>
      <c r="E284" s="122"/>
      <c r="F284" s="122"/>
      <c r="G284" s="57"/>
    </row>
    <row r="285" spans="1:10">
      <c r="A285" s="5"/>
      <c r="B285" s="283" t="s">
        <v>398</v>
      </c>
      <c r="C285" s="283"/>
      <c r="D285" s="283"/>
      <c r="E285" s="283"/>
      <c r="F285" s="215">
        <f>G283/E295</f>
        <v>0.41</v>
      </c>
      <c r="G285" s="3"/>
    </row>
    <row r="286" spans="1:10">
      <c r="A286" s="5"/>
      <c r="B286" s="6"/>
      <c r="C286" s="6"/>
      <c r="D286" s="6"/>
      <c r="E286" s="6"/>
      <c r="F286" s="6"/>
      <c r="G286" s="3"/>
    </row>
    <row r="287" spans="1:10" hidden="1">
      <c r="A287" s="5"/>
      <c r="B287" s="283" t="s">
        <v>418</v>
      </c>
      <c r="C287" s="283"/>
      <c r="D287" s="283"/>
      <c r="E287" s="283"/>
      <c r="F287" s="215">
        <f>F289/12</f>
        <v>705.21</v>
      </c>
      <c r="G287" s="3"/>
    </row>
    <row r="288" spans="1:10">
      <c r="A288" s="5"/>
      <c r="B288" s="6"/>
      <c r="C288" s="6"/>
      <c r="D288" s="6"/>
      <c r="E288" s="6"/>
      <c r="F288" s="216"/>
      <c r="G288" s="3"/>
    </row>
    <row r="289" spans="1:7">
      <c r="A289" s="5"/>
      <c r="B289" s="283" t="s">
        <v>399</v>
      </c>
      <c r="C289" s="283"/>
      <c r="D289" s="283"/>
      <c r="E289" s="283"/>
      <c r="F289" s="215">
        <f>F285*'Metragens Anual'!B5</f>
        <v>8462.4699999999993</v>
      </c>
      <c r="G289" s="3"/>
    </row>
    <row r="290" spans="1:7">
      <c r="A290" s="32"/>
      <c r="B290" s="283" t="s">
        <v>400</v>
      </c>
      <c r="C290" s="283"/>
      <c r="D290" s="217" t="s">
        <v>257</v>
      </c>
      <c r="E290" s="128" t="s">
        <v>401</v>
      </c>
    </row>
    <row r="291" spans="1:7">
      <c r="A291" s="32" t="s">
        <v>301</v>
      </c>
      <c r="B291" s="284" t="s">
        <v>402</v>
      </c>
      <c r="C291" s="284"/>
      <c r="D291" s="218" t="s">
        <v>403</v>
      </c>
      <c r="E291" s="219">
        <v>120</v>
      </c>
    </row>
    <row r="292" spans="1:7">
      <c r="A292" s="32" t="s">
        <v>404</v>
      </c>
      <c r="B292" s="284" t="s">
        <v>405</v>
      </c>
      <c r="C292" s="284"/>
      <c r="D292" s="218" t="s">
        <v>406</v>
      </c>
      <c r="E292" s="23">
        <v>160</v>
      </c>
    </row>
    <row r="293" spans="1:7">
      <c r="A293" s="32" t="s">
        <v>407</v>
      </c>
      <c r="B293" s="284" t="s">
        <v>408</v>
      </c>
      <c r="C293" s="284"/>
      <c r="D293" s="218" t="s">
        <v>409</v>
      </c>
      <c r="E293" s="23">
        <f>E291*E292</f>
        <v>19200</v>
      </c>
    </row>
    <row r="294" spans="1:7">
      <c r="A294" s="43" t="s">
        <v>410</v>
      </c>
      <c r="B294" s="285" t="s">
        <v>411</v>
      </c>
      <c r="C294" s="285"/>
      <c r="D294" s="243" t="s">
        <v>412</v>
      </c>
      <c r="E294" s="244">
        <f>D27</f>
        <v>2</v>
      </c>
    </row>
    <row r="295" spans="1:7">
      <c r="A295" s="212" t="s">
        <v>413</v>
      </c>
      <c r="B295" s="286" t="s">
        <v>414</v>
      </c>
      <c r="C295" s="286"/>
      <c r="D295" s="251" t="s">
        <v>302</v>
      </c>
      <c r="E295" s="249">
        <f>E293*E294</f>
        <v>38400</v>
      </c>
    </row>
    <row r="296" spans="1:7" ht="15.75" customHeight="1"/>
  </sheetData>
  <mergeCells count="146">
    <mergeCell ref="B294:C294"/>
    <mergeCell ref="B295:C295"/>
    <mergeCell ref="B287:E287"/>
    <mergeCell ref="B289:E289"/>
    <mergeCell ref="B290:C290"/>
    <mergeCell ref="B291:C291"/>
    <mergeCell ref="B292:C292"/>
    <mergeCell ref="B293:C293"/>
    <mergeCell ref="B275:E275"/>
    <mergeCell ref="B276:C276"/>
    <mergeCell ref="A278:C278"/>
    <mergeCell ref="D278:G278"/>
    <mergeCell ref="B280:E280"/>
    <mergeCell ref="B285:E285"/>
    <mergeCell ref="B226:C226"/>
    <mergeCell ref="B228:E228"/>
    <mergeCell ref="B240:C240"/>
    <mergeCell ref="B263:E263"/>
    <mergeCell ref="B264:E264"/>
    <mergeCell ref="B265:C265"/>
    <mergeCell ref="B177:E177"/>
    <mergeCell ref="B195:C195"/>
    <mergeCell ref="B197:E197"/>
    <mergeCell ref="B198:E198"/>
    <mergeCell ref="B211:C211"/>
    <mergeCell ref="B213:E213"/>
    <mergeCell ref="B148:C148"/>
    <mergeCell ref="A150:D150"/>
    <mergeCell ref="E150:F150"/>
    <mergeCell ref="B156:E156"/>
    <mergeCell ref="B157:E157"/>
    <mergeCell ref="B175:C175"/>
    <mergeCell ref="B142:C142"/>
    <mergeCell ref="B143:C143"/>
    <mergeCell ref="B144:C144"/>
    <mergeCell ref="B145:C145"/>
    <mergeCell ref="B146:E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3:C123"/>
    <mergeCell ref="B124:C124"/>
    <mergeCell ref="B126:E126"/>
    <mergeCell ref="B127:E127"/>
    <mergeCell ref="B128:C128"/>
    <mergeCell ref="B129:C129"/>
    <mergeCell ref="B117:C117"/>
    <mergeCell ref="B118:C118"/>
    <mergeCell ref="B119:C119"/>
    <mergeCell ref="B120:C120"/>
    <mergeCell ref="B121:C121"/>
    <mergeCell ref="B122:E122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98:E98"/>
    <mergeCell ref="B99:C99"/>
    <mergeCell ref="B100:C100"/>
    <mergeCell ref="B102:E102"/>
    <mergeCell ref="B103:E103"/>
    <mergeCell ref="B104:C104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3:C73"/>
    <mergeCell ref="B74:C74"/>
    <mergeCell ref="B75:C75"/>
    <mergeCell ref="B76:C76"/>
    <mergeCell ref="B78:E78"/>
    <mergeCell ref="B79:E79"/>
    <mergeCell ref="B66:C66"/>
    <mergeCell ref="B68:D68"/>
    <mergeCell ref="B69:C69"/>
    <mergeCell ref="B70:C70"/>
    <mergeCell ref="B71:C71"/>
    <mergeCell ref="B72:C72"/>
    <mergeCell ref="B60:C60"/>
    <mergeCell ref="B61:C61"/>
    <mergeCell ref="B62:C62"/>
    <mergeCell ref="B63:C63"/>
    <mergeCell ref="B64:C64"/>
    <mergeCell ref="B65:C65"/>
    <mergeCell ref="B53:C53"/>
    <mergeCell ref="B55:D55"/>
    <mergeCell ref="B56:C56"/>
    <mergeCell ref="B57:C57"/>
    <mergeCell ref="B58:C58"/>
    <mergeCell ref="B59:C59"/>
    <mergeCell ref="B47:C47"/>
    <mergeCell ref="B48:C48"/>
    <mergeCell ref="B49:C49"/>
    <mergeCell ref="B50:C50"/>
    <mergeCell ref="B51:C51"/>
    <mergeCell ref="B52:C52"/>
    <mergeCell ref="B37:E37"/>
    <mergeCell ref="B42:D42"/>
    <mergeCell ref="B43:C43"/>
    <mergeCell ref="B44:C44"/>
    <mergeCell ref="B45:C45"/>
    <mergeCell ref="B46:C46"/>
    <mergeCell ref="B7:F7"/>
    <mergeCell ref="B8:E8"/>
    <mergeCell ref="B15:E15"/>
    <mergeCell ref="B19:E19"/>
    <mergeCell ref="B26:E26"/>
    <mergeCell ref="B30:E30"/>
    <mergeCell ref="B1:G1"/>
    <mergeCell ref="B2:G2"/>
    <mergeCell ref="B3:G3"/>
    <mergeCell ref="B4:G4"/>
    <mergeCell ref="B5:G5"/>
    <mergeCell ref="D6:F6"/>
  </mergeCells>
  <hyperlinks>
    <hyperlink ref="B243" location="AbaRemun" display="Remuneração do Capital" xr:uid="{AA201757-429B-47B9-B661-335FB3EE49FD}"/>
    <hyperlink ref="B253" location="AbaRemun" display="Remuneração do Capital" xr:uid="{3FCFF59F-A42F-45E4-BB31-FC9A11F3F3E0}"/>
  </hyperlinks>
  <pageMargins left="0.98425196850393704" right="0.59055118110236227" top="0.59055118110236227" bottom="0.39370078740157483" header="0.39370078740157483" footer="0.19685039370078741"/>
  <pageSetup paperSize="9" scale="80" fitToWidth="0" fitToHeight="0" orientation="landscape" r:id="rId1"/>
  <headerFooter>
    <oddHeader>&amp;C&amp;A</oddHeader>
    <oddFooter>&amp;CPágina &amp;P de &amp;N</oddFooter>
  </headerFooter>
  <rowBreaks count="11" manualBreakCount="11">
    <brk id="40" max="16383" man="1"/>
    <brk id="76" max="16383" man="1"/>
    <brk id="100" max="16383" man="1"/>
    <brk id="124" max="16383" man="1"/>
    <brk id="154" max="16383" man="1"/>
    <brk id="175" max="16383" man="1"/>
    <brk id="195" max="16383" man="1"/>
    <brk id="211" max="16383" man="1"/>
    <brk id="226" max="16383" man="1"/>
    <brk id="240" max="16383" man="1"/>
    <brk id="261" max="16383" man="1"/>
  </rowBreaks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A3CC4-83EE-4CB1-9DB8-C957029AF115}">
  <sheetPr codeName="Planilha12"/>
  <dimension ref="A1:H38"/>
  <sheetViews>
    <sheetView tabSelected="1" workbookViewId="0">
      <selection activeCell="A3" sqref="A3:D3"/>
    </sheetView>
  </sheetViews>
  <sheetFormatPr defaultRowHeight="14.25"/>
  <cols>
    <col min="1" max="5" width="8.125" customWidth="1"/>
    <col min="6" max="6" width="14.75" customWidth="1"/>
    <col min="7" max="7" width="8" customWidth="1"/>
    <col min="8" max="8" width="6" customWidth="1"/>
    <col min="9" max="9" width="8.75" customWidth="1"/>
  </cols>
  <sheetData>
    <row r="1" spans="1:8">
      <c r="A1" s="304" t="s">
        <v>303</v>
      </c>
      <c r="B1" s="304"/>
      <c r="C1" s="304"/>
      <c r="D1" s="304"/>
      <c r="E1" s="304"/>
      <c r="F1" s="304"/>
      <c r="G1" s="304"/>
      <c r="H1" s="304"/>
    </row>
    <row r="2" spans="1:8" ht="15">
      <c r="A2" s="293" t="s">
        <v>487</v>
      </c>
      <c r="B2" s="293"/>
      <c r="C2" s="293"/>
      <c r="D2" s="293"/>
      <c r="E2" s="293"/>
      <c r="F2" s="293"/>
    </row>
    <row r="3" spans="1:8" ht="15">
      <c r="A3" s="296" t="s">
        <v>300</v>
      </c>
      <c r="B3" s="296"/>
      <c r="C3" s="296"/>
      <c r="D3" s="296"/>
      <c r="E3" s="297">
        <f>C11+C22</f>
        <v>12675.19</v>
      </c>
      <c r="F3" s="297"/>
    </row>
    <row r="4" spans="1:8" ht="15">
      <c r="A4" s="296" t="s">
        <v>304</v>
      </c>
      <c r="B4" s="296"/>
      <c r="C4" s="296"/>
      <c r="D4" s="296"/>
      <c r="E4" s="296"/>
      <c r="F4" s="296"/>
      <c r="H4" s="131"/>
    </row>
    <row r="5" spans="1:8" ht="15">
      <c r="A5" s="130"/>
      <c r="B5" s="130"/>
      <c r="C5" s="130"/>
      <c r="D5" s="130"/>
      <c r="E5" s="130"/>
      <c r="F5" s="130"/>
      <c r="H5" s="131"/>
    </row>
    <row r="6" spans="1:8">
      <c r="A6" s="132"/>
      <c r="B6" s="132"/>
      <c r="C6" s="301" t="s">
        <v>300</v>
      </c>
      <c r="D6" s="301"/>
      <c r="E6" s="303" t="s">
        <v>305</v>
      </c>
      <c r="F6" s="303"/>
      <c r="H6" s="131"/>
    </row>
    <row r="7" spans="1:8">
      <c r="A7" s="55" t="s">
        <v>306</v>
      </c>
      <c r="B7" s="55" t="s">
        <v>307</v>
      </c>
      <c r="C7" s="299">
        <f>Iterm_1_2!G17+Iterm_1_2!G28+Iterm_1_2!G39</f>
        <v>6424.65</v>
      </c>
      <c r="D7" s="299"/>
      <c r="E7" s="300">
        <f>C7/E3</f>
        <v>0.50690000000000002</v>
      </c>
      <c r="F7" s="300"/>
      <c r="H7" s="131"/>
    </row>
    <row r="8" spans="1:8">
      <c r="A8" s="55" t="s">
        <v>306</v>
      </c>
      <c r="B8" s="55" t="s">
        <v>308</v>
      </c>
      <c r="C8" s="299">
        <f>Iterm_1_2!G53</f>
        <v>651.73</v>
      </c>
      <c r="D8" s="299"/>
      <c r="E8" s="300">
        <f>C8/E3</f>
        <v>5.1400000000000001E-2</v>
      </c>
      <c r="F8" s="300"/>
      <c r="H8" s="131"/>
    </row>
    <row r="9" spans="1:8">
      <c r="A9" s="55" t="s">
        <v>306</v>
      </c>
      <c r="B9" s="55" t="s">
        <v>309</v>
      </c>
      <c r="C9" s="299">
        <f>Iterm_1_2!G66</f>
        <v>586.44000000000005</v>
      </c>
      <c r="D9" s="299"/>
      <c r="E9" s="300">
        <f>C9/E3</f>
        <v>4.6300000000000001E-2</v>
      </c>
      <c r="F9" s="300"/>
    </row>
    <row r="10" spans="1:8">
      <c r="A10" s="55" t="s">
        <v>306</v>
      </c>
      <c r="B10" s="55" t="s">
        <v>310</v>
      </c>
      <c r="C10" s="299">
        <f>Iterm_1_2!G76</f>
        <v>34</v>
      </c>
      <c r="D10" s="299"/>
      <c r="E10" s="300">
        <f>C10/E3</f>
        <v>2.7000000000000001E-3</v>
      </c>
      <c r="F10" s="300"/>
    </row>
    <row r="11" spans="1:8" ht="15.75">
      <c r="A11" s="301" t="s">
        <v>311</v>
      </c>
      <c r="B11" s="301"/>
      <c r="C11" s="302">
        <f>SUM(C7:D10)</f>
        <v>7696.82</v>
      </c>
      <c r="D11" s="302"/>
      <c r="E11" s="298">
        <f>SUM(E7:F10)</f>
        <v>0.60729999999999995</v>
      </c>
      <c r="F11" s="298"/>
    </row>
    <row r="12" spans="1:8" ht="15.75">
      <c r="A12" s="132"/>
      <c r="B12" s="132"/>
      <c r="C12" s="133"/>
      <c r="D12" s="133"/>
      <c r="E12" s="134"/>
      <c r="F12" s="134"/>
    </row>
    <row r="13" spans="1:8" ht="15">
      <c r="A13" s="296" t="s">
        <v>300</v>
      </c>
      <c r="B13" s="296"/>
      <c r="C13" s="296"/>
      <c r="D13" s="296"/>
      <c r="E13" s="297">
        <f>E3</f>
        <v>12675.19</v>
      </c>
      <c r="F13" s="297"/>
    </row>
    <row r="14" spans="1:8" ht="15">
      <c r="A14" s="296" t="s">
        <v>312</v>
      </c>
      <c r="B14" s="296"/>
      <c r="C14" s="296"/>
      <c r="D14" s="296"/>
      <c r="E14" s="296"/>
      <c r="F14" s="296"/>
    </row>
    <row r="15" spans="1:8">
      <c r="A15" s="277"/>
      <c r="B15" s="277"/>
      <c r="C15" s="277"/>
      <c r="D15" s="277"/>
      <c r="E15" s="277"/>
      <c r="F15" s="277"/>
    </row>
    <row r="16" spans="1:8">
      <c r="A16" s="132"/>
      <c r="B16" s="132"/>
      <c r="C16" s="301" t="s">
        <v>300</v>
      </c>
      <c r="D16" s="301"/>
      <c r="E16" s="303" t="s">
        <v>305</v>
      </c>
      <c r="F16" s="303"/>
    </row>
    <row r="17" spans="1:8">
      <c r="A17" s="55" t="s">
        <v>306</v>
      </c>
      <c r="B17" s="55" t="s">
        <v>313</v>
      </c>
      <c r="C17" s="299">
        <f>Iterm_1_2!G100+Iterm_1_2!G124+Iterm_1_2!G148</f>
        <v>171.77</v>
      </c>
      <c r="D17" s="299"/>
      <c r="E17" s="300">
        <f>C17/E3</f>
        <v>1.3599999999999999E-2</v>
      </c>
      <c r="F17" s="300"/>
    </row>
    <row r="18" spans="1:8">
      <c r="A18" s="55" t="s">
        <v>306</v>
      </c>
      <c r="B18" s="55" t="s">
        <v>314</v>
      </c>
      <c r="C18" s="299">
        <f>Iterm_1_2!G154</f>
        <v>0</v>
      </c>
      <c r="D18" s="299"/>
      <c r="E18" s="300">
        <f>C18/E3</f>
        <v>0</v>
      </c>
      <c r="F18" s="300"/>
      <c r="H18" s="135"/>
    </row>
    <row r="19" spans="1:8">
      <c r="A19" s="55" t="s">
        <v>306</v>
      </c>
      <c r="B19" s="55" t="s">
        <v>315</v>
      </c>
      <c r="C19" s="299">
        <f>Iterm_1_2!F175+Iterm_1_2!F195+Iterm_1_2!F211+Iterm_1_2!F226+Iterm_1_2!F240</f>
        <v>3763.47</v>
      </c>
      <c r="D19" s="299"/>
      <c r="E19" s="300">
        <f>C19/E3</f>
        <v>0.2969</v>
      </c>
      <c r="F19" s="300"/>
      <c r="H19" s="131"/>
    </row>
    <row r="20" spans="1:8">
      <c r="A20" s="55" t="s">
        <v>306</v>
      </c>
      <c r="B20" s="55" t="s">
        <v>253</v>
      </c>
      <c r="C20" s="299">
        <f>Iterm_1_2!G251+Iterm_1_2!G261</f>
        <v>875.09</v>
      </c>
      <c r="D20" s="299"/>
      <c r="E20" s="300">
        <f>C20/E3</f>
        <v>6.9000000000000006E-2</v>
      </c>
      <c r="F20" s="300"/>
    </row>
    <row r="21" spans="1:8">
      <c r="A21" s="55" t="s">
        <v>306</v>
      </c>
      <c r="B21" s="55" t="s">
        <v>316</v>
      </c>
      <c r="C21" s="299">
        <f>Iterm_1_2!G276</f>
        <v>168.04</v>
      </c>
      <c r="D21" s="299"/>
      <c r="E21" s="300">
        <f>C21/E3</f>
        <v>1.3299999999999999E-2</v>
      </c>
      <c r="F21" s="300"/>
    </row>
    <row r="22" spans="1:8" ht="15.75">
      <c r="A22" s="301" t="s">
        <v>311</v>
      </c>
      <c r="B22" s="301"/>
      <c r="C22" s="302">
        <f>SUM(C17:D21)</f>
        <v>4978.37</v>
      </c>
      <c r="D22" s="302"/>
      <c r="E22" s="298">
        <f>SUM(E17:F21)</f>
        <v>0.39279999999999998</v>
      </c>
      <c r="F22" s="298"/>
    </row>
    <row r="24" spans="1:8">
      <c r="A24" s="136"/>
      <c r="B24" s="136"/>
      <c r="C24" s="136"/>
      <c r="D24" s="136"/>
      <c r="E24" s="136"/>
      <c r="F24" s="136"/>
      <c r="G24" s="136"/>
      <c r="H24" s="136"/>
    </row>
    <row r="25" spans="1:8" ht="15">
      <c r="A25" s="296" t="s">
        <v>304</v>
      </c>
      <c r="B25" s="296"/>
      <c r="C25" s="296"/>
      <c r="D25" s="296"/>
      <c r="E25" s="296"/>
      <c r="F25" s="296"/>
      <c r="G25" s="297" t="s">
        <v>305</v>
      </c>
      <c r="H25" s="297"/>
    </row>
    <row r="26" spans="1:8" ht="15">
      <c r="A26" s="296" t="s">
        <v>317</v>
      </c>
      <c r="B26" s="296"/>
      <c r="C26" s="296"/>
      <c r="D26" s="296"/>
      <c r="E26" s="297">
        <f>C11</f>
        <v>7696.82</v>
      </c>
      <c r="F26" s="297"/>
      <c r="G26" s="298">
        <f>E26/E32</f>
        <v>0.60719999999999996</v>
      </c>
      <c r="H26" s="298"/>
    </row>
    <row r="28" spans="1:8" ht="15">
      <c r="A28" s="296" t="s">
        <v>312</v>
      </c>
      <c r="B28" s="296"/>
      <c r="C28" s="296"/>
      <c r="D28" s="296"/>
      <c r="E28" s="296"/>
      <c r="F28" s="296"/>
      <c r="G28" s="297" t="s">
        <v>305</v>
      </c>
      <c r="H28" s="297"/>
    </row>
    <row r="29" spans="1:8" ht="15">
      <c r="A29" s="296" t="s">
        <v>317</v>
      </c>
      <c r="B29" s="296"/>
      <c r="C29" s="296"/>
      <c r="D29" s="296"/>
      <c r="E29" s="297">
        <f>C22</f>
        <v>4978.37</v>
      </c>
      <c r="F29" s="297"/>
      <c r="G29" s="298">
        <f>E29/E32</f>
        <v>0.39279999999999998</v>
      </c>
      <c r="H29" s="298"/>
    </row>
    <row r="31" spans="1:8" ht="15">
      <c r="A31" s="296" t="s">
        <v>318</v>
      </c>
      <c r="B31" s="296"/>
      <c r="C31" s="296"/>
      <c r="D31" s="296"/>
      <c r="E31" s="296"/>
      <c r="F31" s="296"/>
      <c r="G31" s="297" t="s">
        <v>305</v>
      </c>
      <c r="H31" s="297"/>
    </row>
    <row r="32" spans="1:8" ht="15">
      <c r="A32" s="296" t="s">
        <v>319</v>
      </c>
      <c r="B32" s="296"/>
      <c r="C32" s="296"/>
      <c r="D32" s="296"/>
      <c r="E32" s="297">
        <f>E26+E29</f>
        <v>12675.19</v>
      </c>
      <c r="F32" s="297"/>
      <c r="G32" s="298">
        <f>G26+G29</f>
        <v>1</v>
      </c>
      <c r="H32" s="298"/>
    </row>
    <row r="34" spans="1:8" ht="15">
      <c r="A34" s="66" t="s">
        <v>320</v>
      </c>
      <c r="B34" s="296" t="s">
        <v>321</v>
      </c>
      <c r="C34" s="296"/>
      <c r="D34" s="296"/>
      <c r="E34" s="296"/>
      <c r="F34" s="296"/>
      <c r="G34" s="296"/>
      <c r="H34" s="296"/>
    </row>
    <row r="35" spans="1:8" ht="15">
      <c r="A35" s="66"/>
      <c r="B35" s="296" t="s">
        <v>322</v>
      </c>
      <c r="C35" s="296"/>
      <c r="D35" s="296"/>
      <c r="E35" s="296"/>
      <c r="F35" s="296"/>
      <c r="G35" s="296"/>
      <c r="H35" s="296"/>
    </row>
    <row r="36" spans="1:8" ht="15">
      <c r="B36" s="296" t="s">
        <v>389</v>
      </c>
      <c r="C36" s="296"/>
      <c r="D36" s="296"/>
      <c r="E36" s="297">
        <f>Iterm_1_2!F282</f>
        <v>2905.15</v>
      </c>
      <c r="F36" s="297"/>
    </row>
    <row r="38" spans="1:8" ht="15">
      <c r="B38" s="296" t="s">
        <v>323</v>
      </c>
      <c r="C38" s="296"/>
      <c r="D38" s="296"/>
      <c r="E38" s="297">
        <f>E32+E36</f>
        <v>15580.34</v>
      </c>
      <c r="F38" s="297"/>
    </row>
  </sheetData>
  <mergeCells count="58">
    <mergeCell ref="B34:H34"/>
    <mergeCell ref="B35:H35"/>
    <mergeCell ref="B36:D36"/>
    <mergeCell ref="E36:F36"/>
    <mergeCell ref="B38:D38"/>
    <mergeCell ref="E38:F38"/>
    <mergeCell ref="A32:D32"/>
    <mergeCell ref="E32:F32"/>
    <mergeCell ref="G32:H32"/>
    <mergeCell ref="G25:H25"/>
    <mergeCell ref="A26:D26"/>
    <mergeCell ref="E26:F26"/>
    <mergeCell ref="G26:H26"/>
    <mergeCell ref="A28:F28"/>
    <mergeCell ref="G28:H28"/>
    <mergeCell ref="A25:F25"/>
    <mergeCell ref="A29:D29"/>
    <mergeCell ref="E29:F29"/>
    <mergeCell ref="G29:H29"/>
    <mergeCell ref="A31:F31"/>
    <mergeCell ref="G31:H31"/>
    <mergeCell ref="C21:D21"/>
    <mergeCell ref="E21:F21"/>
    <mergeCell ref="A22:B22"/>
    <mergeCell ref="C22:D22"/>
    <mergeCell ref="E22:F22"/>
    <mergeCell ref="C18:D18"/>
    <mergeCell ref="E18:F18"/>
    <mergeCell ref="C19:D19"/>
    <mergeCell ref="E19:F19"/>
    <mergeCell ref="C20:D20"/>
    <mergeCell ref="E20:F20"/>
    <mergeCell ref="A14:F14"/>
    <mergeCell ref="A15:F15"/>
    <mergeCell ref="C16:D16"/>
    <mergeCell ref="E16:F16"/>
    <mergeCell ref="C17:D17"/>
    <mergeCell ref="E17:F17"/>
    <mergeCell ref="A13:D13"/>
    <mergeCell ref="E13:F13"/>
    <mergeCell ref="C7:D7"/>
    <mergeCell ref="E7:F7"/>
    <mergeCell ref="C8:D8"/>
    <mergeCell ref="E8:F8"/>
    <mergeCell ref="C9:D9"/>
    <mergeCell ref="E9:F9"/>
    <mergeCell ref="C10:D10"/>
    <mergeCell ref="E10:F10"/>
    <mergeCell ref="A11:B11"/>
    <mergeCell ref="C11:D11"/>
    <mergeCell ref="E11:F11"/>
    <mergeCell ref="C6:D6"/>
    <mergeCell ref="E6:F6"/>
    <mergeCell ref="A1:H1"/>
    <mergeCell ref="A2:F2"/>
    <mergeCell ref="A3:D3"/>
    <mergeCell ref="E3:F3"/>
    <mergeCell ref="A4:F4"/>
  </mergeCells>
  <pageMargins left="0.98425196850393692" right="0.511811023622047" top="0.78740157480315021" bottom="0.78740157480315021" header="0.31496062992126012" footer="0.31496062992126012"/>
  <pageSetup paperSize="9" fitToWidth="0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Planilha5"/>
  <dimension ref="A1:D10"/>
  <sheetViews>
    <sheetView workbookViewId="0">
      <selection activeCell="D5" sqref="D5"/>
    </sheetView>
  </sheetViews>
  <sheetFormatPr defaultRowHeight="14.25"/>
  <cols>
    <col min="1" max="1" width="13.75" bestFit="1" customWidth="1"/>
    <col min="2" max="2" width="12.875" customWidth="1"/>
    <col min="3" max="3" width="4.25" customWidth="1"/>
    <col min="4" max="4" width="54" bestFit="1" customWidth="1"/>
    <col min="5" max="5" width="8.75" customWidth="1"/>
  </cols>
  <sheetData>
    <row r="1" spans="1:4" ht="15">
      <c r="A1" s="307" t="s">
        <v>390</v>
      </c>
      <c r="B1" s="307"/>
      <c r="C1" s="307"/>
      <c r="D1" s="307"/>
    </row>
    <row r="2" spans="1:4">
      <c r="A2" s="232" t="s">
        <v>324</v>
      </c>
      <c r="B2" s="232" t="s">
        <v>325</v>
      </c>
      <c r="C2" s="232" t="s">
        <v>326</v>
      </c>
      <c r="D2" s="232"/>
    </row>
    <row r="3" spans="1:4">
      <c r="A3" s="220" t="s">
        <v>307</v>
      </c>
      <c r="B3" s="221">
        <v>435316</v>
      </c>
      <c r="C3" s="222" t="s">
        <v>327</v>
      </c>
      <c r="D3" s="220" t="s">
        <v>435</v>
      </c>
    </row>
    <row r="4" spans="1:4">
      <c r="A4" s="220" t="s">
        <v>308</v>
      </c>
      <c r="B4" s="223">
        <v>37284.199999999997</v>
      </c>
      <c r="C4" s="222" t="s">
        <v>327</v>
      </c>
      <c r="D4" s="220" t="s">
        <v>436</v>
      </c>
    </row>
    <row r="5" spans="1:4">
      <c r="A5" s="220" t="s">
        <v>309</v>
      </c>
      <c r="B5" s="223">
        <v>20640.18</v>
      </c>
      <c r="C5" s="222" t="s">
        <v>327</v>
      </c>
      <c r="D5" s="220" t="s">
        <v>437</v>
      </c>
    </row>
    <row r="6" spans="1:4" ht="15">
      <c r="A6" s="230" t="s">
        <v>12</v>
      </c>
      <c r="B6" s="231">
        <f>SUM(B3:B5)</f>
        <v>493240.38</v>
      </c>
      <c r="C6" s="232"/>
      <c r="D6" s="229"/>
    </row>
    <row r="7" spans="1:4">
      <c r="A7" s="140"/>
      <c r="B7" s="139"/>
    </row>
    <row r="8" spans="1:4">
      <c r="A8" s="140"/>
      <c r="B8" s="139"/>
    </row>
    <row r="9" spans="1:4">
      <c r="A9" s="140"/>
      <c r="B9" s="139"/>
    </row>
    <row r="10" spans="1:4">
      <c r="A10" s="140"/>
      <c r="B10" s="139"/>
    </row>
  </sheetData>
  <mergeCells count="1">
    <mergeCell ref="A1:D1"/>
  </mergeCells>
  <pageMargins left="1.1811023622047245" right="0.59055118110236227" top="0.78740157480314965" bottom="0.78740157480314965" header="0.31496062992125984" footer="0.31496062992125984"/>
  <pageSetup paperSize="9" fitToWidth="0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Planilha6"/>
  <dimension ref="A1:H50"/>
  <sheetViews>
    <sheetView zoomScale="115" zoomScaleNormal="115" workbookViewId="0">
      <selection activeCell="G6" sqref="G6"/>
    </sheetView>
  </sheetViews>
  <sheetFormatPr defaultRowHeight="14.25"/>
  <cols>
    <col min="1" max="1" width="8.75" customWidth="1"/>
    <col min="2" max="2" width="24.125" customWidth="1"/>
    <col min="3" max="3" width="10.25" customWidth="1"/>
    <col min="4" max="4" width="16" customWidth="1"/>
    <col min="5" max="5" width="14.125" bestFit="1" customWidth="1"/>
    <col min="6" max="6" width="18.25" customWidth="1"/>
    <col min="7" max="7" width="20.875" customWidth="1"/>
    <col min="8" max="8" width="12.75" bestFit="1" customWidth="1"/>
  </cols>
  <sheetData>
    <row r="1" spans="1:8">
      <c r="A1" s="308" t="s">
        <v>328</v>
      </c>
      <c r="B1" s="308"/>
      <c r="C1" s="308"/>
      <c r="D1" s="308"/>
      <c r="E1" s="308"/>
      <c r="F1" s="308"/>
      <c r="G1" s="308"/>
    </row>
    <row r="2" spans="1:8" ht="15">
      <c r="A2" s="226" t="s">
        <v>324</v>
      </c>
      <c r="B2" s="226" t="s">
        <v>299</v>
      </c>
      <c r="C2" s="226" t="s">
        <v>329</v>
      </c>
      <c r="D2" s="226" t="s">
        <v>462</v>
      </c>
      <c r="E2" s="226" t="s">
        <v>330</v>
      </c>
      <c r="F2" s="226" t="s">
        <v>331</v>
      </c>
      <c r="G2" s="226" t="s">
        <v>331</v>
      </c>
    </row>
    <row r="3" spans="1:8" ht="15">
      <c r="A3" s="141" t="s">
        <v>307</v>
      </c>
      <c r="B3" s="220" t="s">
        <v>435</v>
      </c>
      <c r="C3" s="137" t="s">
        <v>332</v>
      </c>
      <c r="D3" s="221">
        <v>435316</v>
      </c>
      <c r="E3" s="138">
        <f>Iterm_1_1!F285</f>
        <v>0.41</v>
      </c>
      <c r="F3" s="142">
        <f>E3*D3</f>
        <v>178479.56</v>
      </c>
      <c r="G3" s="142">
        <f>Iterm_1_1!F289</f>
        <v>178479.56</v>
      </c>
      <c r="H3" s="246"/>
    </row>
    <row r="4" spans="1:8" ht="15">
      <c r="A4" s="141" t="s">
        <v>308</v>
      </c>
      <c r="B4" s="138" t="str">
        <f>'Metragens Anual'!D4</f>
        <v xml:space="preserve">Corte Grama nos passeios das unidades escolares municipais </v>
      </c>
      <c r="C4" s="137" t="s">
        <v>332</v>
      </c>
      <c r="D4" s="223">
        <v>37284.199999999997</v>
      </c>
      <c r="E4" s="138">
        <f>Iterm_1_2!F285</f>
        <v>0.41</v>
      </c>
      <c r="F4" s="142">
        <f>E4*D4</f>
        <v>15286.52</v>
      </c>
      <c r="G4" s="142">
        <f>Iterm_1_2!F289</f>
        <v>15286.52</v>
      </c>
    </row>
    <row r="5" spans="1:8" ht="15">
      <c r="A5" s="141" t="s">
        <v>309</v>
      </c>
      <c r="B5" s="138" t="str">
        <f>'Metragens Anual'!D5</f>
        <v>Roçada nas areas internas das unidades escolares municipais</v>
      </c>
      <c r="C5" s="137" t="s">
        <v>332</v>
      </c>
      <c r="D5" s="223">
        <v>20640.18</v>
      </c>
      <c r="E5" s="138">
        <f>Iterm_1_3!F285</f>
        <v>0.41</v>
      </c>
      <c r="F5" s="142">
        <f>E5*D5</f>
        <v>8462.4699999999993</v>
      </c>
      <c r="G5" s="142">
        <f>Iterm_1_3!F289</f>
        <v>8462.4699999999993</v>
      </c>
    </row>
    <row r="6" spans="1:8" ht="15">
      <c r="A6" s="227" t="s">
        <v>333</v>
      </c>
      <c r="B6" s="227"/>
      <c r="C6" s="227"/>
      <c r="D6" s="227"/>
      <c r="E6" s="227"/>
      <c r="F6" s="228">
        <f>SUM(F3:F5)</f>
        <v>202228.55</v>
      </c>
      <c r="G6" s="228">
        <f>SUM(G3:G5)</f>
        <v>202228.55</v>
      </c>
    </row>
    <row r="7" spans="1:8" ht="15">
      <c r="A7" s="309" t="s">
        <v>323</v>
      </c>
      <c r="B7" s="310"/>
      <c r="C7" s="310"/>
      <c r="D7" s="310"/>
      <c r="E7" s="311"/>
      <c r="F7" s="225">
        <f>F6</f>
        <v>202228.55</v>
      </c>
      <c r="G7" s="225">
        <f>G6</f>
        <v>202228.55</v>
      </c>
    </row>
    <row r="9" spans="1:8">
      <c r="G9" s="246"/>
    </row>
    <row r="10" spans="1:8" ht="15.75">
      <c r="A10" s="312" t="s">
        <v>475</v>
      </c>
      <c r="B10" s="312"/>
      <c r="C10" s="312"/>
      <c r="D10" s="312"/>
      <c r="E10" s="312"/>
    </row>
    <row r="11" spans="1:8" ht="45">
      <c r="A11" s="266" t="s">
        <v>480</v>
      </c>
      <c r="B11" s="267" t="s">
        <v>476</v>
      </c>
      <c r="C11" s="262" t="s">
        <v>477</v>
      </c>
      <c r="D11" s="262" t="s">
        <v>478</v>
      </c>
      <c r="E11" s="262" t="s">
        <v>479</v>
      </c>
    </row>
    <row r="12" spans="1:8">
      <c r="A12" s="220" t="s">
        <v>463</v>
      </c>
      <c r="B12" s="220">
        <v>2</v>
      </c>
      <c r="C12" s="220">
        <v>21765.8</v>
      </c>
      <c r="D12" s="220">
        <f>B12*C12</f>
        <v>43531.6</v>
      </c>
      <c r="E12" s="252">
        <f>D12*0.41</f>
        <v>17847.96</v>
      </c>
    </row>
    <row r="13" spans="1:8">
      <c r="A13" s="220" t="s">
        <v>464</v>
      </c>
      <c r="B13" s="220">
        <v>2</v>
      </c>
      <c r="C13" s="220">
        <v>21765.8</v>
      </c>
      <c r="D13" s="220">
        <f t="shared" ref="D13:D23" si="0">B13*C13</f>
        <v>43531.6</v>
      </c>
      <c r="E13" s="252">
        <f t="shared" ref="E13:E23" si="1">D13*0.41</f>
        <v>17847.96</v>
      </c>
    </row>
    <row r="14" spans="1:8">
      <c r="A14" s="220" t="s">
        <v>465</v>
      </c>
      <c r="B14" s="220">
        <v>2</v>
      </c>
      <c r="C14" s="220">
        <v>21765.8</v>
      </c>
      <c r="D14" s="220">
        <f t="shared" si="0"/>
        <v>43531.6</v>
      </c>
      <c r="E14" s="252">
        <f t="shared" si="1"/>
        <v>17847.96</v>
      </c>
    </row>
    <row r="15" spans="1:8">
      <c r="A15" s="220" t="s">
        <v>466</v>
      </c>
      <c r="B15" s="220">
        <v>2</v>
      </c>
      <c r="C15" s="220">
        <v>21765.8</v>
      </c>
      <c r="D15" s="220">
        <f t="shared" si="0"/>
        <v>43531.6</v>
      </c>
      <c r="E15" s="252">
        <f t="shared" si="1"/>
        <v>17847.96</v>
      </c>
    </row>
    <row r="16" spans="1:8">
      <c r="A16" s="220" t="s">
        <v>467</v>
      </c>
      <c r="B16" s="220">
        <v>1</v>
      </c>
      <c r="C16" s="220">
        <v>21765.8</v>
      </c>
      <c r="D16" s="220">
        <f t="shared" si="0"/>
        <v>21765.8</v>
      </c>
      <c r="E16" s="252">
        <v>8923.9699999999993</v>
      </c>
    </row>
    <row r="17" spans="1:5">
      <c r="A17" s="220" t="s">
        <v>468</v>
      </c>
      <c r="B17" s="220">
        <v>1</v>
      </c>
      <c r="C17" s="220">
        <v>21765.8</v>
      </c>
      <c r="D17" s="220">
        <f t="shared" si="0"/>
        <v>21765.8</v>
      </c>
      <c r="E17" s="252">
        <v>8923.9699999999993</v>
      </c>
    </row>
    <row r="18" spans="1:5">
      <c r="A18" s="220" t="s">
        <v>469</v>
      </c>
      <c r="B18" s="220">
        <v>1</v>
      </c>
      <c r="C18" s="220">
        <v>21765.8</v>
      </c>
      <c r="D18" s="220">
        <f t="shared" si="0"/>
        <v>21765.8</v>
      </c>
      <c r="E18" s="252">
        <v>8923.9699999999993</v>
      </c>
    </row>
    <row r="19" spans="1:5">
      <c r="A19" s="220" t="s">
        <v>470</v>
      </c>
      <c r="B19" s="220">
        <v>1</v>
      </c>
      <c r="C19" s="220">
        <v>21765.8</v>
      </c>
      <c r="D19" s="220">
        <f t="shared" si="0"/>
        <v>21765.8</v>
      </c>
      <c r="E19" s="252">
        <v>8923.9699999999993</v>
      </c>
    </row>
    <row r="20" spans="1:5">
      <c r="A20" s="220" t="s">
        <v>471</v>
      </c>
      <c r="B20" s="220">
        <v>2</v>
      </c>
      <c r="C20" s="220">
        <v>21765.8</v>
      </c>
      <c r="D20" s="220">
        <f t="shared" si="0"/>
        <v>43531.6</v>
      </c>
      <c r="E20" s="252">
        <f t="shared" si="1"/>
        <v>17847.96</v>
      </c>
    </row>
    <row r="21" spans="1:5">
      <c r="A21" s="220" t="s">
        <v>472</v>
      </c>
      <c r="B21" s="220">
        <v>2</v>
      </c>
      <c r="C21" s="220">
        <v>21765.8</v>
      </c>
      <c r="D21" s="220">
        <f t="shared" si="0"/>
        <v>43531.6</v>
      </c>
      <c r="E21" s="252">
        <f t="shared" si="1"/>
        <v>17847.96</v>
      </c>
    </row>
    <row r="22" spans="1:5">
      <c r="A22" s="220" t="s">
        <v>473</v>
      </c>
      <c r="B22" s="220">
        <v>2</v>
      </c>
      <c r="C22" s="220">
        <v>21765.8</v>
      </c>
      <c r="D22" s="220">
        <f t="shared" si="0"/>
        <v>43531.6</v>
      </c>
      <c r="E22" s="252">
        <f t="shared" si="1"/>
        <v>17847.96</v>
      </c>
    </row>
    <row r="23" spans="1:5">
      <c r="A23" s="220" t="s">
        <v>474</v>
      </c>
      <c r="B23" s="220">
        <v>2</v>
      </c>
      <c r="C23" s="220">
        <v>21765.8</v>
      </c>
      <c r="D23" s="220">
        <f t="shared" si="0"/>
        <v>43531.6</v>
      </c>
      <c r="E23" s="252">
        <f t="shared" si="1"/>
        <v>17847.96</v>
      </c>
    </row>
    <row r="24" spans="1:5" ht="15">
      <c r="D24" s="264">
        <f>SUM(D12:D23)</f>
        <v>435316</v>
      </c>
      <c r="E24" s="265">
        <f>SUM(E12:E23)</f>
        <v>178479.56</v>
      </c>
    </row>
    <row r="26" spans="1:5" ht="15.75">
      <c r="A26" s="312" t="s">
        <v>481</v>
      </c>
      <c r="B26" s="312"/>
      <c r="C26" s="312"/>
      <c r="D26" s="312"/>
      <c r="E26" s="312"/>
    </row>
    <row r="27" spans="1:5" ht="45">
      <c r="A27" s="266" t="s">
        <v>480</v>
      </c>
      <c r="B27" s="267" t="s">
        <v>476</v>
      </c>
      <c r="C27" s="262" t="s">
        <v>477</v>
      </c>
      <c r="D27" s="262" t="s">
        <v>478</v>
      </c>
      <c r="E27" s="262" t="s">
        <v>479</v>
      </c>
    </row>
    <row r="28" spans="1:5">
      <c r="A28" s="220" t="s">
        <v>463</v>
      </c>
      <c r="B28" s="220">
        <v>2</v>
      </c>
      <c r="C28" s="220">
        <v>1864.21</v>
      </c>
      <c r="D28" s="220">
        <f>C28*B28</f>
        <v>3728.42</v>
      </c>
      <c r="E28" s="252">
        <f>D28*$E$4</f>
        <v>1528.65</v>
      </c>
    </row>
    <row r="29" spans="1:5">
      <c r="A29" s="220" t="s">
        <v>464</v>
      </c>
      <c r="B29" s="220">
        <v>2</v>
      </c>
      <c r="C29" s="220">
        <v>1864.21</v>
      </c>
      <c r="D29" s="220">
        <f t="shared" ref="D29:D39" si="2">C29*B29</f>
        <v>3728.42</v>
      </c>
      <c r="E29" s="252">
        <f t="shared" ref="E29:E39" si="3">D29*$E$4</f>
        <v>1528.65</v>
      </c>
    </row>
    <row r="30" spans="1:5">
      <c r="A30" s="220" t="s">
        <v>465</v>
      </c>
      <c r="B30" s="220">
        <v>2</v>
      </c>
      <c r="C30" s="220">
        <v>1864.21</v>
      </c>
      <c r="D30" s="220">
        <f t="shared" si="2"/>
        <v>3728.42</v>
      </c>
      <c r="E30" s="252">
        <f t="shared" si="3"/>
        <v>1528.65</v>
      </c>
    </row>
    <row r="31" spans="1:5">
      <c r="A31" s="220" t="s">
        <v>466</v>
      </c>
      <c r="B31" s="220">
        <v>2</v>
      </c>
      <c r="C31" s="220">
        <v>1864.21</v>
      </c>
      <c r="D31" s="220">
        <f t="shared" si="2"/>
        <v>3728.42</v>
      </c>
      <c r="E31" s="252">
        <f t="shared" si="3"/>
        <v>1528.65</v>
      </c>
    </row>
    <row r="32" spans="1:5">
      <c r="A32" s="220" t="s">
        <v>467</v>
      </c>
      <c r="B32" s="220">
        <v>1</v>
      </c>
      <c r="C32" s="220">
        <v>1864.21</v>
      </c>
      <c r="D32" s="220">
        <f t="shared" si="2"/>
        <v>1864.21</v>
      </c>
      <c r="E32" s="252">
        <f t="shared" si="3"/>
        <v>764.33</v>
      </c>
    </row>
    <row r="33" spans="1:5">
      <c r="A33" s="220" t="s">
        <v>468</v>
      </c>
      <c r="B33" s="220">
        <v>1</v>
      </c>
      <c r="C33" s="220">
        <v>1864.21</v>
      </c>
      <c r="D33" s="220">
        <f t="shared" si="2"/>
        <v>1864.21</v>
      </c>
      <c r="E33" s="252">
        <f t="shared" si="3"/>
        <v>764.33</v>
      </c>
    </row>
    <row r="34" spans="1:5">
      <c r="A34" s="220" t="s">
        <v>469</v>
      </c>
      <c r="B34" s="220">
        <v>1</v>
      </c>
      <c r="C34" s="220">
        <v>1864.21</v>
      </c>
      <c r="D34" s="220">
        <f>C34*B34</f>
        <v>1864.21</v>
      </c>
      <c r="E34" s="252">
        <f t="shared" si="3"/>
        <v>764.33</v>
      </c>
    </row>
    <row r="35" spans="1:5">
      <c r="A35" s="220" t="s">
        <v>470</v>
      </c>
      <c r="B35" s="220">
        <v>1</v>
      </c>
      <c r="C35" s="220">
        <v>1864.21</v>
      </c>
      <c r="D35" s="220">
        <f t="shared" si="2"/>
        <v>1864.21</v>
      </c>
      <c r="E35" s="252">
        <f t="shared" si="3"/>
        <v>764.33</v>
      </c>
    </row>
    <row r="36" spans="1:5">
      <c r="A36" s="220" t="s">
        <v>471</v>
      </c>
      <c r="B36" s="220">
        <v>2</v>
      </c>
      <c r="C36" s="220">
        <v>1864.21</v>
      </c>
      <c r="D36" s="220">
        <f t="shared" si="2"/>
        <v>3728.42</v>
      </c>
      <c r="E36" s="252">
        <f t="shared" si="3"/>
        <v>1528.65</v>
      </c>
    </row>
    <row r="37" spans="1:5">
      <c r="A37" s="220" t="s">
        <v>472</v>
      </c>
      <c r="B37" s="220">
        <v>2</v>
      </c>
      <c r="C37" s="220">
        <v>1864.21</v>
      </c>
      <c r="D37" s="220">
        <f t="shared" si="2"/>
        <v>3728.42</v>
      </c>
      <c r="E37" s="252">
        <f>D37*$E$4</f>
        <v>1528.65</v>
      </c>
    </row>
    <row r="38" spans="1:5">
      <c r="A38" s="220" t="s">
        <v>473</v>
      </c>
      <c r="B38" s="220">
        <v>2</v>
      </c>
      <c r="C38" s="220">
        <v>1864.21</v>
      </c>
      <c r="D38" s="220">
        <f t="shared" si="2"/>
        <v>3728.42</v>
      </c>
      <c r="E38" s="252">
        <f t="shared" si="3"/>
        <v>1528.65</v>
      </c>
    </row>
    <row r="39" spans="1:5">
      <c r="A39" s="220" t="s">
        <v>474</v>
      </c>
      <c r="B39" s="220">
        <v>2</v>
      </c>
      <c r="C39" s="220">
        <v>1864.21</v>
      </c>
      <c r="D39" s="220">
        <f t="shared" si="2"/>
        <v>3728.42</v>
      </c>
      <c r="E39" s="252">
        <f t="shared" si="3"/>
        <v>1528.65</v>
      </c>
    </row>
    <row r="40" spans="1:5" ht="15">
      <c r="D40" s="230">
        <f>SUM(D28:D39)</f>
        <v>37284.199999999997</v>
      </c>
      <c r="E40" s="263">
        <f>SUM(E28:E39)</f>
        <v>15286.52</v>
      </c>
    </row>
    <row r="41" spans="1:5" ht="15">
      <c r="D41" s="268"/>
      <c r="E41" s="269"/>
    </row>
    <row r="42" spans="1:5" ht="15.75">
      <c r="A42" s="313" t="s">
        <v>486</v>
      </c>
      <c r="B42" s="313"/>
      <c r="C42" s="313"/>
      <c r="D42" s="313"/>
      <c r="E42" s="313"/>
    </row>
    <row r="43" spans="1:5" ht="45">
      <c r="A43" s="266" t="s">
        <v>482</v>
      </c>
      <c r="B43" s="267" t="s">
        <v>483</v>
      </c>
      <c r="C43" s="262" t="s">
        <v>477</v>
      </c>
      <c r="D43" s="262" t="s">
        <v>484</v>
      </c>
      <c r="E43" s="262" t="s">
        <v>485</v>
      </c>
    </row>
    <row r="44" spans="1:5">
      <c r="A44" s="220">
        <v>1</v>
      </c>
      <c r="B44" s="220">
        <v>1</v>
      </c>
      <c r="C44" s="220">
        <v>3440.03</v>
      </c>
      <c r="D44" s="220">
        <f>C44*B44</f>
        <v>3440.03</v>
      </c>
      <c r="E44" s="271">
        <f>D44*$E$5</f>
        <v>1410.412</v>
      </c>
    </row>
    <row r="45" spans="1:5">
      <c r="A45" s="220">
        <v>2</v>
      </c>
      <c r="B45" s="220">
        <v>1</v>
      </c>
      <c r="C45" s="220">
        <v>3440.03</v>
      </c>
      <c r="D45" s="220">
        <f t="shared" ref="D45:D49" si="4">C45*B45</f>
        <v>3440.03</v>
      </c>
      <c r="E45" s="271">
        <f t="shared" ref="E45:E49" si="5">D45*$E$5</f>
        <v>1410.412</v>
      </c>
    </row>
    <row r="46" spans="1:5">
      <c r="A46" s="220">
        <v>3</v>
      </c>
      <c r="B46" s="220">
        <v>1</v>
      </c>
      <c r="C46" s="220">
        <v>3440.03</v>
      </c>
      <c r="D46" s="220">
        <f t="shared" si="4"/>
        <v>3440.03</v>
      </c>
      <c r="E46" s="271">
        <f t="shared" si="5"/>
        <v>1410.412</v>
      </c>
    </row>
    <row r="47" spans="1:5">
      <c r="A47" s="220">
        <v>4</v>
      </c>
      <c r="B47" s="220">
        <v>1</v>
      </c>
      <c r="C47" s="220">
        <v>3440.03</v>
      </c>
      <c r="D47" s="220">
        <f t="shared" si="4"/>
        <v>3440.03</v>
      </c>
      <c r="E47" s="271">
        <f t="shared" si="5"/>
        <v>1410.412</v>
      </c>
    </row>
    <row r="48" spans="1:5">
      <c r="A48" s="220">
        <v>5</v>
      </c>
      <c r="B48" s="220">
        <v>1</v>
      </c>
      <c r="C48" s="220">
        <v>3440.03</v>
      </c>
      <c r="D48" s="220">
        <f t="shared" si="4"/>
        <v>3440.03</v>
      </c>
      <c r="E48" s="271">
        <f t="shared" si="5"/>
        <v>1410.412</v>
      </c>
    </row>
    <row r="49" spans="1:5">
      <c r="A49" s="220">
        <v>6</v>
      </c>
      <c r="B49" s="220">
        <v>1</v>
      </c>
      <c r="C49" s="220">
        <v>3440.03</v>
      </c>
      <c r="D49" s="220">
        <f t="shared" si="4"/>
        <v>3440.03</v>
      </c>
      <c r="E49" s="271">
        <f t="shared" si="5"/>
        <v>1410.412</v>
      </c>
    </row>
    <row r="50" spans="1:5" ht="15">
      <c r="D50" s="230">
        <f>SUM(D44:D49)</f>
        <v>20640.18</v>
      </c>
      <c r="E50" s="270">
        <f>D50*0.41</f>
        <v>8462.4699999999993</v>
      </c>
    </row>
  </sheetData>
  <mergeCells count="5">
    <mergeCell ref="A1:G1"/>
    <mergeCell ref="A7:E7"/>
    <mergeCell ref="A10:E10"/>
    <mergeCell ref="A26:E26"/>
    <mergeCell ref="A42:E42"/>
  </mergeCells>
  <phoneticPr fontId="38" type="noConversion"/>
  <pageMargins left="0.98425196850393692" right="0.511811023622047" top="0.78740157480315021" bottom="0.78740157480315021" header="0.31496062992126012" footer="0.31496062992126012"/>
  <pageSetup paperSize="9" fitToWidth="0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Planilha7"/>
  <dimension ref="A1:C35"/>
  <sheetViews>
    <sheetView topLeftCell="A10" workbookViewId="0">
      <selection activeCell="B27" sqref="B27"/>
    </sheetView>
  </sheetViews>
  <sheetFormatPr defaultRowHeight="14.65" customHeight="1"/>
  <cols>
    <col min="1" max="1" width="36.875" customWidth="1"/>
    <col min="2" max="2" width="19.25" customWidth="1"/>
    <col min="3" max="3" width="8.25" customWidth="1"/>
    <col min="4" max="1024" width="8" customWidth="1"/>
    <col min="1025" max="1025" width="8.75" customWidth="1"/>
  </cols>
  <sheetData>
    <row r="1" spans="1:3" ht="15.75" customHeight="1">
      <c r="A1" s="143"/>
      <c r="B1" s="314"/>
      <c r="C1" s="314"/>
    </row>
    <row r="2" spans="1:3" ht="14.65" customHeight="1">
      <c r="A2" s="315" t="s">
        <v>334</v>
      </c>
      <c r="B2" s="315"/>
    </row>
    <row r="3" spans="1:3" ht="14.65" customHeight="1">
      <c r="A3" s="144" t="s">
        <v>335</v>
      </c>
      <c r="B3" s="145">
        <v>0.2</v>
      </c>
    </row>
    <row r="4" spans="1:3" ht="14.65" customHeight="1">
      <c r="A4" s="146" t="s">
        <v>336</v>
      </c>
      <c r="B4" s="147">
        <v>1.4999999999999999E-2</v>
      </c>
    </row>
    <row r="5" spans="1:3" ht="14.65" customHeight="1">
      <c r="A5" s="146" t="s">
        <v>337</v>
      </c>
      <c r="B5" s="147">
        <v>0.01</v>
      </c>
    </row>
    <row r="6" spans="1:3" ht="14.65" customHeight="1">
      <c r="A6" s="146" t="s">
        <v>338</v>
      </c>
      <c r="B6" s="147">
        <v>2E-3</v>
      </c>
    </row>
    <row r="7" spans="1:3" ht="14.65" customHeight="1">
      <c r="A7" s="146" t="s">
        <v>339</v>
      </c>
      <c r="B7" s="147">
        <v>2.5000000000000001E-2</v>
      </c>
    </row>
    <row r="8" spans="1:3" ht="14.65" customHeight="1">
      <c r="A8" s="146" t="s">
        <v>340</v>
      </c>
      <c r="B8" s="147">
        <v>0.08</v>
      </c>
    </row>
    <row r="9" spans="1:3" ht="14.65" customHeight="1">
      <c r="A9" s="146" t="s">
        <v>341</v>
      </c>
      <c r="B9" s="147">
        <v>0.03</v>
      </c>
    </row>
    <row r="10" spans="1:3" ht="14.65" customHeight="1">
      <c r="A10" s="146" t="s">
        <v>342</v>
      </c>
      <c r="B10" s="147">
        <v>6.0000000000000001E-3</v>
      </c>
    </row>
    <row r="11" spans="1:3" ht="14.65" customHeight="1">
      <c r="A11" s="148" t="s">
        <v>343</v>
      </c>
      <c r="B11" s="149">
        <f>SUM(B3:B10)</f>
        <v>0.36799999999999999</v>
      </c>
    </row>
    <row r="12" spans="1:3" ht="14.65" customHeight="1">
      <c r="A12" s="315" t="s">
        <v>344</v>
      </c>
      <c r="B12" s="315"/>
    </row>
    <row r="13" spans="1:3" ht="14.65" customHeight="1">
      <c r="A13" s="150" t="s">
        <v>345</v>
      </c>
      <c r="B13" s="151">
        <v>8.3299999999999999E-2</v>
      </c>
    </row>
    <row r="14" spans="1:3" ht="14.65" customHeight="1">
      <c r="A14" s="150" t="s">
        <v>346</v>
      </c>
      <c r="B14" s="151">
        <v>2.7799999999999998E-2</v>
      </c>
    </row>
    <row r="15" spans="1:3" ht="14.65" customHeight="1">
      <c r="A15" s="146" t="s">
        <v>347</v>
      </c>
      <c r="B15" s="151">
        <v>4.0899999999999999E-2</v>
      </c>
    </row>
    <row r="16" spans="1:3" ht="14.65" customHeight="1">
      <c r="A16" s="152" t="s">
        <v>348</v>
      </c>
      <c r="B16" s="149">
        <f>B13+B14+B15</f>
        <v>0.152</v>
      </c>
    </row>
    <row r="17" spans="1:2" ht="14.65" customHeight="1">
      <c r="A17" s="315" t="s">
        <v>349</v>
      </c>
      <c r="B17" s="315"/>
    </row>
    <row r="18" spans="1:2" ht="14.65" customHeight="1">
      <c r="A18" s="146" t="s">
        <v>350</v>
      </c>
      <c r="B18" s="153">
        <v>8.3299999999999999E-2</v>
      </c>
    </row>
    <row r="19" spans="1:2" ht="14.65" customHeight="1">
      <c r="A19" s="146" t="s">
        <v>351</v>
      </c>
      <c r="B19" s="147">
        <v>0</v>
      </c>
    </row>
    <row r="20" spans="1:2" ht="14.65" customHeight="1">
      <c r="A20" s="146" t="s">
        <v>352</v>
      </c>
      <c r="B20" s="147">
        <v>2.0000000000000001E-4</v>
      </c>
    </row>
    <row r="21" spans="1:2" ht="14.65" customHeight="1">
      <c r="A21" s="146" t="s">
        <v>353</v>
      </c>
      <c r="B21" s="147">
        <v>1.66E-2</v>
      </c>
    </row>
    <row r="22" spans="1:2" ht="14.65" customHeight="1">
      <c r="A22" s="146" t="s">
        <v>354</v>
      </c>
      <c r="B22" s="147">
        <v>8.2000000000000007E-3</v>
      </c>
    </row>
    <row r="23" spans="1:2" ht="14.65" customHeight="1">
      <c r="A23" s="146" t="s">
        <v>355</v>
      </c>
      <c r="B23" s="147">
        <v>5.0000000000000001E-4</v>
      </c>
    </row>
    <row r="24" spans="1:2" ht="15.75" customHeight="1">
      <c r="A24" s="146" t="s">
        <v>347</v>
      </c>
      <c r="B24" s="154">
        <v>0.04</v>
      </c>
    </row>
    <row r="25" spans="1:2" ht="14.65" customHeight="1">
      <c r="A25" s="148" t="s">
        <v>356</v>
      </c>
      <c r="B25" s="149">
        <f>SUM(B18:B24)</f>
        <v>0.14879999999999999</v>
      </c>
    </row>
    <row r="26" spans="1:2" ht="14.65" customHeight="1">
      <c r="A26" s="315" t="s">
        <v>357</v>
      </c>
      <c r="B26" s="315"/>
    </row>
    <row r="27" spans="1:2" ht="14.65" customHeight="1">
      <c r="A27" s="146" t="s">
        <v>358</v>
      </c>
      <c r="B27" s="147">
        <v>4.5999999999999999E-3</v>
      </c>
    </row>
    <row r="28" spans="1:2" ht="14.65" customHeight="1">
      <c r="A28" s="146" t="s">
        <v>359</v>
      </c>
      <c r="B28" s="151">
        <v>1.6E-2</v>
      </c>
    </row>
    <row r="29" spans="1:2" ht="14.65" customHeight="1">
      <c r="A29" s="146" t="s">
        <v>360</v>
      </c>
      <c r="B29" s="151">
        <v>2.6599999999999999E-2</v>
      </c>
    </row>
    <row r="30" spans="1:2" ht="14.65" customHeight="1">
      <c r="A30" s="146" t="s">
        <v>361</v>
      </c>
      <c r="B30" s="147">
        <v>0</v>
      </c>
    </row>
    <row r="31" spans="1:2" ht="14.65" customHeight="1">
      <c r="A31" s="146" t="s">
        <v>362</v>
      </c>
      <c r="B31" s="147">
        <v>0</v>
      </c>
    </row>
    <row r="32" spans="1:2" ht="14.65" customHeight="1">
      <c r="A32" s="146" t="s">
        <v>363</v>
      </c>
      <c r="B32" s="147">
        <v>0</v>
      </c>
    </row>
    <row r="33" spans="1:2" ht="14.65" customHeight="1">
      <c r="A33" s="148" t="s">
        <v>364</v>
      </c>
      <c r="B33" s="149">
        <f>SUM(B27:B32)</f>
        <v>4.7199999999999999E-2</v>
      </c>
    </row>
    <row r="34" spans="1:2" ht="14.65" customHeight="1">
      <c r="A34" s="146"/>
      <c r="B34" s="147"/>
    </row>
    <row r="35" spans="1:2" ht="15.75" customHeight="1">
      <c r="A35" s="155" t="s">
        <v>365</v>
      </c>
      <c r="B35" s="156">
        <f>B11+B16+B25+B33</f>
        <v>0.71599999999999997</v>
      </c>
    </row>
  </sheetData>
  <mergeCells count="5">
    <mergeCell ref="B1:C1"/>
    <mergeCell ref="A2:B2"/>
    <mergeCell ref="A12:B12"/>
    <mergeCell ref="A17:B17"/>
    <mergeCell ref="A26:B26"/>
  </mergeCells>
  <pageMargins left="1.1811023622047245" right="0.19685039370078741" top="0.70866141732283472" bottom="0.70866141732283472" header="0.39370078740157483" footer="0.39370078740157483"/>
  <pageSetup paperSize="9" fitToWidth="0" fitToHeight="0" pageOrder="overThenDown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Planilha8"/>
  <dimension ref="A2:H15"/>
  <sheetViews>
    <sheetView workbookViewId="0">
      <selection activeCell="C9" sqref="C9"/>
    </sheetView>
  </sheetViews>
  <sheetFormatPr defaultRowHeight="14.25"/>
  <cols>
    <col min="1" max="1" width="35.625" bestFit="1" customWidth="1"/>
  </cols>
  <sheetData>
    <row r="2" spans="1:8" ht="15" thickBot="1"/>
    <row r="3" spans="1:8" ht="15.75">
      <c r="A3" s="316" t="s">
        <v>366</v>
      </c>
      <c r="B3" s="317"/>
      <c r="C3" s="317"/>
      <c r="D3" s="317"/>
      <c r="E3" s="317"/>
      <c r="F3" s="318"/>
    </row>
    <row r="4" spans="1:8" ht="16.5" thickBot="1">
      <c r="A4" s="157"/>
      <c r="B4" s="158"/>
      <c r="C4" s="158"/>
      <c r="D4" s="158"/>
      <c r="E4" s="158"/>
      <c r="F4" s="159"/>
    </row>
    <row r="5" spans="1:8" ht="15">
      <c r="A5" s="160"/>
      <c r="B5" s="161"/>
      <c r="C5" s="161"/>
      <c r="D5" s="319" t="s">
        <v>367</v>
      </c>
      <c r="E5" s="320"/>
      <c r="F5" s="321"/>
      <c r="G5" s="162"/>
      <c r="H5" s="162"/>
    </row>
    <row r="6" spans="1:8" ht="15" thickBot="1">
      <c r="A6" s="163"/>
      <c r="B6" s="162"/>
      <c r="C6" s="162"/>
      <c r="D6" s="164" t="s">
        <v>368</v>
      </c>
      <c r="E6" s="165" t="s">
        <v>369</v>
      </c>
      <c r="F6" s="166" t="s">
        <v>370</v>
      </c>
      <c r="G6" s="162"/>
      <c r="H6" s="162"/>
    </row>
    <row r="7" spans="1:8">
      <c r="A7" s="167" t="s">
        <v>371</v>
      </c>
      <c r="B7" s="168" t="s">
        <v>372</v>
      </c>
      <c r="C7" s="169">
        <v>0.05</v>
      </c>
      <c r="D7" s="170">
        <v>2.9700000000000001E-2</v>
      </c>
      <c r="E7" s="171">
        <v>5.0799999999999998E-2</v>
      </c>
      <c r="F7" s="172">
        <v>6.2700000000000006E-2</v>
      </c>
      <c r="G7" s="162"/>
      <c r="H7" s="162"/>
    </row>
    <row r="8" spans="1:8">
      <c r="A8" s="173" t="s">
        <v>297</v>
      </c>
      <c r="B8" s="174" t="s">
        <v>373</v>
      </c>
      <c r="C8" s="175">
        <v>0.01</v>
      </c>
      <c r="D8" s="170">
        <f>0.3%+0.56%</f>
        <v>8.6E-3</v>
      </c>
      <c r="E8" s="171">
        <f>0.48%+0.85%</f>
        <v>1.3299999999999999E-2</v>
      </c>
      <c r="F8" s="172">
        <f>0.82%+0.89%</f>
        <v>1.7100000000000001E-2</v>
      </c>
      <c r="G8" s="162"/>
      <c r="H8" s="162"/>
    </row>
    <row r="9" spans="1:8">
      <c r="A9" s="173" t="s">
        <v>374</v>
      </c>
      <c r="B9" s="174" t="s">
        <v>375</v>
      </c>
      <c r="C9" s="175">
        <v>0.08</v>
      </c>
      <c r="D9" s="170">
        <v>7.7799999999999994E-2</v>
      </c>
      <c r="E9" s="171">
        <v>0.1085</v>
      </c>
      <c r="F9" s="172">
        <v>0.13550000000000001</v>
      </c>
      <c r="G9" s="162"/>
      <c r="H9" s="162"/>
    </row>
    <row r="10" spans="1:8" ht="15.75">
      <c r="A10" s="173" t="s">
        <v>298</v>
      </c>
      <c r="B10" s="174" t="s">
        <v>376</v>
      </c>
      <c r="C10" s="197">
        <f>(1+E10)^(E11/252)-1</f>
        <v>2.3E-3</v>
      </c>
      <c r="D10" s="170" t="s">
        <v>377</v>
      </c>
      <c r="E10" s="176">
        <v>0.12</v>
      </c>
      <c r="F10" s="177"/>
      <c r="G10" s="162"/>
      <c r="H10" s="162"/>
    </row>
    <row r="11" spans="1:8">
      <c r="A11" s="173" t="s">
        <v>378</v>
      </c>
      <c r="B11" s="322" t="s">
        <v>379</v>
      </c>
      <c r="C11" s="175">
        <v>0.03</v>
      </c>
      <c r="D11" s="178" t="s">
        <v>380</v>
      </c>
      <c r="E11" s="179">
        <v>5</v>
      </c>
      <c r="F11" s="180"/>
      <c r="G11" s="162"/>
      <c r="H11" s="162"/>
    </row>
    <row r="12" spans="1:8" ht="15" thickBot="1">
      <c r="A12" s="181" t="s">
        <v>381</v>
      </c>
      <c r="B12" s="323"/>
      <c r="C12" s="182">
        <v>3.6499999999999998E-2</v>
      </c>
      <c r="D12" s="183"/>
      <c r="E12" s="184"/>
      <c r="F12" s="180"/>
      <c r="G12" s="162"/>
      <c r="H12" s="162"/>
    </row>
    <row r="13" spans="1:8">
      <c r="A13" s="185" t="s">
        <v>382</v>
      </c>
      <c r="B13" s="186"/>
      <c r="C13" s="187"/>
      <c r="D13" s="183"/>
      <c r="E13" s="184"/>
      <c r="F13" s="180"/>
      <c r="G13" s="162"/>
      <c r="H13" s="162"/>
    </row>
    <row r="14" spans="1:8" ht="15" thickBot="1">
      <c r="A14" s="188" t="s">
        <v>383</v>
      </c>
      <c r="B14" s="189"/>
      <c r="C14" s="190"/>
      <c r="D14" s="183"/>
      <c r="E14" s="184"/>
      <c r="F14" s="180"/>
      <c r="G14" s="162"/>
      <c r="H14" s="162"/>
    </row>
    <row r="15" spans="1:8" ht="15.75" thickBot="1">
      <c r="A15" s="191" t="s">
        <v>384</v>
      </c>
      <c r="B15" s="192"/>
      <c r="C15" s="193">
        <f>ROUND((((1+C7+C8)*(1+C9)*(1+C10))/(1-(C11+C12))-1),4)</f>
        <v>0.22919999999999999</v>
      </c>
      <c r="D15" s="194">
        <v>0.21429999999999999</v>
      </c>
      <c r="E15" s="195">
        <v>0.2717</v>
      </c>
      <c r="F15" s="196">
        <v>0.3362</v>
      </c>
      <c r="G15" s="162"/>
      <c r="H15" s="162"/>
    </row>
  </sheetData>
  <mergeCells count="3">
    <mergeCell ref="A3:F3"/>
    <mergeCell ref="D5:F5"/>
    <mergeCell ref="B11:B12"/>
  </mergeCells>
  <pageMargins left="0.78740157480314965" right="0.51181102362204722" top="0.78740157480314965" bottom="0.78740157480314965" header="0.31496062992125984" footer="0.31496062992125984"/>
  <pageSetup paperSize="9" orientation="portrait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CA113-6396-47A2-9A27-80A29124C1F5}">
  <sheetPr codeName="Planilha10"/>
  <dimension ref="A1:E11"/>
  <sheetViews>
    <sheetView workbookViewId="0">
      <selection activeCell="E12" sqref="E12"/>
    </sheetView>
  </sheetViews>
  <sheetFormatPr defaultRowHeight="14.25"/>
  <cols>
    <col min="1" max="1" width="5.875" customWidth="1"/>
    <col min="2" max="2" width="8.25" customWidth="1"/>
    <col min="3" max="3" width="14" style="250" bestFit="1" customWidth="1"/>
    <col min="4" max="5" width="14" bestFit="1" customWidth="1"/>
  </cols>
  <sheetData>
    <row r="1" spans="1:5" ht="15">
      <c r="A1" s="325"/>
      <c r="B1" s="325"/>
    </row>
    <row r="2" spans="1:5">
      <c r="A2" s="324" t="s">
        <v>427</v>
      </c>
      <c r="B2" s="220" t="s">
        <v>425</v>
      </c>
      <c r="C2" s="252">
        <f>Tot__Itens!F3</f>
        <v>178479.56</v>
      </c>
    </row>
    <row r="3" spans="1:5">
      <c r="A3" s="324"/>
      <c r="B3" s="220" t="s">
        <v>424</v>
      </c>
      <c r="C3" s="252">
        <f>Tot__Itens!F4</f>
        <v>15286.52</v>
      </c>
    </row>
    <row r="4" spans="1:5">
      <c r="A4" s="324"/>
      <c r="B4" s="220" t="s">
        <v>426</v>
      </c>
      <c r="C4" s="252">
        <f>Tot__Itens!F5</f>
        <v>8462.4699999999993</v>
      </c>
    </row>
    <row r="5" spans="1:5" ht="15">
      <c r="A5" s="325" t="s">
        <v>12</v>
      </c>
      <c r="B5" s="325"/>
      <c r="C5" s="253">
        <f>SUM(C2:C4)</f>
        <v>202228.55</v>
      </c>
    </row>
    <row r="7" spans="1:5" ht="15">
      <c r="C7" s="253" t="s">
        <v>429</v>
      </c>
      <c r="D7" s="224" t="s">
        <v>428</v>
      </c>
    </row>
    <row r="8" spans="1:5" ht="15">
      <c r="A8" s="224" t="s">
        <v>425</v>
      </c>
      <c r="B8" s="256">
        <f>Calc_Pess_it_1_1!E11</f>
        <v>0.60729999999999995</v>
      </c>
      <c r="C8" s="253">
        <f>C2*B8</f>
        <v>108390.64</v>
      </c>
      <c r="D8" s="255">
        <f>C2*E8</f>
        <v>70088.92</v>
      </c>
      <c r="E8" s="256">
        <v>0.39269999999999999</v>
      </c>
    </row>
    <row r="9" spans="1:5" ht="15">
      <c r="A9" s="224" t="s">
        <v>424</v>
      </c>
      <c r="B9" s="256">
        <f>Calc_Pess_it_1_2!E11</f>
        <v>0.60729999999999995</v>
      </c>
      <c r="C9" s="253">
        <f>C3*B9</f>
        <v>9283.5</v>
      </c>
      <c r="D9" s="255">
        <f>C3*E9</f>
        <v>6003.02</v>
      </c>
      <c r="E9" s="256">
        <v>0.39269999999999999</v>
      </c>
    </row>
    <row r="10" spans="1:5" ht="15">
      <c r="A10" s="224" t="s">
        <v>426</v>
      </c>
      <c r="B10" s="256">
        <f>Calc_Pess_it_1_3!E11</f>
        <v>0.60729999999999995</v>
      </c>
      <c r="C10" s="253">
        <f>C4*B10</f>
        <v>5139.26</v>
      </c>
      <c r="D10" s="255">
        <f>C4*E10</f>
        <v>3323.21</v>
      </c>
      <c r="E10" s="256">
        <v>0.39269999999999999</v>
      </c>
    </row>
    <row r="11" spans="1:5" ht="15">
      <c r="A11" s="325" t="s">
        <v>430</v>
      </c>
      <c r="B11" s="325"/>
      <c r="C11" s="252">
        <f>SUM(C8:C10)</f>
        <v>122813.4</v>
      </c>
      <c r="D11" s="254">
        <f>SUM(D8:D10)</f>
        <v>79415.149999999994</v>
      </c>
      <c r="E11" s="255">
        <f>C11+D11</f>
        <v>202228.55</v>
      </c>
    </row>
  </sheetData>
  <mergeCells count="4">
    <mergeCell ref="A2:A4"/>
    <mergeCell ref="A5:B5"/>
    <mergeCell ref="A11:B11"/>
    <mergeCell ref="A1:B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2535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11</vt:i4>
      </vt:variant>
    </vt:vector>
  </HeadingPairs>
  <TitlesOfParts>
    <vt:vector size="11" baseType="lpstr">
      <vt:lpstr>Iterm_1_1</vt:lpstr>
      <vt:lpstr>Calc_Pess_it_1_1</vt:lpstr>
      <vt:lpstr>Iterm_1_2</vt:lpstr>
      <vt:lpstr>Calc_Pess_it_1_2</vt:lpstr>
      <vt:lpstr>Iterm_1_3</vt:lpstr>
      <vt:lpstr>Calc_Pess_it_1_3</vt:lpstr>
      <vt:lpstr>Metragens Anual</vt:lpstr>
      <vt:lpstr>Tot__Itens</vt:lpstr>
      <vt:lpstr>Encargos_Sociais</vt:lpstr>
      <vt:lpstr>BDI</vt:lpstr>
      <vt:lpstr>LOTE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 PASSOS SILVEIRA</dc:creator>
  <cp:lastModifiedBy>Informática Prefeitura Municipal de Santa Rosa</cp:lastModifiedBy>
  <cp:revision>673</cp:revision>
  <cp:lastPrinted>2026-05-08T18:19:28Z</cp:lastPrinted>
  <dcterms:created xsi:type="dcterms:W3CDTF">2015-12-28T16:03:59Z</dcterms:created>
  <dcterms:modified xsi:type="dcterms:W3CDTF">2026-08-12T16:49:29Z</dcterms:modified>
</cp:coreProperties>
</file>