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drawings/vmlDrawing1.vml" ContentType="application/vnd.openxmlformats-officedocument.vmlDrawing"/>
  <Override PartName="/xl/drawings/drawing1.xml" ContentType="application/vnd.openxmlformats-officedocument.drawing+xml"/>
  <Override PartName="/xl/drawings/drawing21.xml" ContentType="application/vnd.openxmlformats-officedocument.drawing+xml"/>
  <Override PartName="/xl/drawings/vmlDrawing2.vml" ContentType="application/vnd.openxmlformats-officedocument.vmlDrawing"/>
  <Override PartName="/xl/drawings/vmlDrawing3.vml" ContentType="application/vnd.openxmlformats-officedocument.vmlDrawing"/>
  <Override PartName="/xl/drawings/drawing2.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vmlDrawing4.vml" ContentType="application/vnd.openxmlformats-officedocument.vmlDrawing"/>
  <Override PartName="/xl/drawings/vmlDrawing5.vml" ContentType="application/vnd.openxmlformats-officedocument.vmlDrawing"/>
  <Override PartName="/xl/drawings/drawing13.xml" ContentType="application/vnd.openxmlformats-officedocument.drawing+xml"/>
  <Override PartName="/xl/drawings/vmlDrawing6.vml" ContentType="application/vnd.openxmlformats-officedocument.vmlDrawing"/>
  <Override PartName="/xl/drawings/drawing14.xml" ContentType="application/vnd.openxmlformats-officedocument.drawing+xml"/>
  <Override PartName="/xl/drawings/vmlDrawing7.vml" ContentType="application/vnd.openxmlformats-officedocument.vmlDrawing"/>
  <Override PartName="/xl/drawings/drawing15.xml" ContentType="application/vnd.openxmlformats-officedocument.drawing+xml"/>
  <Override PartName="/xl/drawings/vmlDrawing8.vml" ContentType="application/vnd.openxmlformats-officedocument.vmlDrawing"/>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2.xml" ContentType="application/vnd.openxmlformats-officedocument.drawing+xml"/>
  <Override PartName="/xl/vbaProject.bin" ContentType="application/vnd.ms-office.vbaProject"/>
  <Override PartName="/xl/styles.xml" ContentType="application/vnd.openxmlformats-officedocument.spreadsheetml.styles+xml"/>
  <Override PartName="/xl/comments13.xml" ContentType="application/vnd.openxmlformats-officedocument.spreadsheetml.comment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book.xml" ContentType="application/vnd.ms-excel.sheet.macroEnabled.main+xml"/>
  <Override PartName="/xl/sharedStrings.xml" ContentType="application/vnd.openxmlformats-officedocument.spreadsheetml.sharedStrings+xml"/>
  <Override PartName="/xl/comments3.xml" ContentType="application/vnd.openxmlformats-officedocument.spreadsheetml.comments+xml"/>
  <Override PartName="/xl/media/image1.wmf" ContentType="image/x-wmf"/>
  <Override PartName="/xl/media/image2.wmf" ContentType="image/x-wmf"/>
  <Override PartName="/xl/comments5.xml" ContentType="application/vnd.openxmlformats-officedocument.spreadsheetml.comments+xml"/>
  <Override PartName="/xl/theme/theme1.xml" ContentType="application/vnd.openxmlformats-officedocument.theme+xml"/>
  <Override PartName="/xl/ctrlProps/ctrlProps20.xml" ContentType="application/vnd.ms-excel.controlproperties+xml"/>
  <Override PartName="/xl/ctrlProps/ctrlProps12.xml" ContentType="application/vnd.ms-excel.controlproperties+xml"/>
  <Override PartName="/xl/ctrlProps/ctrlProps3.xml" ContentType="application/vnd.ms-excel.controlproperties+xml"/>
  <Override PartName="/xl/ctrlProps/ctrlProps4.xml" ContentType="application/vnd.ms-excel.controlproperties+xml"/>
  <Override PartName="/xl/ctrlProps/ctrlProps11.xml" ContentType="application/vnd.ms-excel.controlproperties+xml"/>
  <Override PartName="/xl/ctrlProps/ctrlProps8.xml" ContentType="application/vnd.ms-excel.controlproperties+xml"/>
  <Override PartName="/xl/ctrlProps/ctrlProps10.xml" ContentType="application/vnd.ms-excel.controlproperties+xml"/>
  <Override PartName="/xl/ctrlProps/ctrlProps9.xml" ContentType="application/vnd.ms-excel.controlproperties+xml"/>
  <Override PartName="/xl/comments4.xml" ContentType="application/vnd.openxmlformats-officedocument.spreadsheetml.comments+xml"/>
  <Override PartName="/xl/comments6.xml" ContentType="application/vnd.openxmlformats-officedocument.spreadsheetml.comments+xml"/>
  <Override PartName="/xl/comments10.xml" ContentType="application/vnd.openxmlformats-officedocument.spreadsheetml.comments+xml"/>
  <Override PartName="/xl/comments12.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microsoft.com/office/2011/relationships/webextensiontaskpanes" Target="xl/webextensions/taskpanes.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4"/>
  </bookViews>
  <sheets>
    <sheet name="NOVO" sheetId="1" state="visible" r:id="rId4"/>
    <sheet name="MENU" sheetId="2" state="visible" r:id="rId5"/>
    <sheet name="DADOS" sheetId="3" state="visible" r:id="rId6"/>
    <sheet name="BDI" sheetId="4" state="visible" r:id="rId7"/>
    <sheet name="ORÇAMENTO" sheetId="5" state="visible" r:id="rId8"/>
    <sheet name="EVENTOS" sheetId="6" state="visible" r:id="rId9"/>
    <sheet name="CÁLCULO" sheetId="7" state="visible" r:id="rId10"/>
    <sheet name="CRONOPLE" sheetId="8" state="visible" r:id="rId11"/>
    <sheet name="CRONO" sheetId="9" state="visible" r:id="rId12"/>
    <sheet name="QCI" sheetId="10" state="visible" r:id="rId13"/>
    <sheet name="PLE" sheetId="11" state="hidden" r:id="rId14"/>
    <sheet name="BM" sheetId="12" state="hidden" r:id="rId15"/>
    <sheet name="RRE" sheetId="13" state="hidden" r:id="rId16"/>
    <sheet name="OFÍCIO" sheetId="14" state="hidden" r:id="rId17"/>
    <sheet name="PO-PLE" sheetId="15" state="hidden" r:id="rId18"/>
    <sheet name="CFF-PLE" sheetId="16" state="hidden" r:id="rId19"/>
    <sheet name="PO-BM" sheetId="17" state="hidden" r:id="rId20"/>
    <sheet name="CFF-BM" sheetId="18" state="hidden" r:id="rId21"/>
  </sheets>
  <definedNames>
    <definedName function="false" hidden="false" localSheetId="3" name="_xlnm.Print_Area" vbProcedure="false">BDI!$J$1:$S$132</definedName>
    <definedName function="false" hidden="false" localSheetId="3" name="_xlnm.Print_Titles" vbProcedure="false">BDI!$1:$13</definedName>
    <definedName function="false" hidden="true" localSheetId="3" name="_xlnm._FilterDatabase" vbProcedure="false">BDI!$I$11:$I$132</definedName>
    <definedName function="false" hidden="false" localSheetId="11" name="_xlnm.Print_Area" vbProcedure="false">BM!$D$1:$O$36</definedName>
    <definedName function="false" hidden="false" localSheetId="11" name="_xlnm.Print_Titles" vbProcedure="false">BM!$1:$15</definedName>
    <definedName function="false" hidden="true" localSheetId="11" name="_xlnm._FilterDatabase" vbProcedure="false">BM!$C$15:$C$21</definedName>
    <definedName function="false" hidden="false" localSheetId="6" name="_xlnm.Print_Area" vbProcedure="false">CÁLCULO!$E$6:$AA$29</definedName>
    <definedName function="false" hidden="false" localSheetId="6" name="_xlnm.Print_Titles" vbProcedure="false">CÁLCULO!$E:$H,CÁLCULO!$6:$15</definedName>
    <definedName function="false" hidden="true" localSheetId="6" name="_xlnm._FilterDatabase" vbProcedure="false">CÁLCULO!$C$15:$C$21</definedName>
    <definedName function="false" hidden="false" localSheetId="8" name="_xlnm.Print_Area" vbProcedure="false">CRONO!$I$1:$AG$85</definedName>
    <definedName function="false" hidden="false" localSheetId="8" name="_xlnm.Print_Titles" vbProcedure="false">CRONO!$I:$T,CRONO!$1:$13</definedName>
    <definedName function="false" hidden="true" localSheetId="8" name="_xlnm._FilterDatabase" vbProcedure="false">CRONO!$G$13:$G$85</definedName>
    <definedName function="false" hidden="true" localSheetId="7" name="_xlnm._FilterDatabase" vbProcedure="false">CRONOPLE!$A$13:$A$47</definedName>
    <definedName function="false" hidden="false" localSheetId="5" name="_xlnm.Print_Area" vbProcedure="false">EVENTOS!$C$2:$Z$40</definedName>
    <definedName function="false" hidden="true" localSheetId="5" name="_xlnm._FilterDatabase" vbProcedure="false">EVENTOS!$A$13:$A$40</definedName>
    <definedName function="false" hidden="false" localSheetId="1" name="_xlnm.Print_Area" vbProcedure="false">MENU!$A$1:$I$25</definedName>
    <definedName function="false" hidden="false" localSheetId="13" name="_xlnm.Print_Area" vbProcedure="false">OFÍCIO!$A$1:$G$56</definedName>
    <definedName function="false" hidden="false" localSheetId="4" name="_xlnm.Print_Area" vbProcedure="false">ORÇAMENTO!$O$1:$Y$38</definedName>
    <definedName function="false" hidden="false" localSheetId="4" name="_xlnm.Print_Titles" vbProcedure="false">ORÇAMENTO!$1:$15</definedName>
    <definedName function="false" hidden="true" localSheetId="4" name="_xlnm._FilterDatabase" vbProcedure="false">ORÇAMENTO!$L$15:$L$21</definedName>
    <definedName function="false" hidden="false" localSheetId="10" name="_xlnm.Print_Area" vbProcedure="false">PLE!$B$3:$AG$50</definedName>
    <definedName function="false" hidden="false" localSheetId="10" name="_xlnm.Print_Titles" vbProcedure="false">PLE!$B:$E,PLE!$1:$13</definedName>
    <definedName function="false" hidden="true" localSheetId="10" name="_xlnm._FilterDatabase" vbProcedure="false">PLE!$A$13:$A$49</definedName>
    <definedName function="false" hidden="false" localSheetId="9" name="_xlnm.Print_Area" vbProcedure="false">QCI!$D$1:$O$37</definedName>
    <definedName function="false" hidden="false" localSheetId="9" name="_xlnm.Print_Titles" vbProcedure="false">QCI!$1:$13</definedName>
    <definedName function="false" hidden="true" localSheetId="9" name="_xlnm._FilterDatabase" vbProcedure="false">QCI!$C$13:$C$25</definedName>
    <definedName function="false" hidden="false" localSheetId="12" name="_xlnm.Print_Area" vbProcedure="false">RRE!$E$1:$P$49</definedName>
    <definedName function="false" hidden="false" localSheetId="12" name="_xlnm.Print_Titles" vbProcedure="false">RRE!$1:$13</definedName>
    <definedName function="false" hidden="true" localSheetId="12" name="_xlnm._FilterDatabase" vbProcedure="false">RRE!$D$13:$D$30</definedName>
    <definedName function="false" hidden="true" name="ACOMPANHAMENTO" vbProcedure="false">MENU!$J$4</definedName>
    <definedName function="false" hidden="true" name="AdmLocal" vbProcedure="false">CÁLCULO!$A$11</definedName>
    <definedName function="false" hidden="true" name="AUTOEVENTO" vbProcedure="false">CÁLCULO!$A$12</definedName>
    <definedName function="false" hidden="true" name="BDI.ColAux" vbProcedure="false">BDI!$A:$G</definedName>
    <definedName function="false" hidden="true" name="BDI.Erro" vbProcedure="false">BDI!$U$7</definedName>
    <definedName function="false" hidden="true" name="BDI.Filtro" vbProcedure="false">BDI!$I$11:$I$132</definedName>
    <definedName function="false" hidden="true" name="BDI.Opcao" vbProcedure="false">DADOS!$C$18</definedName>
    <definedName function="false" hidden="true" name="BDI.TipoObra" vbProcedure="false">BDI!$A$138:$A$146</definedName>
    <definedName function="false" hidden="true" name="BDI_1.Título" vbProcedure="false">BDI!$J$14</definedName>
    <definedName function="false" hidden="true" name="BDI_2.Título" vbProcedure="false">BDI!$J$54</definedName>
    <definedName function="false" hidden="true" name="BDI_3.Título" vbProcedure="false">BDI!$J$94</definedName>
    <definedName function="false" hidden="true" name="BM.AFAcumulado" vbProcedure="false">BM!$R1</definedName>
    <definedName function="false" hidden="true" name="BM.AFAnterior" vbProcedure="false">BM!$Q1</definedName>
    <definedName function="false" hidden="true" name="BM.CaixaColunas" vbProcedure="false">BM!$Q:$AA</definedName>
    <definedName function="false" hidden="true" name="BM.Erro" vbProcedure="false">BM!$F$10</definedName>
    <definedName function="false" hidden="true" name="BM.Filtro" vbProcedure="false">BM!$C$15:$C$21</definedName>
    <definedName function="false" hidden="true" name="BM.firstrow" vbProcedure="false">BM!$15:$15</definedName>
    <definedName function="false" hidden="true" name="BM.FormulaMed" vbProcedure="false">BM!$AO$7</definedName>
    <definedName function="false" hidden="true" name="BM.lastrow" vbProcedure="false">BM!$21:$21</definedName>
    <definedName function="false" hidden="true" name="BM.LinhaPadrão" vbProcedure="false">BM!$14:$14</definedName>
    <definedName function="false" hidden="true" name="BM.MaxMed" vbProcedure="false">IF(RegimeExecucao="Global",1,BM!$G1)</definedName>
    <definedName function="false" hidden="true" name="RegimeExecucao" vbProcedure="false">IF(OR(Import.RegimeExecução="",Import.RegimeExecução="Empreitada por Preço Global",Import.RegimeExecução="Empreitada Integral"),"Global","Unitário")</definedName>
    <definedName function="false" hidden="true" name="Import.RegimeExecução" vbProcedure="false">OFFSET(DADOS!$D$40,0,-1)</definedName>
    <definedName function="false" hidden="true" name="BM.MCAIXA.Filter" vbProcedure="false">BM!$C$15:$Z$21</definedName>
    <definedName function="false" hidden="true" name="BM.MEDAcumulado" vbProcedure="false">IF(COUNTIF(BM!$AB$13:$AM$13,BM.medicao)&gt;0,SUM(OFFSET(BM!$AB1,0,0,1,MATCH(BM.medicao,BM!$AB$13:$AM$13,0))),0)</definedName>
    <definedName function="false" hidden="true" name="BM.medicao" vbProcedure="false">OFFSET(BM!$O$7,1,0)</definedName>
    <definedName function="false" hidden="true" name="BM.MEDAnterior" vbProcedure="false">IF(COUNTIF(BM!$AB$13:$AM$13,BM.medicao-1)&gt;0,SUM(OFFSET(BM!$AB1,0,0,1,MATCH(BM.medicao-1,BM!$AB$13:$AM$13,0))),0)</definedName>
    <definedName function="false" hidden="true" name="BM.MinMed" vbProcedure="false">IF(RegimeExecucao="Global",-1,-BM!$G1)</definedName>
    <definedName function="false" hidden="true" name="BM.TomadorColunas" vbProcedure="false">BM!$AB:$AN</definedName>
    <definedName function="false" hidden="true" name="BM.Título" vbProcedure="false">BM!$E$1</definedName>
    <definedName function="false" hidden="true" name="Brasao" vbProcedure="false">OFÍCIO!$B$1</definedName>
    <definedName function="false" hidden="true" name="CAIXA.Modo" vbProcedure="false">BM!$A$3</definedName>
    <definedName function="false" hidden="true" name="CRONO.ColAux" vbProcedure="false">CRONO!$M:$R</definedName>
    <definedName function="false" hidden="true" name="CRONO.ColunaPadrão" vbProcedure="false">CRONO!$E:$E</definedName>
    <definedName function="false" hidden="true" name="CRONO.Erro" vbProcedure="false">CRONO!$K$10</definedName>
    <definedName function="false" hidden="true" name="CRONO.Filtro" vbProcedure="false">CRONO!$G$13:$G$85</definedName>
    <definedName function="false" hidden="true" name="CRONO.FirstCol" vbProcedure="false">CRONO!$T:$T</definedName>
    <definedName function="false" hidden="true" name="CRONO.firstrow" vbProcedure="false">CRONO!$13:$13</definedName>
    <definedName function="false" hidden="true" name="CRONO.Frenterow" vbProcedure="false">CRONO!$12:$12</definedName>
    <definedName function="false" hidden="true" name="CRONO.LastCol" vbProcedure="false">CRONO!$AG:$AG</definedName>
    <definedName function="false" hidden="true" name="CRONO.lastrow" vbProcedure="false">CRONO!$68:$68</definedName>
    <definedName function="false" hidden="true" name="CRONO.lastrow2" vbProcedure="false">CRONO!$80:$80</definedName>
    <definedName function="false" hidden="true" name="CRONO.LinhaPadrão" vbProcedure="false">CRONO!$1:$3</definedName>
    <definedName function="false" hidden="true" name="CRONO.LinhasNecessarias" vbProcedure="false">COUNTIF(QCI!$B$13:$B$24,"Manual")+COUNTIF(QCI!$B$13:$B$24,"SemiAuto")+COUNT(ORÇAMENTO.ListaCrono)</definedName>
    <definedName function="false" hidden="true" name="ORÇAMENTO.ListaCrono" vbProcedure="false">OFFSET(ORÇAMENTO!$AD$15,1,0):OFFSET(ORÇAMENTO!$AD$21,-1,0)</definedName>
    <definedName function="false" hidden="true" name="CRONO.Lista.AdmLocal" vbProcedure="false">CRONO!$A$13:$A$68</definedName>
    <definedName function="false" hidden="true" name="CRONO.Lista.Níveis" vbProcedure="false">CRONO!$A$9:$A$11</definedName>
    <definedName function="false" hidden="true" name="CRONO.margemrow" vbProcedure="false">CRONO!$85:$85</definedName>
    <definedName function="false" hidden="true" name="CRONO.MaxParc" vbProcedure="false">CRONO!$H1048576+CRONO!A1</definedName>
    <definedName function="false" hidden="true" name="CRONO.NivelExibicao" vbProcedure="false">CRONO!$H$10</definedName>
    <definedName function="false" hidden="true" name="CRONO.Parcela1" vbProcedure="false">CRONO!$U$12:$U$13</definedName>
    <definedName function="false" hidden="true" name="CRONO.ParcelaFinal" vbProcedure="false">MATCH(100%,CRONO!$U$74:$AG$74,0)</definedName>
    <definedName function="false" hidden="true" name="CRONO.Título" vbProcedure="false">CRONO!$S$4</definedName>
    <definedName function="false" hidden="true" name="CRONOPLE.ColunaPadrão" vbProcedure="false">CRONOPLE!$E:$E</definedName>
    <definedName function="false" hidden="true" name="CRONOPLE.Erro" vbProcedure="false">CRONOPLE!$B$6</definedName>
    <definedName function="false" hidden="true" name="CRONOPLE.Filtro" vbProcedure="false">CRONOPLE!$A$13:$A$47</definedName>
    <definedName function="false" hidden="true" name="CRONOPLE.FirstCol" vbProcedure="false">CRONOPLE!$F:$F</definedName>
    <definedName function="false" hidden="true" name="CRONOPLE.firstrow" vbProcedure="false">CRONOPLE!$15:$15</definedName>
    <definedName function="false" hidden="true" name="CRONOPLE.Frenterow" vbProcedure="false">CRONOPLE!$11:$11</definedName>
    <definedName function="false" hidden="true" name="CRONOPLE.LastCol" vbProcedure="false">CRONOPLE!$AF:$AF</definedName>
    <definedName function="false" hidden="true" name="CRONOPLE.lastrow" vbProcedure="false">CRONOPLE!$33:$33</definedName>
    <definedName function="false" hidden="true" name="CRONOPLE.lastrow2" vbProcedure="false">CRONOPLE!$42:$42</definedName>
    <definedName function="false" hidden="true" name="CRONOPLE.LinhaPadrão" vbProcedure="false">CRONOPLE!$1:$1</definedName>
    <definedName function="false" hidden="true" name="CRONOPLE.Lista.AdmLocal" vbProcedure="false">CRONOPLE!$F$15:$F$33</definedName>
    <definedName function="false" hidden="true" name="CRONOPLE.margemrow" vbProcedure="false">CRONOPLE!$49:$49</definedName>
    <definedName function="false" hidden="true" name="CRONOPLE.Título" vbProcedure="false">CRONOPLE!$G$2</definedName>
    <definedName function="false" hidden="true" name="CRONOPLE.ValorDoEvento" vbProcedure="false">SUMIF(CÁLCULO!$M$15:$M$21,CRONOPLE!$B1,OFFSET(CÁLCULO!$AA$15:$AA$21,0,CRONOPLE!A$12))</definedName>
    <definedName function="false" hidden="true" name="CÁLCULO.AgrupEventos" vbProcedure="false">CÁLCULO!$K1</definedName>
    <definedName function="false" hidden="true" name="CÁLCULO.ColunaPadrão" vbProcedure="false">CÁLCULO!$O:$O</definedName>
    <definedName function="false" hidden="true" name="CÁLCULO.Erro" vbProcedure="false">CÁLCULO!$F$11</definedName>
    <definedName function="false" hidden="true" name="CÁLCULO.Filtro" vbProcedure="false">CÁLCULO!$C$15:$C$21</definedName>
    <definedName function="false" hidden="true" name="CÁLCULO.firstcol" vbProcedure="false">CÁLCULO!$P:$P</definedName>
    <definedName function="false" hidden="true" name="CÁLCULO.firstrow" vbProcedure="false">CÁLCULO!$15:$15</definedName>
    <definedName function="false" hidden="true" name="CÁLCULO.Frenterow" vbProcedure="false">CÁLCULO!$12:$12</definedName>
    <definedName function="false" hidden="true" name="CÁLCULO.FrentesPreenchidas" vbProcedure="false">CÁLCULO!$M$1</definedName>
    <definedName function="false" hidden="true" name="CÁLCULO.lastcol" vbProcedure="false">CÁLCULO!$AA:$AA</definedName>
    <definedName function="false" hidden="true" name="CÁLCULO.lastrow" vbProcedure="false">CÁLCULO!$21:$21</definedName>
    <definedName function="false" hidden="true" name="CÁLCULO.LinhaPadrão" vbProcedure="false">CÁLCULO!$14:$14</definedName>
    <definedName function="false" hidden="true" name="CÁLCULO.margemrow" vbProcedure="false">CÁLCULO!$29:$29</definedName>
    <definedName function="false" hidden="true" name="CÁLCULO.MATRIZ1.ColunaPadrão" vbProcedure="false">CÁLCULO!$AC:$AC</definedName>
    <definedName function="false" hidden="true" name="CÁLCULO.MATRIZ1.firstcol" vbProcedure="false">CÁLCULO!$AA:$AA</definedName>
    <definedName function="false" hidden="true" name="CÁLCULO.MATRIZ1.lastcol" vbProcedure="false">CÁLCULO!$AL:$AL</definedName>
    <definedName function="false" hidden="true" name="CÁLCULO.MATRIZ1.lastrow" vbProcedure="false">CÁLCULO!$21:$21</definedName>
    <definedName function="false" hidden="true" name="CÁLCULO.MATRIZ2.ColunaPadrão" vbProcedure="false">CÁLCULO!$AN:$AN</definedName>
    <definedName function="false" hidden="true" name="CÁLCULO.MATRIZ2.firstcol" vbProcedure="false">CÁLCULO!$AL:$AL</definedName>
    <definedName function="false" hidden="true" name="CÁLCULO.MATRIZ2.lastcol" vbProcedure="false">CÁLCULO!$AW:$AW</definedName>
    <definedName function="false" hidden="true" name="CÁLCULO.MATRIZ2.lastrow" vbProcedure="false">CÁLCULO!$21:$21</definedName>
    <definedName function="false" hidden="true" name="CÁLCULO.MATRIZ3.ColunaPadrão" vbProcedure="false">CÁLCULO!$AY:$AY</definedName>
    <definedName function="false" hidden="true" name="CÁLCULO.MATRIZ3.firstcol" vbProcedure="false">CÁLCULO!$AW:$AW</definedName>
    <definedName function="false" hidden="true" name="CÁLCULO.MATRIZ3.lastcol" vbProcedure="false">CÁLCULO!$BH:$BH</definedName>
    <definedName function="false" hidden="true" name="CÁLCULO.MATRIZ3.lastrow" vbProcedure="false">CÁLCULO!$21:$21</definedName>
    <definedName function="false" hidden="true" name="CÁLCULO.nEvento" vbProcedure="false">CÁLCULO!$M$12</definedName>
    <definedName function="false" hidden="true" name="CÁLCULO.NúmeroDeEventos" vbProcedure="false">IF(AUTOEVENTO&lt;&gt;"manual",MAX(CÁLCULO!$M$15:$M$21),MAX(OFFSET(EVENTOS!$C$1:$C$33,1,0)))</definedName>
    <definedName function="false" hidden="true" name="CÁLCULO.NúmeroDeFrentes" vbProcedure="false">COLUMN(CÁLCULO!$AA$15)-COLUMN(CÁLCULO!$Q$15)</definedName>
    <definedName function="false" hidden="true" name="CÁLCULO.TotalAdmLocal" vbProcedure="false">IF(AUTOEVENTO="manual",SUMIF(CÁLCULO!$M$15:$M$21,1,ORÇAMENTO!$X$15:$X$21),0)</definedName>
    <definedName function="false" hidden="true" name="CÁLCULO.Título" vbProcedure="false">CÁLCULO!$F$6</definedName>
    <definedName function="false" hidden="true" name="DADOS.ColAux" vbProcedure="false">DADOS!$G:$AW</definedName>
    <definedName function="false" hidden="true" name="DADOS.Erro" vbProcedure="false">DADOS!$D$1</definedName>
    <definedName function="false" hidden="true" name="DADOS.Lista.Arredondamento" vbProcedure="false">DADOS!$J$2:$J$3</definedName>
    <definedName function="false" hidden="true" name="DADOS.Lista.FonteRecursos" vbProcedure="false">DADOS!$G$2:$G$4</definedName>
    <definedName function="false" hidden="true" name="DADOS.Lista.RegimeExecução" vbProcedure="false">DADOS!$I$2:$I$9</definedName>
    <definedName function="false" hidden="true" name="DADOS.Lista.RegimePreviden" vbProcedure="false">DADOS!$H$2:$H$5</definedName>
    <definedName function="false" hidden="true" name="DESONERACAO" vbProcedure="false">IF(OR(Import.Desoneracao="DESONERADO",Import.Desoneracao="SIM"),"SIM","NÃO")</definedName>
    <definedName function="false" hidden="true" name="Import.Desoneracao" vbProcedure="false">OFFSET(DADOS!$D$18,0,-1)</definedName>
    <definedName function="false" hidden="true" name="EVENTOS.ColunaPadrão" vbProcedure="false">EVENTOS!$E:$E</definedName>
    <definedName function="false" hidden="true" name="EVENTOS.Erro" vbProcedure="false">EVENTOS!$F$6</definedName>
    <definedName function="false" hidden="true" name="EVENTOS.Filtro" vbProcedure="false">EVENTOS!$A$13:$A$40</definedName>
    <definedName function="false" hidden="true" name="EVENTOS.firstcol" vbProcedure="false">EVENTOS!$G:$G</definedName>
    <definedName function="false" hidden="true" name="EVENTOS.firstrow" vbProcedure="false">EVENTOS!$15:$15</definedName>
    <definedName function="false" hidden="true" name="EVENTOS.FrenteRow" vbProcedure="false">EVENTOS!$10:$10</definedName>
    <definedName function="false" hidden="true" name="EVENTOS.LastCol" vbProcedure="false">EVENTOS!$Z:$Z</definedName>
    <definedName function="false" hidden="true" name="EVENTOS.lastrow" vbProcedure="false">EVENTOS!$33:$33</definedName>
    <definedName function="false" hidden="true" name="EVENTOS.LinhaPadrão" vbProcedure="false">EVENTOS!$1:$1</definedName>
    <definedName function="false" hidden="true" name="EVENTOS.Lista" vbProcedure="false">EVENTOS!$C$15:OFFSET(EVENTOS!$C$33,-1,0)</definedName>
    <definedName function="false" hidden="true" name="EVENTOS.Lista.Agrupar" vbProcedure="false">EVENTOS!$B$6:$B$9</definedName>
    <definedName function="false" hidden="true" name="EVENTOS.ListaValidacao" vbProcedure="false">EVENTOS!$B$15:OFFSET(EVENTOS!$B$33,-1,0)</definedName>
    <definedName function="false" hidden="true" name="EVENTOS.Manual.Preenchidos" vbProcedure="false">EVENTOS!$C$10</definedName>
    <definedName function="false" hidden="true" name="EVENTOS.MargemRow" vbProcedure="false">EVENTOS!$40:$40</definedName>
    <definedName function="false" hidden="true" name="EVENTOS.Título" vbProcedure="false">EVENTOS!$F$2</definedName>
    <definedName function="false" hidden="true" name="Excel_BuiltIn_Database" vbProcedure="false">TEXT(Import.DataBase,"mm-aaaa")</definedName>
    <definedName function="false" hidden="true" name="Import.DataBase" vbProcedure="false">OFFSET(DADOS!$D$19,0,-1)</definedName>
    <definedName function="false" hidden="true" name="Import.Apelido" vbProcedure="false">DADOS!$C$16</definedName>
    <definedName function="false" hidden="true" name="Import.BDI.Det1" vbProcedure="false">BDI!$S$21:$S$26</definedName>
    <definedName function="false" hidden="true" name="Import.BDI.Det2" vbProcedure="false">BDI!$S$61:$S$66</definedName>
    <definedName function="false" hidden="true" name="Import.BDI.Det3" vbProcedure="false">BDI!$S$101:$S$106</definedName>
    <definedName function="false" hidden="true" name="Import.BDI.ISS" vbProcedure="false">BDI!$R$10:$S$11</definedName>
    <definedName function="false" hidden="true" name="Import.BDI.Obs1" vbProcedure="false">BDI!$J$43</definedName>
    <definedName function="false" hidden="true" name="Import.BDI.Obs2" vbProcedure="false">BDI!$J$83</definedName>
    <definedName function="false" hidden="true" name="Import.BDI.Obs3" vbProcedure="false">BDI!$J$123</definedName>
    <definedName function="false" hidden="true" name="Import.BDI.Tipo1" vbProcedure="false">BDI!$J$17</definedName>
    <definedName function="false" hidden="true" name="Import.BDI.Tipo2" vbProcedure="false">BDI!$J$57</definedName>
    <definedName function="false" hidden="true" name="Import.BDI.Tipo3" vbProcedure="false">BDI!$J$97</definedName>
    <definedName function="false" hidden="true" name="Import.BM.Datas" vbProcedure="false">BM!$AB$12:$AM$12</definedName>
    <definedName function="false" hidden="true" name="Import.BM.Obs" vbProcedure="false">BM!$D$24</definedName>
    <definedName function="false" hidden="true" name="Import.BMAFAcumulado" vbProcedure="false">OFFSET(BM!$R$15,1,0):OFFSET(BM!$R$21,-1,0)</definedName>
    <definedName function="false" hidden="true" name="Import.BMArred" vbProcedure="false">BM!$A$9</definedName>
    <definedName function="false" hidden="true" name="Import.CNPJ" vbProcedure="false">DADOS!$C$39</definedName>
    <definedName function="false" hidden="true" name="Import.Contrapartida" vbProcedure="false">DADOS!$C$10</definedName>
    <definedName function="false" hidden="true" name="Import.CPMaxPerc" vbProcedure="false">DADOS!$C$13</definedName>
    <definedName function="false" hidden="true" name="Import.CPMinAbsoluta" vbProcedure="false">DADOS!$C$12</definedName>
    <definedName function="false" hidden="true" name="Import.CPMinPerc" vbProcedure="false">DADOS!$C$11</definedName>
    <definedName function="false" hidden="true" name="Import.CR" vbProcedure="false">DADOS!$C$7</definedName>
    <definedName function="false" hidden="true" name="Import.CRONOPLE" vbProcedure="false">OFFSET(CRONOPLE!$F$15,1,1):OFFSET(CRONOPLE!$AF$33,-1,-1)</definedName>
    <definedName function="false" hidden="true" name="Import.CTEF" vbProcedure="false">DADOS!$C$37</definedName>
    <definedName function="false" hidden="true" name="Import.CustoUnitário" vbProcedure="false">OFFSET(ORÇAMENTO!$U$15,1,0):OFFSET(ORÇAMENTO!$U$21,-1,0)</definedName>
    <definedName function="false" hidden="true" name="Import.Código" vbProcedure="false">OFFSET(ORÇAMENTO!$Q$15,1,0):OFFSET(ORÇAMENTO!$Q$21,-1,0)</definedName>
    <definedName function="false" hidden="true" name="Import.DataBaseLicit" vbProcedure="false">OFFSET(DADOS!$D$41,0,-1)</definedName>
    <definedName function="false" hidden="true" name="Import.DataEmissaoLicit" vbProcedure="false">DADOS!$C$36</definedName>
    <definedName function="false" hidden="true" name="Import.DataFechaRRE" vbProcedure="false">DADOS!$C$48</definedName>
    <definedName function="false" hidden="true" name="Import.DataInicioObra" vbProcedure="false">DADOS!$C$47</definedName>
    <definedName function="false" hidden="true" name="Import.DataPreenchimento" vbProcedure="false">OFFSET(DADOS!$D$25,0,-1)</definedName>
    <definedName function="false" hidden="true" name="Import.DescLote" vbProcedure="false">DADOS!$C$17</definedName>
    <definedName function="false" hidden="true" name="Import.Descrição" vbProcedure="false">OFFSET(ORÇAMENTO!$R$15,1,0):OFFSET(ORÇAMENTO!$R$21,-1,0)</definedName>
    <definedName function="false" hidden="true" name="Import.empresa" vbProcedure="false">DADOS!$C$38</definedName>
    <definedName function="false" hidden="true" name="Import.EventoAdmLocal" vbProcedure="false">CRONOPLE!$B$8</definedName>
    <definedName function="false" hidden="true" name="Import.Eventos.Nomes" vbProcedure="false">OFFSET(EVENTOS!$D$15,1,0):OFFSET(EVENTOS!$D$33,-1,0)</definedName>
    <definedName function="false" hidden="true" name="Import.Eventos.Nível" vbProcedure="false">EVENTOS!$C$8</definedName>
    <definedName function="false" hidden="true" name="Import.Fonte" vbProcedure="false">OFFSET(ORÇAMENTO!$P$15,1,0):OFFSET(ORÇAMENTO!$P$21,-1,0)</definedName>
    <definedName function="false" hidden="true" name="Import.FrenteDeObra" vbProcedure="false">CÁLCULO!$Q$12:OFFSET(CÁLCULO!$AA$12,0,-1)</definedName>
    <definedName function="false" hidden="true" name="Import.MacrosserviçoAdmLocal" vbProcedure="false">CRONO!$H$79</definedName>
    <definedName function="false" hidden="true" name="Import.Município" vbProcedure="false">DADOS!$C$6</definedName>
    <definedName function="false" hidden="true" name="Import.Nível" vbProcedure="false">OFFSET(ORÇAMENTO!$M$15,1,0):OFFSET(ORÇAMENTO!$M$21,-1,0)</definedName>
    <definedName function="false" hidden="true" name="Import.Ofício.Dest" vbProcedure="false">OFÍCIO!$B$11</definedName>
    <definedName function="false" hidden="true" name="Import.Ofício.GIGOV" vbProcedure="false">OFÍCIO!$C$11</definedName>
    <definedName function="false" hidden="true" name="Import.Ofício.Num" vbProcedure="false">OFÍCIO!$C$6</definedName>
    <definedName function="false" hidden="true" name="Import.OpcaoBDI" vbProcedure="false">OFFSET(ORÇAMENTO!$V$15,1,0):OFFSET(ORÇAMENTO!$V$21,-1,0)</definedName>
    <definedName function="false" hidden="true" name="Import.ORÇAMENTO.DivRecurso" vbProcedure="false">OFFSET(ORÇAMENTO!$Y$15,1,0):OFFSET(ORÇAMENTO!$Y$21,-1,0)</definedName>
    <definedName function="false" hidden="true" name="Import.ORÇAMENTO.Obs" vbProcedure="false">ORÇAMENTO!$O$27</definedName>
    <definedName function="false" hidden="true" name="Import.PLE" vbProcedure="false">OFFSET(PLE!$G$15,1,1):OFFSET(PLE!$AG$33,-1,-1)</definedName>
    <definedName function="false" hidden="true" name="Import.PLE.Datas" vbProcedure="false">PLE!$I$36:$AF$36</definedName>
    <definedName function="false" hidden="true" name="Import.PLQ" vbProcedure="false">OFFSET(CÁLCULO!$P$15,1,1):OFFSET(CÁLCULO!$AA$21,-1,-1)</definedName>
    <definedName function="false" hidden="true" name="Import.PLQ.MemCalc" vbProcedure="false">OFFSET(CÁLCULO!$I$15,1,0):OFFSET(CÁLCULO!$I$21,-1,0)</definedName>
    <definedName function="false" hidden="true" name="Import.PLQ.nAgrupEvent" vbProcedure="false">OFFSET(CÁLCULO!$K$15,1,0):OFFSET(CÁLCULO!$K$21,-1,0)</definedName>
    <definedName function="false" hidden="true" name="Import.POArred" vbProcedure="false">ORÇAMENTO!$AF$7:$AF$11</definedName>
    <definedName function="false" hidden="true" name="IMport.Prefeito" vbProcedure="false">DADOS!$C$28:$C$29</definedName>
    <definedName function="false" hidden="true" name="Import.Proponente" vbProcedure="false">DADOS!$C$5</definedName>
    <definedName function="false" hidden="true" name="Import.QCI.Divisao" vbProcedure="false">OFFSET(QCI!$V$13,1,0):OFFSET(QCI!$V$24,-1,0)</definedName>
    <definedName function="false" hidden="true" name="Import.QCI.ItemInv" vbProcedure="false">OFFSET(QCI!$E$13,1,0):OFFSET(QCI!$E$24,-1,0)</definedName>
    <definedName function="false" hidden="true" name="Import.QCI.Obs" vbProcedure="false">QCI!$D$28</definedName>
    <definedName function="false" hidden="true" name="Import.QCI.Qtde" vbProcedure="false">OFFSET(QCI!$I$13,1,0):OFFSET(QCI!$I$24,-1,0)</definedName>
    <definedName function="false" hidden="true" name="Import.QCI.Situacao" vbProcedure="false">OFFSET(QCI!$H$13,1,0):OFFSET(QCI!$H$24,-1,0)</definedName>
    <definedName function="false" hidden="true" name="Import.QCI.SubItemInv" vbProcedure="false">OFFSET(QCI!$F$13,1,0):OFFSET(QCI!$F$24,-1,0)</definedName>
    <definedName function="false" hidden="true" name="Import.QCICP" vbProcedure="false">OFFSET(QCI!$W$13,1,0):OFFSET(QCI!$W$24,-1,0)</definedName>
    <definedName function="false" hidden="true" name="Import.QCIDesc" vbProcedure="false">OFFSET(QCI!$R$13,1,0):OFFSET(QCI!$R$24,-1,0)</definedName>
    <definedName function="false" hidden="true" name="Import.QCIInv" vbProcedure="false">OFFSET(QCI!$U$13,1,0):OFFSET(QCI!$U$24,-1,0)</definedName>
    <definedName function="false" hidden="true" name="Import.QCILote" vbProcedure="false">OFFSET(QCI!$T$13,1,0):OFFSET(QCI!$T$24,-1,0)</definedName>
    <definedName function="false" hidden="true" name="Import.QCIOutros" vbProcedure="false">OFFSET(QCI!$X$13,1,0):OFFSET(QCI!$X$24,-1,0)</definedName>
    <definedName function="false" hidden="true" name="Import.Quantidade" vbProcedure="false">OFFSET(ORÇAMENTO!$AJ$15,1,0):OFFSET(ORÇAMENTO!$AJ$21,-1,0)</definedName>
    <definedName function="false" hidden="true" name="import.recurso" vbProcedure="false">DADOS!$C$4</definedName>
    <definedName function="false" hidden="true" name="Import.Repasse" vbProcedure="false">DADOS!$C$9</definedName>
    <definedName function="false" hidden="true" name="Import.RespFiscalização" vbProcedure="false">DADOS!$C$51:$C$54</definedName>
    <definedName function="false" hidden="true" name="Import.RespOrçamento" vbProcedure="false">DADOS!$C$22:$C$24</definedName>
    <definedName function="false" hidden="true" name="Import.RRE.Financeiro" vbProcedure="false">RRE!$M$47:$O$49</definedName>
    <definedName function="false" hidden="true" name="Import.RRE.Obs" vbProcedure="false">RRE!$E$31</definedName>
    <definedName function="false" hidden="true" name="Import.RRE.Social" vbProcedure="false">RRE!$F$47:$G$49</definedName>
    <definedName function="false" hidden="true" name="Import.SICONV" vbProcedure="false">DADOS!$C$8</definedName>
    <definedName function="false" hidden="true" name="Import.TipoArredondamento" vbProcedure="false">DADOS!$C$31</definedName>
    <definedName function="false" hidden="true" name="Import.TransfereGOV" vbProcedure="false">DADOS!$C$8</definedName>
    <definedName function="false" hidden="true" name="Import.Unidade" vbProcedure="false">OFFSET(ORÇAMENTO!$S$15,1,0):OFFSET(ORÇAMENTO!$S$21,-1,0)</definedName>
    <definedName function="false" hidden="true" name="Import.UnitarioLicitado" vbProcedure="false">OFFSET(ORÇAMENTO!$AL$15,1,0):OFFSET(ORÇAMENTO!$AL$21,-1,0)</definedName>
    <definedName function="false" hidden="true" name="ListaTgov.Unidades" vbProcedure="false">DADOS!$AV$3:$AV$220</definedName>
    <definedName function="false" hidden="true" name="MENU.Acompanhamento" vbProcedure="false">MENU!$O$4</definedName>
    <definedName function="false" hidden="true" name="Menu.b.bdi" vbProcedure="false">MENU!$C$10</definedName>
    <definedName function="false" hidden="true" name="Menu.b.bm" vbProcedure="false">MENU!$G$22</definedName>
    <definedName function="false" hidden="true" name="Menu.b.branco" vbProcedure="false">MENU!$G$12</definedName>
    <definedName function="false" hidden="true" name="Menu.b.cronolicit" vbProcedure="false">MENU!$G$18</definedName>
    <definedName function="false" hidden="true" name="Menu.b.cronoprop" vbProcedure="false">MENU!$E$12</definedName>
    <definedName function="false" hidden="true" name="Menu.b.dados" vbProcedure="false">MENU!$E$6</definedName>
    <definedName function="false" hidden="true" name="Menu.b.novo" vbProcedure="false">MENU!$G$6</definedName>
    <definedName function="false" hidden="true" name="Menu.b.oficio" vbProcedure="false">MENU!$E$24</definedName>
    <definedName function="false" hidden="true" name="Menu.b.orçlicit" vbProcedure="false">MENU!$C$18</definedName>
    <definedName function="false" hidden="true" name="Menu.b.orçprop" vbProcedure="false">MENU!$E$10</definedName>
    <definedName function="false" hidden="true" name="Menu.b.PLE" vbProcedure="false">MENU!$C$22</definedName>
    <definedName function="false" hidden="true" name="Menu.b.PLQ" vbProcedure="false">MENU!$G$10</definedName>
    <definedName function="false" hidden="true" name="Menu.b.QCIlicit" vbProcedure="false">MENU!$E$18</definedName>
    <definedName function="false" hidden="true" name="Menu.b.qciprop" vbProcedure="false">MENU!$C$12</definedName>
    <definedName function="false" hidden="true" name="Menu.b.RRE" vbProcedure="false">MENU!$E$22</definedName>
    <definedName function="false" hidden="true" name="MENU.CRONO" vbProcedure="false">OFFSET(CRONO!$U$11,1,0)</definedName>
    <definedName function="false" hidden="true" name="MENU.Import.Form.PLQ" vbProcedure="false">MENU!$K$2</definedName>
    <definedName function="false" hidden="true" name="MENU.Import.Form.PreçoUnit" vbProcedure="false">MENU!$K$1</definedName>
    <definedName function="false" hidden="true" name="MENU.TipoOrçamento" vbProcedure="false">MENU!$O$3</definedName>
    <definedName function="false" hidden="true" name="Menu.tit.acompanhamento" vbProcedure="false">MENU!$B$20</definedName>
    <definedName function="false" hidden="true" name="Menu.tit.licitacao" vbProcedure="false">MENU!$B$16</definedName>
    <definedName function="false" hidden="true" name="Menu.tit.proposta" vbProcedure="false">MENU!$B$8</definedName>
    <definedName function="false" hidden="true" name="NumEventos" vbProcedure="false">COUNT(OFFSET(eventos,0,0,,1))</definedName>
    <definedName function="false" hidden="true" name="Objeto" vbProcedure="false">MENU!$J$1</definedName>
    <definedName function="false" hidden="true" name="OFÍCIO.Erro" vbProcedure="false">OFÍCIO!$C$5</definedName>
    <definedName function="false" hidden="true" name="ORÇAMENTO.BancoRef" vbProcedure="false">ORÇAMENTO!$F$8</definedName>
    <definedName function="false" hidden="true" name="ORÇAMENTO.CodBarra" vbProcedure="false">IF(ORÇAMENTO.Fonte="Sinapi",SUBSTITUTE(SUBSTITUTE(ORÇAMENTO.Codigo,"/00","/"),"/0","/"),ORÇAMENTO.Codigo)</definedName>
    <definedName function="false" hidden="true" name="ORÇAMENTO.Fonte" vbProcedure="false">ORÇAMENTO!$P1</definedName>
    <definedName function="false" hidden="true" name="ORÇAMENTO.Codigo" vbProcedure="false">ORÇAMENTO!$Q1</definedName>
    <definedName function="false" hidden="true" name="ORÇAMENTO.ColAux1" vbProcedure="false">ORÇAMENTO!$Z:$AB</definedName>
    <definedName function="false" hidden="true" name="ORÇAMENTO.ColAux2" vbProcedure="false">ORÇAMENTO!$AD:$AF</definedName>
    <definedName function="false" hidden="true" name="ORÇAMENTO.ColunaLicit" vbProcedure="false">ORÇAMENTO!$AL$15</definedName>
    <definedName function="false" hidden="true" name="ORÇAMENTO.CopyFormat1" vbProcedure="false">ORÇAMENTO!$P$14:$S$14</definedName>
    <definedName function="false" hidden="true" name="ORÇAMENTO.CopyFormat2" vbProcedure="false">ORÇAMENTO!$U$14:$V$14</definedName>
    <definedName function="false" hidden="true" name="ORÇAMENTO.CustoUnitario" vbProcedure="false">ROUND(ORÇAMENTO!$U1,15-13*ORÇAMENTO!$AF$8)</definedName>
    <definedName function="false" hidden="true" name="ORÇAMENTO.Descricao" vbProcedure="false">ORÇAMENTO!$R1</definedName>
    <definedName function="false" hidden="true" name="ORÇAMENTO.Erro" vbProcedure="false">ORÇAMENTO!$O$12</definedName>
    <definedName function="false" hidden="true" name="ORÇAMENTO.Filtro" vbProcedure="false">ORÇAMENTO!$L$15:$L$21</definedName>
    <definedName function="false" hidden="true" name="ORÇAMENTO.firstrow" vbProcedure="false">ORÇAMENTO!$15:$15</definedName>
    <definedName function="false" hidden="true" name="ORÇAMENTO.lastrow" vbProcedure="false">ORÇAMENTO!$21:$21</definedName>
    <definedName function="false" hidden="true" name="ORÇAMENTO.LinhaPadrão" vbProcedure="false">ORÇAMENTO!$14:$14</definedName>
    <definedName function="false" hidden="true" name="ORÇAMENTO.Lista.BDI" vbProcedure="false">ORÇAMENTO!$F$4:$I$4</definedName>
    <definedName function="false" hidden="true" name="ORÇAMENTO.Lista.Fonte" vbProcedure="false">ORÇAMENTO!$E$3:$I$3</definedName>
    <definedName function="false" hidden="true" name="ORÇAMENTO.Lista.Nível" vbProcedure="false">ORÇAMENTO!$E$2:$I$2</definedName>
    <definedName function="false" hidden="true" name="ORÇAMENTO.Lista.Recurso" vbProcedure="false">ORÇAMENTO!$F$7:$I$7</definedName>
    <definedName function="false" hidden="true" name="ORÇAMENTO.MáximoListaCrono" vbProcedure="false">MAX(ORÇAMENTO.ListaCrono)</definedName>
    <definedName function="false" hidden="true" name="ORÇAMENTO.Nivel" vbProcedure="false">ORÇAMENTO!$M1</definedName>
    <definedName function="false" hidden="true" name="ORÇAMENTO.OpcaoBDI" vbProcedure="false">ORÇAMENTO!$V1</definedName>
    <definedName function="false" hidden="true" name="ORÇAMENTO.PasteFormat1" vbProcedure="false">OFFSET(ORÇAMENTO!$P$15,1,0):OFFSET(ORÇAMENTO!$S$21,-1,0)</definedName>
    <definedName function="false" hidden="true" name="ORÇAMENTO.PasteFormat2" vbProcedure="false">OFFSET(ORÇAMENTO!$U$15,1,0):OFFSET(ORÇAMENTO!$V$21,-1,0)</definedName>
    <definedName function="false" hidden="true" name="ORÇAMENTO.PrecoUnitarioLicitado" vbProcedure="false">ORÇAMENTO!$AL1</definedName>
    <definedName function="false" hidden="true" name="ORÇAMENTO.QuantBM" vbProcedure="false">ORÇAMENTO!$AJ1</definedName>
    <definedName function="false" hidden="true" name="ORÇAMENTO.RangeQuant" vbProcedure="false">OFFSET(ORÇAMENTO!$T$15,1,0):OFFSET(ORÇAMENTO!$T$21,-1,0)</definedName>
    <definedName function="false" hidden="true" name="ORÇAMENTO.SumCPMANUAL" vbProcedure="false">SUMIF(ORÇAMENTO!$Z$15:$Z$21,"CP",ORÇAMENTO!$AA$15:$AA$21)</definedName>
    <definedName function="false" hidden="true" name="ORÇAMENTO.SumINVMANUAL" vbProcedure="false">SUMIF(ORÇAMENTO!$Z$15:$Z$21,"RP",ORÇAMENTO!$X$15:$X$21)+SUMIF(ORÇAMENTO!$Z$15:$Z$21,"CP",ORÇAMENTO!$X$15:$X$21)+SUMIF(ORÇAMENTO!$Z$15:$Z$21,"OU",ORÇAMENTO!$X$15:$X$21)</definedName>
    <definedName function="false" hidden="true" name="ORÇAMENTO.SumOUTROSMANUAL" vbProcedure="false">SUMIF(ORÇAMENTO!$Z$15:$Z$21,"OU",ORÇAMENTO!$AB$15:$AB$21)</definedName>
    <definedName function="false" hidden="true" name="ORÇAMENTO.SumREPASSEMANUAL" vbProcedure="false">ORÇAMENTO.SumINVMANUAL-ORÇAMENTO.SumCPMANUAL-ORÇAMENTO.SumOUTROSMANUAL</definedName>
    <definedName function="false" hidden="true" name="ORÇAMENTO.Título" vbProcedure="false">ORÇAMENTO!$R$1</definedName>
    <definedName function="false" hidden="true" name="ORÇAMENTO.Unidade" vbProcedure="false">ORÇAMENTO!$S1</definedName>
    <definedName function="false" hidden="true" name="PLE.ColunaPadrão" vbProcedure="false">PLE!$F:$F</definedName>
    <definedName function="false" hidden="true" name="PLE.Erro" vbProcedure="false">PLE!$C$11</definedName>
    <definedName function="false" hidden="true" name="PLE.Filtro" vbProcedure="false">PLE!$A$13:$A$49</definedName>
    <definedName function="false" hidden="true" name="PLE.FirstCol" vbProcedure="false">PLE!$G:$G</definedName>
    <definedName function="false" hidden="true" name="PLE.firstrow" vbProcedure="false">PLE!$15:$15</definedName>
    <definedName function="false" hidden="true" name="PLE.FrenteRow" vbProcedure="false">PLE!$11:$11</definedName>
    <definedName function="false" hidden="true" name="PLE.LastCol" vbProcedure="false">PLE!$AG:$AG</definedName>
    <definedName function="false" hidden="true" name="PLE.lastrow" vbProcedure="false">PLE!$33:$33</definedName>
    <definedName function="false" hidden="true" name="PLE.LinhaPadrão" vbProcedure="false">PLE!$1:$1</definedName>
    <definedName function="false" hidden="true" name="PLE.margemrow" vbProcedure="false">PLE!$50:$50</definedName>
    <definedName function="false" hidden="true" name="PLE.Medicao" vbProcedure="false">PLE!$J$9</definedName>
    <definedName function="false" hidden="true" name="PLE.MEDIÇÕES.firstrow" vbProcedure="false">PLE!$34:$34</definedName>
    <definedName function="false" hidden="true" name="PLE.MEDIÇÕES.lastrow" vbProcedure="false">PLE!$44:$44</definedName>
    <definedName function="false" hidden="true" name="PLE.MEDIÇÕES.LinhaPadrão" vbProcedure="false">PLE!$34:$41</definedName>
    <definedName function="false" hidden="true" name="PLE.Título" vbProcedure="false">PLE!$H$3</definedName>
    <definedName function="false" hidden="true" name="PLE.ValorDoEvento" vbProcedure="false">SUMIF(CÁLCULO!$M$15:$M$21,PLE!$B1,OFFSET(CÁLCULO!$AA$15:$AA$21,0,PLE!A$12))</definedName>
    <definedName function="false" hidden="true" name="PO.ValoresBDI" vbProcedure="false">OFFSET(ORÇAMENTO!$AH$15,1,0):OFFSET(ORÇAMENTO!$AH$21,-1,0)</definedName>
    <definedName function="false" hidden="true" name="QCI.ColAux" vbProcedure="false">QCI!$Z:$AE</definedName>
    <definedName function="false" hidden="true" name="QCI.CPManual" vbProcedure="false">ROUND(QCI!$W1,2)</definedName>
    <definedName function="false" hidden="true" name="QCI.DescManual" vbProcedure="false">QCI!$R1</definedName>
    <definedName function="false" hidden="true" name="QCI.Divisao" vbProcedure="false">QCI!$V1</definedName>
    <definedName function="false" hidden="true" name="QCI.Erro" vbProcedure="false">QCI!$G$9</definedName>
    <definedName function="false" hidden="true" name="QCI.ExisteManual" vbProcedure="false">(COUNTIF(QCI!$B$13:$B$24,"Manual")+COUNTIF(QCI!$B$13:$B$24,"SemiAuto"))&gt;0</definedName>
    <definedName function="false" hidden="true" name="QCI.Filtro" vbProcedure="false">QCI!$C$13:$C$25</definedName>
    <definedName function="false" hidden="true" name="QCI.firstrow" vbProcedure="false">QCI!$13:$13</definedName>
    <definedName function="false" hidden="true" name="QCI.InvManual" vbProcedure="false">ROUND(QCI!$U1,2)</definedName>
    <definedName function="false" hidden="true" name="QCI.ItemInvestimento" vbProcedure="false">OFFSET(DADOS!$L$2,1,0,COUNTA(DADOS!$L:$L)-1,1)</definedName>
    <definedName function="false" hidden="true" name="QCI.lastrow" vbProcedure="false">QCI!$24:$24</definedName>
    <definedName function="false" hidden="true" name="QCI.LinhaPadrão" vbProcedure="false">QCI!$12:$12</definedName>
    <definedName function="false" hidden="true" name="QCI.Lista.DivisãoInvest" vbProcedure="false">QCI!$A$8:$A$9</definedName>
    <definedName function="false" hidden="true" name="QCI.Lista.Situação" vbProcedure="false">QCI!$A$2:$A$6</definedName>
    <definedName function="false" hidden="true" name="QCI.LoteManual" vbProcedure="false">QCI!$T1</definedName>
    <definedName function="false" hidden="true" name="QCI.MaxCPManual" vbProcedure="false">QCI!$O1-QCI!$X1</definedName>
    <definedName function="false" hidden="true" name="QCI.MaxOUManual" vbProcedure="false">QCI!$O1-QCI!$W1</definedName>
    <definedName function="false" hidden="true" name="QCI.OutrosManual" vbProcedure="false">ROUND(QCI!$X1,2)</definedName>
    <definedName function="false" hidden="true" name="QCI.RepasseManual" vbProcedure="false">QCI!$U1</definedName>
    <definedName function="false" hidden="true" name="QCI.SubItemInvestimento" vbProcedure="false">OFFSET(DADOS!$A$2,1,MATCH(QCI!$E1,DADOS!$2:$2,0)-1,INDEX(DADOS!$2:$2,MATCH(QCI!$E1,DADOS!$2:$2,0)+1))</definedName>
    <definedName function="false" hidden="true" name="QCI.SumCPMANUAL" vbProcedure="false">SUMIF(QCI!$B$13:$B$24,"Manual",QCI!$AA$13:$AA$24)</definedName>
    <definedName function="false" hidden="true" name="QCI.SumINVMANUAL" vbProcedure="false">SUMIF(QCI!$B$13:$B$24,"Manual",QCI!$O$13:$O$24)</definedName>
    <definedName function="false" hidden="true" name="QCI.SumOUTROSMANUAL" vbProcedure="false">SUMIF(QCI!$B$13:$B$24,"Manual",QCI!$AB$13:$AB$24)</definedName>
    <definedName function="false" hidden="true" name="QCI.SumREPASSEMANUAL" vbProcedure="false">QCI.SumINVMANUAL-QCI.CPManual-QCI.OutrosManual</definedName>
    <definedName function="false" hidden="true" name="QCI.TotalCP" vbProcedure="false">QCI!$M$24</definedName>
    <definedName function="false" hidden="true" name="QCI.Título" vbProcedure="false">QCI!$F$1</definedName>
    <definedName function="false" hidden="true" name="REFERENCIA.Descricao" vbProcedure="false">IF(ISNUMBER(ORÇAMENTO!$AF1),OFFSET(INDIRECT(ORÇAMENTO.BancoRef),ORÇAMENTO!$AF1-1,3,1),ORÇAMENTO!$AF1)</definedName>
    <definedName function="false" hidden="true" name="REFERENCIA.Desonerado" vbProcedure="false">IF(ISNUMBER(ORÇAMENTO!$AF1),VALUE(OFFSET(INDIRECT(ORÇAMENTO.BancoRef),ORÇAMENTO!$AF1-1,5,1)),0)</definedName>
    <definedName function="false" hidden="true" name="REFERENCIA.NaoDesonerado" vbProcedure="false">IF(ISNUMBER(ORÇAMENTO!$AF1),VALUE(OFFSET(INDIRECT(ORÇAMENTO.BancoRef),ORÇAMENTO!$AF1-1,6,1)),0)</definedName>
    <definedName function="false" hidden="true" name="REFERENCIA.Unidade" vbProcedure="false">IF(ISNUMBER(ORÇAMENTO!$AF1),OFFSET(INDIRECT(ORÇAMENTO.BancoRef),ORÇAMENTO!$AF1-1,4,1),"-")</definedName>
    <definedName function="false" hidden="true" name="RRE.ColAux1" vbProcedure="false">RRE!$Q:$V</definedName>
    <definedName function="false" hidden="true" name="RRE.ColAux2" vbProcedure="false">RRE!$AC:$AO</definedName>
    <definedName function="false" hidden="true" name="RRE.CPDiferente" vbProcedure="false">RRE!$Y$26:$Z$27</definedName>
    <definedName function="false" hidden="true" name="RRE.Filtro" vbProcedure="false">RRE!$D$13:$D$28</definedName>
    <definedName function="false" hidden="true" name="RRE.firstrow" vbProcedure="false">RRE!$13:$13</definedName>
    <definedName function="false" hidden="true" name="RRE.lastrow" vbProcedure="false">RRE!$24:$24</definedName>
    <definedName function="false" hidden="true" name="RRE.LinhaPadrão" vbProcedure="false">RRE!$12:$12</definedName>
    <definedName function="false" hidden="true" name="RRE.MaxCPAcum" vbProcedure="false">RRE!$AD$26</definedName>
    <definedName function="false" hidden="true" name="RRE.MaxCPAnt" vbProcedure="false">RRE!$AC$26</definedName>
    <definedName function="false" hidden="true" name="RRE.MaxOUAcum" vbProcedure="false">RRE!$AD$27</definedName>
    <definedName function="false" hidden="true" name="RRE.MaxOUAnt" vbProcedure="false">RRE!$AC$27</definedName>
    <definedName function="false" hidden="true" name="RRE.Numero" vbProcedure="false">OFFSET(RRE!$O$7,0,1)</definedName>
    <definedName function="false" hidden="true" name="RRE.Título" vbProcedure="false">RRE!$F$1</definedName>
    <definedName function="false" hidden="true" name="RRE.VIMeta" vbProcedure="false">RRE!$L1</definedName>
    <definedName function="false" hidden="true" name="SENHAGT" vbProcedure="false">"PM3CAIXA"</definedName>
    <definedName function="false" hidden="true" name="SomaAgrup" vbProcedure="false">SUMIF(OFFSET(ORÇAMENTO!$C1,1,0,ORÇAMENTO!$D1),"S",OFFSET(ORÇAMENTO!A1,1,0,ORÇAMENTO!$D1))</definedName>
    <definedName function="false" hidden="true" name="SomaAgrupBM" vbProcedure="false">SUMIF(OFFSET(BM!$A1,1,0,BM!$B1),"S",OFFSET(BM!A1,1,0,BM!$B1))</definedName>
    <definedName function="false" hidden="true" name="TIPOORCAMENTO" vbProcedure="false">IF(VALUE(MENU!$O$3)=2,"Licitado","Proposto")</definedName>
    <definedName function="false" hidden="true" name="Versao" vbProcedure="false">MENU!$J$2</definedName>
    <definedName function="false" hidden="true" name="VTOTAL1" vbProcedure="false">ROUND(ORÇAMENTO!$T1*ORÇAMENTO!$W1,15-13*ORÇAMENTO!$AF$11)</definedName>
    <definedName function="false" hidden="true" name="VTOTALBM" vbProcedure="false">IF(BM!$I1=0,0,CHOOSE(MATCH(RegimeExecucao,{"Global","Unitário"},0),ROUND(ROUND(BM!XFB1,15-13*BM!$A$9)/100*BM!$I1,15-13*ORÇAMENTO!$AF$11),ROUND(ROUND(BM!XFB1,15-13*BM!$A$9)*ROUND(BM!$H1,15-13*ORÇAMENTO!$AF$10),15-13*ORÇAMENTO!$AF$11)))</definedName>
    <definedName function="false" hidden="true" name="VTOTALMED" vbProcedure="false">BM!$P$14</definedName>
    <definedName function="false" hidden="true" localSheetId="16" name="NumEventos" vbProcedure="false">COUNT(OFFSET(eventos,0,0,,1))</definedName>
  </definedNames>
  <calcPr iterateCount="100" refMode="A1" iterate="false" iterateDelta="0.0001"/>
  <extLst>
    <ext xmlns:loext="http://schemas.libreoffice.org/" uri="{7626C862-2A13-11E5-B345-FEFF819CDC9F}">
      <loext:extCalcPr stringRefSyntax="ExcelA1"/>
    </ext>
  </extLst>
</workbook>
</file>

<file path=xl/comments3.xml><?xml version="1.0" encoding="utf-8"?>
<comments xmlns="http://schemas.openxmlformats.org/spreadsheetml/2006/main" xmlns:xdr="http://schemas.openxmlformats.org/drawingml/2006/spreadsheetDrawing">
  <authors>
    <author>Autor desconhecido</author>
  </authors>
  <commentList>
    <comment ref="C41" authorId="0">
      <text>
        <r>
          <rPr>
            <sz val="10"/>
            <rFont val="Arial"/>
            <family val="2"/>
          </rPr>
          <t xml:space="preserve">Informar a data-base do CTEF no formato mm-aaaa.</t>
        </r>
      </text>
    </comment>
  </commentList>
</comments>
</file>

<file path=xl/comments4.xml><?xml version="1.0" encoding="utf-8"?>
<comments xmlns="http://schemas.openxmlformats.org/spreadsheetml/2006/main" xmlns:xdr="http://schemas.openxmlformats.org/drawingml/2006/spreadsheetDrawing">
  <authors>
    <author>Autor desconhecido</author>
  </authors>
  <commentList>
    <comment ref="I6" authorId="0">
      <text>
        <r>
          <rPr>
            <sz val="10"/>
            <rFont val="Arial"/>
            <family val="2"/>
          </rPr>
          <t xml:space="preserve">FILTRO:
</t>
        </r>
        <r>
          <rPr>
            <sz val="9"/>
            <color rgb="FF000000"/>
            <rFont val="Tahoma"/>
            <family val="2"/>
            <charset val="1"/>
          </rPr>
          <t xml:space="preserve">Após a conclusão do Orçamento, utilize o filtro nessa coluna com o valor "F" para ocultar linhas não utilizadas.</t>
        </r>
      </text>
    </comment>
  </commentList>
</comments>
</file>

<file path=xl/comments5.xml><?xml version="1.0" encoding="utf-8"?>
<comments xmlns="http://schemas.openxmlformats.org/spreadsheetml/2006/main" xmlns:xdr="http://schemas.openxmlformats.org/drawingml/2006/spreadsheetDrawing">
  <authors>
    <author>Autor desconhecido</author>
  </authors>
  <commentList>
    <comment ref="L8" authorId="0">
      <text>
        <r>
          <rPr>
            <sz val="10"/>
            <rFont val="Arial"/>
            <family val="2"/>
          </rPr>
          <t xml:space="preserve">FILTRO:
</t>
        </r>
        <r>
          <rPr>
            <sz val="9"/>
            <color rgb="FF000000"/>
            <rFont val="Tahoma"/>
            <family val="2"/>
            <charset val="1"/>
          </rPr>
          <t xml:space="preserve">Após a conclusão do Orçamento, utilize o filtro nessa coluna com o valor "F" para ocultar linhas não utilizadas.</t>
        </r>
      </text>
    </comment>
    <comment ref="Y8" authorId="0">
      <text>
        <r>
          <rPr>
            <sz val="10"/>
            <rFont val="Arial"/>
            <family val="2"/>
          </rPr>
          <t xml:space="preserve">RECURSO:
</t>
        </r>
        <r>
          <rPr>
            <sz val="9"/>
            <color rgb="FF000000"/>
            <rFont val="Tahoma"/>
            <family val="2"/>
            <charset val="1"/>
          </rPr>
          <t xml:space="preserve">Selecione a composição do item do Orçamento no Investimento.
RA: Rateio proporcional entre Repasse e Contrapartida.
RP: 100% valor de Repasse.
CP: 100%  valor de Contrapartida.
OU: 100% valor "Outros".</t>
        </r>
      </text>
    </comment>
    <comment ref="AJ7" authorId="0">
      <text>
        <r>
          <rPr>
            <sz val="10"/>
            <rFont val="Arial"/>
            <family val="2"/>
          </rPr>
          <t xml:space="preserve">QUANTIDADES:
</t>
        </r>
        <r>
          <rPr>
            <sz val="9"/>
            <color rgb="FF000000"/>
            <rFont val="Tahoma"/>
            <family val="2"/>
            <charset val="1"/>
          </rPr>
          <t xml:space="preserve">PREENCHA AS QUANTIDADES AQUI PARA ACOMPANHAMENTOS POR BM.</t>
        </r>
      </text>
    </comment>
    <comment ref="AL7" authorId="0">
      <text>
        <r>
          <rPr>
            <sz val="10"/>
            <rFont val="Arial"/>
            <family val="2"/>
          </rPr>
          <t xml:space="preserve">PREÇO UNITÁRIO LICITADO:
</t>
        </r>
        <r>
          <rPr>
            <sz val="9"/>
            <color rgb="FF000000"/>
            <rFont val="Tahoma"/>
            <family val="2"/>
            <charset val="1"/>
          </rPr>
          <t xml:space="preserve">PREENCHA AQUI O PREÇO UNITÁRIO DA LICITAÇÃO.</t>
        </r>
      </text>
    </comment>
  </commentList>
</comments>
</file>

<file path=xl/comments6.xml><?xml version="1.0" encoding="utf-8"?>
<comments xmlns="http://schemas.openxmlformats.org/spreadsheetml/2006/main" xmlns:xdr="http://schemas.openxmlformats.org/drawingml/2006/spreadsheetDrawing">
  <authors>
    <author>Autor desconhecido</author>
  </authors>
  <commentList>
    <comment ref="D15" authorId="0">
      <text>
        <r>
          <rPr>
            <sz val="10"/>
            <rFont val="Arial"/>
            <family val="2"/>
          </rPr>
          <t xml:space="preserve">O evento de administração local é fixo, de uso opcional.
Os serviços agrupados neste evento serão medidos proporcionalmente à execução dos demais eventos.</t>
        </r>
      </text>
    </comment>
  </commentList>
</comments>
</file>

<file path=xl/comments10.xml><?xml version="1.0" encoding="utf-8"?>
<comments xmlns="http://schemas.openxmlformats.org/spreadsheetml/2006/main" xmlns:xdr="http://schemas.openxmlformats.org/drawingml/2006/spreadsheetDrawing">
  <authors>
    <author>Autor desconhecido</author>
  </authors>
  <commentList>
    <comment ref="C7" authorId="0">
      <text>
        <r>
          <rPr>
            <sz val="10"/>
            <rFont val="Arial"/>
            <family val="2"/>
          </rPr>
          <t xml:space="preserve">FILTRO:
</t>
        </r>
        <r>
          <rPr>
            <sz val="9"/>
            <color rgb="FF000000"/>
            <rFont val="Tahoma"/>
            <family val="2"/>
            <charset val="1"/>
          </rPr>
          <t xml:space="preserve">Após a conclusão do Orçamento, utilize o filtro nessa coluna com o valor "F" para ocultar linhas não utilizadas.</t>
        </r>
      </text>
    </comment>
  </commentList>
</comments>
</file>

<file path=xl/comments12.xml><?xml version="1.0" encoding="utf-8"?>
<comments xmlns="http://schemas.openxmlformats.org/spreadsheetml/2006/main" xmlns:xdr="http://schemas.openxmlformats.org/drawingml/2006/spreadsheetDrawing">
  <authors>
    <author>Autor desconhecido</author>
  </authors>
  <commentList>
    <comment ref="C8" authorId="0">
      <text>
        <r>
          <rPr>
            <sz val="10"/>
            <rFont val="Arial"/>
            <family val="2"/>
          </rPr>
          <t xml:space="preserve">FILTRO:
</t>
        </r>
        <r>
          <rPr>
            <sz val="9"/>
            <color rgb="FF000000"/>
            <rFont val="Tahoma"/>
            <family val="2"/>
            <charset val="1"/>
          </rPr>
          <t xml:space="preserve">Após a conclusão do Orçamento, utilize o filtro nessa coluna com o valor "F" para ocultar linhas não utilizadas.</t>
        </r>
      </text>
    </comment>
    <comment ref="AB12" authorId="0">
      <text>
        <r>
          <rPr>
            <sz val="10"/>
            <rFont val="Arial"/>
            <family val="2"/>
          </rPr>
          <t xml:space="preserve">Digite nestes campos as datas das medições</t>
        </r>
      </text>
    </comment>
    <comment ref="AB13" authorId="0">
      <text>
        <r>
          <rPr>
            <sz val="10"/>
            <rFont val="Arial"/>
            <family val="2"/>
          </rPr>
          <t xml:space="preserve">Para medições além da 12ª, preencha esta coluna com as </t>
        </r>
        <r>
          <rPr>
            <b val="true"/>
            <sz val="9"/>
            <color rgb="FF000000"/>
            <rFont val="Tahoma"/>
            <family val="2"/>
            <charset val="1"/>
          </rPr>
          <t xml:space="preserve">quantidades acumuladas.</t>
        </r>
      </text>
    </comment>
  </commentList>
</comments>
</file>

<file path=xl/comments13.xml><?xml version="1.0" encoding="utf-8"?>
<comments xmlns="http://schemas.openxmlformats.org/spreadsheetml/2006/main" xmlns:xdr="http://schemas.openxmlformats.org/drawingml/2006/spreadsheetDrawing">
  <authors>
    <author>Autor desconhecido</author>
  </authors>
  <commentList>
    <comment ref="D7" authorId="0">
      <text>
        <r>
          <rPr>
            <sz val="10"/>
            <rFont val="Arial"/>
            <family val="2"/>
          </rPr>
          <t xml:space="preserve">FILTRO:
</t>
        </r>
        <r>
          <rPr>
            <sz val="9"/>
            <color rgb="FF000000"/>
            <rFont val="Tahoma"/>
            <family val="2"/>
            <charset val="1"/>
          </rPr>
          <t xml:space="preserve">Após a conclusão do Orçamento, utilize o filtro nessa coluna com o valor "F" para ocultar linhas não utilizadas.</t>
        </r>
      </text>
    </comment>
    <comment ref="Z25" authorId="0">
      <text>
        <r>
          <rPr>
            <sz val="10"/>
            <rFont val="Arial"/>
            <family val="2"/>
          </rPr>
          <t xml:space="preserve">Valores de Contrapartida e Outros:
</t>
        </r>
        <r>
          <rPr>
            <sz val="9"/>
            <color rgb="FF000000"/>
            <rFont val="Segoe UI"/>
            <family val="2"/>
            <charset val="1"/>
          </rPr>
          <t xml:space="preserve">Digite somente para desbloquear valores diferentes do previsto no RRE.</t>
        </r>
      </text>
    </comment>
  </commentList>
</comments>
</file>

<file path=xl/sharedStrings.xml><?xml version="1.0" encoding="utf-8"?>
<sst xmlns="http://schemas.openxmlformats.org/spreadsheetml/2006/main" count="1792" uniqueCount="1024">
  <si>
    <t xml:space="preserve">Novidades da Versão</t>
  </si>
  <si>
    <t xml:space="preserve">V3.00</t>
  </si>
  <si>
    <t xml:space="preserve">GERAL</t>
  </si>
  <si>
    <t xml:space="preserve">Lançamento: Adequação à Portaria 424/2016. Acompanhamento por Eventos.</t>
  </si>
  <si>
    <t xml:space="preserve">V3.01</t>
  </si>
  <si>
    <t xml:space="preserve">Ajustes de formatações.</t>
  </si>
  <si>
    <t xml:space="preserve">PO</t>
  </si>
  <si>
    <t xml:space="preserve">Correção da aplicação do BDI não desonerado.</t>
  </si>
  <si>
    <t xml:space="preserve">Inclusão de coluna exclusiva "Preço Unitário Edital", para o Modo 'Orçamento Licitado'.</t>
  </si>
  <si>
    <t xml:space="preserve">V3.02</t>
  </si>
  <si>
    <t xml:space="preserve">Correção do Problema de Guias ocultas no BROFFICE.</t>
  </si>
  <si>
    <t xml:space="preserve">ORÇAMENTO</t>
  </si>
  <si>
    <t xml:space="preserve">Ampliada obtenção de dados da Planilha Referência de 20.000 para 65.536 linhas.</t>
  </si>
  <si>
    <t xml:space="preserve">CRONOGRAMA</t>
  </si>
  <si>
    <t xml:space="preserve">Correção na formulação do total acumulado por Repasse, CP e Outros</t>
  </si>
  <si>
    <t xml:space="preserve">QCI</t>
  </si>
  <si>
    <t xml:space="preserve">Correção na formulação do arredondamento no rateio dos valores do QCI.</t>
  </si>
  <si>
    <t xml:space="preserve">RRE</t>
  </si>
  <si>
    <t xml:space="preserve">Correção na formulação do total por Repasse, CP e Outros.</t>
  </si>
  <si>
    <t xml:space="preserve">V3.03</t>
  </si>
  <si>
    <t xml:space="preserve">CÁLCULO</t>
  </si>
  <si>
    <t xml:space="preserve">Corrigida lentidão e travamento ao incluir e excluir frentes.</t>
  </si>
  <si>
    <t xml:space="preserve">V3.04</t>
  </si>
  <si>
    <t xml:space="preserve">BDI</t>
  </si>
  <si>
    <t xml:space="preserve">Correção da CPRB que exibia 4,5% mesmo quando não desonerado.</t>
  </si>
  <si>
    <t xml:space="preserve">Correção da distribuição de Repasse, CP e Outros para as metas manuais.</t>
  </si>
  <si>
    <t xml:space="preserve">Adicionado botão para adotar a CP do QCI como CP do contrato (zera saldo a reprogramar de CP).</t>
  </si>
  <si>
    <t xml:space="preserve">V3.05</t>
  </si>
  <si>
    <t xml:space="preserve">Corrigido modo de Cálculo da Planilha para Automático.</t>
  </si>
  <si>
    <t xml:space="preserve">V3.06</t>
  </si>
  <si>
    <t xml:space="preserve">Adicionado modo de arredondamento para compatibilidade com o TransfereGOV, altera na aba DADOS</t>
  </si>
  <si>
    <t xml:space="preserve">A planilha passará a ser disponibilizada com o formato .xlsm. Deve ser usado arquivo referência 1.9 ou superior, também no formato .xlsm</t>
  </si>
  <si>
    <t xml:space="preserve">V3.07</t>
  </si>
  <si>
    <t xml:space="preserve">Alterada a posição da aba NOVO para antes da aba MENU.</t>
  </si>
  <si>
    <t xml:space="preserve">Alterada a posição da aba CÁLCULO para depois da aba EVENTOS. Pois, no caso de acompanhamento por PLE, a lista supensa na coluna "Nº  Agrupador de Eventos" na aba CÁLCULO depende do preenchimento prévio da aba EVENTOS.</t>
  </si>
  <si>
    <t xml:space="preserve">Alterada a posição da aba CRONO para depois da aba CRONOPLE. Pois, no caso de acompanhamento por PLE, a aba CRONO tem o preenchimento automático a partir da aba CRONOPLE.</t>
  </si>
  <si>
    <t xml:space="preserve">Alterada a posição da aba PLE para depois da aba QCI. Com a finalidade de deixar agrupadas todas as abas de acompanhamento (PLE, BM, RRE, OFÍCIO).</t>
  </si>
  <si>
    <t xml:space="preserve">Acrescentados botões de navegação (cor azul claro) em várias abas. Em relação a esses botões, também foram ajustados os links, nomes e formatação.</t>
  </si>
  <si>
    <t xml:space="preserve">Criada macro para exibir apenas as abas pertinentes (exemplo: caso o acompanhamento seja por PLE, a aba BM fica oculta).</t>
  </si>
  <si>
    <t xml:space="preserve">Ajuste na macro para correção automática do Nº AGRUPADOR DE EVENTOS na aba CÁLCULO, quando se ADCIONAR ou EXCLUIR LINHAS na aba EVENTOS.</t>
  </si>
  <si>
    <t xml:space="preserve">MENU</t>
  </si>
  <si>
    <t xml:space="preserve">Acrescentado o botão "IMPORTAR DE OUTROS MODELOS CAIXA": PO (MO27476); PLE (MO27477); e QCI (MO41211).</t>
  </si>
  <si>
    <t xml:space="preserve">Acrescentado o botão de seleção "Importar Fórmulas para o Custo Unitário (aba ORÇAMENTO)". </t>
  </si>
  <si>
    <t xml:space="preserve">Caso selecionada, será importada a fórmula (se houver) do custo unitário; Caso desmarcada, será importado somente o valor.</t>
  </si>
  <si>
    <t xml:space="preserve">Acrescentado o botão de seleção "Importar Fórmulas para as Quantidades da PLQ (aba CÁLCULO)". </t>
  </si>
  <si>
    <t xml:space="preserve">Caso selecionada, será importada a fórmula (se houver) do quantitativo; Caso desmarcada, será importado somente o valor.</t>
  </si>
  <si>
    <t xml:space="preserve">Atualizada a macro de Importação para incluir a importar da coluna "Nº Agrupador de Eventos" da aba CÁLCULO.</t>
  </si>
  <si>
    <t xml:space="preserve">Atualizada a macro de Imprimir Documentos (para englobar as abas EVENTOS e CRONOPLE).</t>
  </si>
  <si>
    <t xml:space="preserve">Ajuste automático do valor da CPRB em função da data base do orçamento (para atendimento do Art. 9-A da Lei 12.546 de 14/12/2011).</t>
  </si>
  <si>
    <t xml:space="preserve">EVENTOS</t>
  </si>
  <si>
    <t xml:space="preserve">Acrescentados os dados de identificação do Contrato de Repasse.</t>
  </si>
  <si>
    <t xml:space="preserve">Acrescentadas as colunas dos totais dos Eventos por Frentes de Obra.</t>
  </si>
  <si>
    <t xml:space="preserve">Acrescentados os dados de Local, Data e Responsável Técnico.</t>
  </si>
  <si>
    <t xml:space="preserve">Acrescentado FILTRO para exibir apenas as linhas preenchidas.</t>
  </si>
  <si>
    <t xml:space="preserve">CRONOPLE</t>
  </si>
  <si>
    <t xml:space="preserve">Acrescentado o quadro "Cronograma" com percentual e valor da parcela e percentual e valor acumulado.</t>
  </si>
  <si>
    <t xml:space="preserve">Correção na fórmula da data, para replicar a “Data de fechamento do RRE” na aba DADOS.</t>
  </si>
  <si>
    <t xml:space="preserve">OFÍCIO</t>
  </si>
  <si>
    <t xml:space="preserve">Exclusão do quadro "Resumo de Valores por CTEF".</t>
  </si>
  <si>
    <t xml:space="preserve">V3.08</t>
  </si>
  <si>
    <t xml:space="preserve">Incluídos alertas de erro de preenchimento em todas as abas.</t>
  </si>
  <si>
    <t xml:space="preserve">Incluído botão de macro para gerar arquivo (em xlsx) para upload da PO e CFF no TransfereGOV.</t>
  </si>
  <si>
    <t xml:space="preserve">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</si>
  <si>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 xml:space="preserve">Incluída a informação do progresso na macro "Importar de outra Planilha Múltipla", por meio de uma barra de progresso (janela que será exibida na tela) e da indicação das etapas de importação na barra de status do Excel (canto inferior esquerdo da janela do Excel).</t>
  </si>
  <si>
    <t xml:space="preserve">Incluídos botões de navegação para os formulários de BDI (BDI 1, BDI 2, BDI 3).</t>
  </si>
  <si>
    <t xml:space="preserve">Incluído botão de macro para padronizar as siglas de unidades, conforme lista de siglas válidas no TransfereGOV.</t>
  </si>
  <si>
    <t xml:space="preserve">O Título de Evento "Administração Local" com preenchimento automático proporcional agora é exibido apenas no modo Arredondamento de Frentes "Tradicional" e para a opção Agrupadores de Eventos "Definir Manualmente".</t>
  </si>
  <si>
    <t xml:space="preserve">Não é mais possível deixar Eventos em branco (sem nome ou sem valor).</t>
  </si>
  <si>
    <t xml:space="preserve">Não é mais possível deixar Frentes de Obra em branco (sem nome ou sem quantidades).</t>
  </si>
  <si>
    <t xml:space="preserve">Incluído campo para selecionar o Título do Evento referente à Administração Local (acompanhamento por PLE).</t>
  </si>
  <si>
    <t xml:space="preserve">Incluída linha com o percentual acumulado da Administração Local em cada período.</t>
  </si>
  <si>
    <t xml:space="preserve">CRONO</t>
  </si>
  <si>
    <t xml:space="preserve">Ajustada a fórmula do % acumulado a partir da parcela 13 (para manter o padrão da fórmula das parcelas 1 a 12).</t>
  </si>
  <si>
    <t xml:space="preserve">Incluído campo para selecionar o Macrosserviço referente à Administração Local (acompanhamento por BM).</t>
  </si>
  <si>
    <t xml:space="preserve">Incluída linha com o percentual acumulado da Administração Local em cada parcela.</t>
  </si>
  <si>
    <t xml:space="preserve">Corrigida a fórmula do % no quadro "Percentual previsto em:". Que estava limitada a buscar o % previsto até a parcela 12.</t>
  </si>
  <si>
    <t xml:space="preserve">PLE</t>
  </si>
  <si>
    <t xml:space="preserve">Incluída linha com o percentual acumulado da Administração Local em cada medição.</t>
  </si>
  <si>
    <t xml:space="preserve">BM</t>
  </si>
  <si>
    <t xml:space="preserve">Incluído campo com o percentual medido acumulado da Administração Local.</t>
  </si>
  <si>
    <t xml:space="preserve">V3.09</t>
  </si>
  <si>
    <t xml:space="preserve">Atualizada a macro "Gerar arquivo para upload no TransfereGOV" para ajustar os códigos de composições SINAPI (acrescentar zeros a esquerda até completar dez dígitos) para Data base igual ou superior a JAN/2025.</t>
  </si>
  <si>
    <t xml:space="preserve">Acrescentada formatação condicional na coluna "Descrição" para exibir os textos de alerta de erro, textos que começam com "(", na cor vermelha.</t>
  </si>
  <si>
    <t xml:space="preserve">Corrigida a macro dos botões de navegação para os formulários do BDI.</t>
  </si>
  <si>
    <t xml:space="preserve">V3.10</t>
  </si>
  <si>
    <t xml:space="preserve">Corrigidas as fórmulas da v3.08 / v3.09 que eram incompatíveis com as versões do Excel anteriores ao Office 365.</t>
  </si>
  <si>
    <t xml:space="preserve">V3.11</t>
  </si>
  <si>
    <t xml:space="preserve">Ajuste na macro "Importar de outra Planilha Múltipla" para tratar o erro "tipos incompatíveis".</t>
  </si>
  <si>
    <t xml:space="preserve">Ajuste na macro "Gerar arquivo para upload no TransfereGOV" para informar no status o número da linha que está sendo mesclada.</t>
  </si>
  <si>
    <t xml:space="preserve">Correção nas fórmulas dos valores no período da 13ª parcela do cronograma.</t>
  </si>
  <si>
    <t xml:space="preserve">Correção nas fórmulas dos valores acumulados no caso de Administração Local de preenchimento manual.</t>
  </si>
  <si>
    <t xml:space="preserve">V3.12</t>
  </si>
  <si>
    <t xml:space="preserve">Atualização na macro "Gerar arquivo para upload no TransfereGOV" em virtude de alteração no upload no TransfereGOV (código sem zeros a esquerda).</t>
  </si>
  <si>
    <t xml:space="preserve">Revisão nos alertas de erro de preenchimento.</t>
  </si>
  <si>
    <t xml:space="preserve">Revisão na lista suspensa de opções da forma de definição dos agrupadores de eventos.</t>
  </si>
  <si>
    <t xml:space="preserve">Correção na macro "Atualizar Linhas".</t>
  </si>
  <si>
    <t xml:space="preserve">Correção na fórmula dos porcentuais de Administração Local, no caso de agrupadores de eventos automáticos.</t>
  </si>
  <si>
    <t xml:space="preserve">V3.13</t>
  </si>
  <si>
    <t xml:space="preserve">Ajuste em todas as listas suspensas (substituindo valores ou textos por um intervalo com os dados).</t>
  </si>
  <si>
    <t xml:space="preserve">Correção do valor total na macro "Gerar arquivo para upload no TransfereGOV". No arquivo para upload o valor total era preenchido apenas com o valor da meta 1.</t>
  </si>
  <si>
    <t xml:space="preserve">Correção nos arredondamentos na macro "Gerar arquivo para upload no TransfereGOV". No caso de preenchimento das quantidades com mais de duas casas decimais na PLQ, os valores calculados no Tgov ficavam diferentes dos valores calculados na Múltipla.</t>
  </si>
  <si>
    <t xml:space="preserve">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</si>
  <si>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 xml:space="preserve">Atualização no preenchimento da coluna BDI. Possibilidade de preencher diretamente um percentual na célula.</t>
  </si>
  <si>
    <t xml:space="preserve">Ajuste no alerta de erro "Acima Ref.", dispensado caso a Fonte de Recursos seja diferente de "OGU".</t>
  </si>
  <si>
    <t xml:space="preserve">Incluído alerta de erro caso a data base do arquivo referência seja diferente da indicada no nome do mesmo arquivo.</t>
  </si>
  <si>
    <t xml:space="preserve">Incluído alerta de erro caso os arredondamentos de todos os valores não estejam selecionados (para contratos no transferegov).</t>
  </si>
  <si>
    <t xml:space="preserve">Incluído alerta de erro "Justificar BDI", caso não seja adotado um BDI da lista suspensa.</t>
  </si>
  <si>
    <t xml:space="preserve">Incluído alerta de erro "Verificar as quantidades preenchidas na linha...", caso a soma das quantidades preenchidas seja diferente da soma das quantidades arredondadas com duas casas decimais.</t>
  </si>
  <si>
    <t xml:space="preserve">Incluído alerta de erro "Preencha as quantidades com no máximo duas casas decimais", caso o alerta de erro acima aparece em alguma linha.</t>
  </si>
  <si>
    <t xml:space="preserve">Incluída formatação condicional para indicar as quantidades na PLQ com mais de duas casas decimais (o texto ficará na cor vermelha).</t>
  </si>
  <si>
    <t xml:space="preserve">Correção na fórmula na coluna Filtro.</t>
  </si>
  <si>
    <t xml:space="preserve">Correção nas fórmulas dos valores acumulados (o valor da administração local era duplicado em alguns casos).</t>
  </si>
  <si>
    <t xml:space="preserve">V3.14</t>
  </si>
  <si>
    <t xml:space="preserve">Ajustes em algumas fórmulas que eram incompatíveis com as versões do Excel anteriores ao Office 365.</t>
  </si>
  <si>
    <t xml:space="preserve">Ajuste na macro "Gerar arquivo para upload no TransfereGOV". Excluído o procedimento de mesclagem de células, visando a eficiência da macro.</t>
  </si>
  <si>
    <t xml:space="preserve">Inclusão do botão [RESET]. Para resetar a Planilha Múltipla (apagar todos os dados preenchidos e restaurar o padrão inicial).</t>
  </si>
  <si>
    <t xml:space="preserve">V3.15</t>
  </si>
  <si>
    <t xml:space="preserve">Ajuste na fórmula da coluna "Descrição" para corrigir incompatibilidade com as versões do Excel anteriores ao Office 365.</t>
  </si>
  <si>
    <t xml:space="preserve">V3.16</t>
  </si>
  <si>
    <t xml:space="preserve">Corrigidas as fórmulas da descrição dos itens dos BDIs 2 e 3.</t>
  </si>
  <si>
    <t xml:space="preserve">PM</t>
  </si>
  <si>
    <t xml:space="preserve">v3.16</t>
  </si>
  <si>
    <t xml:space="preserve">Proposto</t>
  </si>
  <si>
    <t xml:space="preserve">DADOS DO CONTRATO</t>
  </si>
  <si>
    <t xml:space="preserve">NOVIDADES DA VERSÃO</t>
  </si>
  <si>
    <t xml:space="preserve">Licitado</t>
  </si>
  <si>
    <t xml:space="preserve">LEGENDA:</t>
  </si>
  <si>
    <r>
      <rPr>
        <sz val="10"/>
        <rFont val="Arial"/>
        <family val="2"/>
        <charset val="1"/>
      </rPr>
      <t xml:space="preserve">Cores das </t>
    </r>
    <r>
      <rPr>
        <b val="true"/>
        <sz val="10"/>
        <rFont val="Arial"/>
        <family val="2"/>
        <charset val="1"/>
      </rPr>
      <t xml:space="preserve">células</t>
    </r>
    <r>
      <rPr>
        <sz val="10"/>
        <rFont val="Arial"/>
        <family val="2"/>
        <charset val="1"/>
      </rPr>
      <t xml:space="preserve">:</t>
    </r>
  </si>
  <si>
    <t xml:space="preserve">Fundo amarelo: células para preencher</t>
  </si>
  <si>
    <t xml:space="preserve">Fundo azul: células para seleção de opções</t>
  </si>
  <si>
    <r>
      <rPr>
        <sz val="10"/>
        <rFont val="Arial"/>
        <family val="2"/>
        <charset val="1"/>
      </rPr>
      <t xml:space="preserve">Cores dos </t>
    </r>
    <r>
      <rPr>
        <b val="true"/>
        <sz val="10"/>
        <rFont val="Arial"/>
        <family val="2"/>
        <charset val="1"/>
      </rPr>
      <t xml:space="preserve">botões</t>
    </r>
    <r>
      <rPr>
        <sz val="10"/>
        <rFont val="Arial"/>
        <family val="2"/>
        <charset val="1"/>
      </rPr>
      <t xml:space="preserve">:</t>
    </r>
  </si>
  <si>
    <t xml:space="preserve">Fundo azul claro: navegação entre abas</t>
  </si>
  <si>
    <t xml:space="preserve">Fundo laranja: execução de macro</t>
  </si>
  <si>
    <t xml:space="preserve">A. DOCUMENTAÇÃO DA PROPOSTA</t>
  </si>
  <si>
    <t xml:space="preserve">Fonte de recursos:</t>
  </si>
  <si>
    <t xml:space="preserve">Regime previdenciário</t>
  </si>
  <si>
    <t xml:space="preserve">Regime de Execução</t>
  </si>
  <si>
    <t xml:space="preserve">Arredondamento</t>
  </si>
  <si>
    <t xml:space="preserve">Sub-Itens de Investimento</t>
  </si>
  <si>
    <t xml:space="preserve">Unidades válidas no Tgov</t>
  </si>
  <si>
    <t xml:space="preserve">(SELECIONAR)</t>
  </si>
  <si>
    <t xml:space="preserve">Tradicional</t>
  </si>
  <si>
    <t xml:space="preserve">Itens de Investimento</t>
  </si>
  <si>
    <t xml:space="preserve">Unidades habitacionais</t>
  </si>
  <si>
    <t xml:space="preserve">Equipamentos comunitários</t>
  </si>
  <si>
    <t xml:space="preserve">Pavimentação</t>
  </si>
  <si>
    <t xml:space="preserve">Drenagem </t>
  </si>
  <si>
    <t xml:space="preserve">Abastecimento de água</t>
  </si>
  <si>
    <t xml:space="preserve">Esgotamento sanitário</t>
  </si>
  <si>
    <t xml:space="preserve">Energia elétrica e iluminação pública</t>
  </si>
  <si>
    <t xml:space="preserve">Coleta e tratamento de resíduos sólidos</t>
  </si>
  <si>
    <t xml:space="preserve">Contenção e estabilização de encostas </t>
  </si>
  <si>
    <t xml:space="preserve">Regularização fundiária</t>
  </si>
  <si>
    <t xml:space="preserve">Aquisição de terreno</t>
  </si>
  <si>
    <t xml:space="preserve">Aquisição de equipamentos e insumos</t>
  </si>
  <si>
    <t xml:space="preserve">Elaboração de estudos e projetos</t>
  </si>
  <si>
    <t xml:space="preserve">Instrumentos e ações em planejamento e gestão pública</t>
  </si>
  <si>
    <t xml:space="preserve">Ações complementares às obras</t>
  </si>
  <si>
    <t xml:space="preserve">Gerenciamento</t>
  </si>
  <si>
    <t xml:space="preserve">Trabalho social</t>
  </si>
  <si>
    <t xml:space="preserve">Sigla</t>
  </si>
  <si>
    <t xml:space="preserve">Descrição</t>
  </si>
  <si>
    <t xml:space="preserve">Dados do Contrato (Inicial)</t>
  </si>
  <si>
    <t xml:space="preserve">OGU</t>
  </si>
  <si>
    <t xml:space="preserve">NÃO SE APLICA</t>
  </si>
  <si>
    <t xml:space="preserve">INDEFINIDO / NÃO SE APLICA</t>
  </si>
  <si>
    <t xml:space="preserve">TransfereGOV</t>
  </si>
  <si>
    <t xml:space="preserve">Aquisição</t>
  </si>
  <si>
    <t xml:space="preserve">un</t>
  </si>
  <si>
    <t xml:space="preserve">Convivência comunitária, assistência social e/ou comunitária</t>
  </si>
  <si>
    <t xml:space="preserve">m²</t>
  </si>
  <si>
    <t xml:space="preserve">Capeamento de vias</t>
  </si>
  <si>
    <t xml:space="preserve">Obras de microdrenagem </t>
  </si>
  <si>
    <t xml:space="preserve">m</t>
  </si>
  <si>
    <t xml:space="preserve">Captação subterrânea</t>
  </si>
  <si>
    <t xml:space="preserve">m³/s</t>
  </si>
  <si>
    <t xml:space="preserve">Ligações domiciliares e/ou intradomiciliares</t>
  </si>
  <si>
    <t xml:space="preserve">Iluminação pública - luminárias</t>
  </si>
  <si>
    <t xml:space="preserve">Acondicionamento </t>
  </si>
  <si>
    <t xml:space="preserve">Estabilização de taludes</t>
  </si>
  <si>
    <t xml:space="preserve">Desapropriacões/Indenizações</t>
  </si>
  <si>
    <t xml:space="preserve">Avaliação pós intervenção</t>
  </si>
  <si>
    <t xml:space="preserve">%CT</t>
  </si>
  <si>
    <t xml:space="preserve">Projeto de Trabalho Social Preliminar</t>
  </si>
  <si>
    <t xml:space="preserve">nº fam</t>
  </si>
  <si>
    <t xml:space="preserve">FGTS</t>
  </si>
  <si>
    <t xml:space="preserve">DESONERADO</t>
  </si>
  <si>
    <t xml:space="preserve">EMPREITADA POR PREÇO GLOBAL</t>
  </si>
  <si>
    <t xml:space="preserve">Construção</t>
  </si>
  <si>
    <t xml:space="preserve">Educação e cultura</t>
  </si>
  <si>
    <t xml:space="preserve">Recapeamento de vias</t>
  </si>
  <si>
    <t xml:space="preserve">Desassoreamento de cursos de água</t>
  </si>
  <si>
    <t xml:space="preserve">Captação superficial</t>
  </si>
  <si>
    <t xml:space="preserve">Rede coletora e/ou condominial</t>
  </si>
  <si>
    <t xml:space="preserve">Ligações domiciliares</t>
  </si>
  <si>
    <t xml:space="preserve">Aterro sanitário e/ou disposição final</t>
  </si>
  <si>
    <t xml:space="preserve">m³</t>
  </si>
  <si>
    <t xml:space="preserve">Obras complementares a ações de redução de risco e/ou contenções</t>
  </si>
  <si>
    <t xml:space="preserve">Projeto de Regularização Fundiária</t>
  </si>
  <si>
    <t xml:space="preserve">Benfeitorias</t>
  </si>
  <si>
    <t xml:space="preserve">Demolições</t>
  </si>
  <si>
    <t xml:space="preserve">Projeto de Trabalho Social</t>
  </si>
  <si>
    <t xml:space="preserve">°C</t>
  </si>
  <si>
    <t xml:space="preserve">GRAU CELSIUS</t>
  </si>
  <si>
    <t xml:space="preserve">Proponente/Tomador:</t>
  </si>
  <si>
    <t xml:space="preserve">NÃO DESONERADO</t>
  </si>
  <si>
    <t xml:space="preserve">EMPREITADA POR PREÇO UNITÁRIO</t>
  </si>
  <si>
    <t xml:space="preserve">Reforma e/ou melhoria</t>
  </si>
  <si>
    <t xml:space="preserve">Esportes</t>
  </si>
  <si>
    <t xml:space="preserve">Obras de artes especiais</t>
  </si>
  <si>
    <t xml:space="preserve">Canalização de cursos de água</t>
  </si>
  <si>
    <t xml:space="preserve">Estação de bombeamento de água bruta</t>
  </si>
  <si>
    <t xml:space="preserve">Coletor tronco e/ou interceptores</t>
  </si>
  <si>
    <t xml:space="preserve">Linhas de distribuição - baixa tensão </t>
  </si>
  <si>
    <t xml:space="preserve">Erradicação de lixões</t>
  </si>
  <si>
    <t xml:space="preserve">Plano de Reassentamento e medidas compensatórias</t>
  </si>
  <si>
    <t xml:space="preserve">Plano de Desenvolvimento Socioterritorial</t>
  </si>
  <si>
    <t xml:space="preserve">°F</t>
  </si>
  <si>
    <t xml:space="preserve">GRAU FAHRENHEIT</t>
  </si>
  <si>
    <t xml:space="preserve">Município/UF:</t>
  </si>
  <si>
    <t xml:space="preserve">EMPREITADA INTEGRAL</t>
  </si>
  <si>
    <t xml:space="preserve">Lazer e turismo</t>
  </si>
  <si>
    <t xml:space="preserve">Pavimentação de calçadas</t>
  </si>
  <si>
    <t xml:space="preserve">Recomposição de vegetação ciliar, renaturalização de cursos de água ou restauração de margens</t>
  </si>
  <si>
    <t xml:space="preserve">Adução</t>
  </si>
  <si>
    <t xml:space="preserve">Emissário</t>
  </si>
  <si>
    <t xml:space="preserve">Linhas de transmissão - alta tensão </t>
  </si>
  <si>
    <t xml:space="preserve">Sistema de coleta seletiva tradicional, transporte e/ou equipamentos</t>
  </si>
  <si>
    <t xml:space="preserve">Plano de Gestão Condominial</t>
  </si>
  <si>
    <t xml:space="preserve">100M</t>
  </si>
  <si>
    <t xml:space="preserve">100 METROS</t>
  </si>
  <si>
    <t xml:space="preserve">Nº da Operação (0000000-00):</t>
  </si>
  <si>
    <t xml:space="preserve">TAREFA</t>
  </si>
  <si>
    <t xml:space="preserve">Saúde</t>
  </si>
  <si>
    <t xml:space="preserve">Pavimentação de vias</t>
  </si>
  <si>
    <t xml:space="preserve">Reservatório de amortecimento de cheias</t>
  </si>
  <si>
    <t xml:space="preserve">Estação de Tratamento de Água (ETA)</t>
  </si>
  <si>
    <t xml:space="preserve">Estação Elevatória</t>
  </si>
  <si>
    <t xml:space="preserve">Tratamento local </t>
  </si>
  <si>
    <t xml:space="preserve">18L</t>
  </si>
  <si>
    <t xml:space="preserve">18 LITROS</t>
  </si>
  <si>
    <t xml:space="preserve">Nº do TransfereGOV (000000):</t>
  </si>
  <si>
    <t xml:space="preserve">CONTRATAÇÃO INTEGRADA</t>
  </si>
  <si>
    <t xml:space="preserve">Segurança pública</t>
  </si>
  <si>
    <t xml:space="preserve">Sinalização</t>
  </si>
  <si>
    <t xml:space="preserve">Estação de Bombeamento</t>
  </si>
  <si>
    <t xml:space="preserve">Estação de bombeamento de água tratada</t>
  </si>
  <si>
    <t xml:space="preserve">Estação de Tratamento de Esgoto (ETE)</t>
  </si>
  <si>
    <t xml:space="preserve">Usinas de reciclagem </t>
  </si>
  <si>
    <t xml:space="preserve">200KG</t>
  </si>
  <si>
    <t xml:space="preserve">200 QUILOS</t>
  </si>
  <si>
    <t xml:space="preserve">ADM. DIRETA</t>
  </si>
  <si>
    <t xml:space="preserve">Linha de recalque</t>
  </si>
  <si>
    <t xml:space="preserve">Sistema simplificado de tratamento</t>
  </si>
  <si>
    <t xml:space="preserve">250G</t>
  </si>
  <si>
    <t xml:space="preserve">250 GRAMAS</t>
  </si>
  <si>
    <t xml:space="preserve">Valor de Contrapartida Contratada (R$):</t>
  </si>
  <si>
    <t xml:space="preserve">Reservação</t>
  </si>
  <si>
    <t xml:space="preserve">Unidades sanitárias</t>
  </si>
  <si>
    <t xml:space="preserve">310ML</t>
  </si>
  <si>
    <t xml:space="preserve">310 MILILITROS</t>
  </si>
  <si>
    <t xml:space="preserve">% mínimo de Contrapartida:</t>
  </si>
  <si>
    <t xml:space="preserve">Rede de distribuição</t>
  </si>
  <si>
    <t xml:space="preserve">50KG</t>
  </si>
  <si>
    <t xml:space="preserve">50 QUILOS</t>
  </si>
  <si>
    <t xml:space="preserve">R$ mínimo de Contrapartida (se houver):</t>
  </si>
  <si>
    <t xml:space="preserve">A</t>
  </si>
  <si>
    <t xml:space="preserve">AMPÈRE</t>
  </si>
  <si>
    <t xml:space="preserve">% máximo de Contrapartida:</t>
  </si>
  <si>
    <t xml:space="preserve">Sistema simplificado de abastecimento</t>
  </si>
  <si>
    <t xml:space="preserve">ACA/ACC</t>
  </si>
  <si>
    <t xml:space="preserve">A.CORR.ALTERN/CONT.</t>
  </si>
  <si>
    <t xml:space="preserve">AH</t>
  </si>
  <si>
    <t xml:space="preserve">AMPÈRE HORA</t>
  </si>
  <si>
    <t xml:space="preserve">Dados do Empreendimento e Orçamento</t>
  </si>
  <si>
    <t xml:space="preserve">AH/H/V</t>
  </si>
  <si>
    <t xml:space="preserve">AMPÉRE-H/H/VOLT</t>
  </si>
  <si>
    <t xml:space="preserve">Nome/apelido:</t>
  </si>
  <si>
    <t xml:space="preserve">REVITALIZAÇÃO DIVERSAS RUAS</t>
  </si>
  <si>
    <t xml:space="preserve">AM</t>
  </si>
  <si>
    <t xml:space="preserve">AMPOLA</t>
  </si>
  <si>
    <t xml:space="preserve">Descrição do Objeto do Lote / CTEF:</t>
  </si>
  <si>
    <t xml:space="preserve">AM0/4ML</t>
  </si>
  <si>
    <t xml:space="preserve">AMPOLA COM 0,4 Ml</t>
  </si>
  <si>
    <t xml:space="preserve">Regime previdenciário previsto para a obra:</t>
  </si>
  <si>
    <t xml:space="preserve">AM0/5ML</t>
  </si>
  <si>
    <t xml:space="preserve">AMPOLA COM 0,5 mL</t>
  </si>
  <si>
    <t xml:space="preserve">Data base do Orçamento:</t>
  </si>
  <si>
    <t xml:space="preserve">AM1/5ML</t>
  </si>
  <si>
    <t xml:space="preserve">AMPOLA COM 1,5 mL</t>
  </si>
  <si>
    <t xml:space="preserve">AM10ML</t>
  </si>
  <si>
    <t xml:space="preserve">AMPOLA COM 10 mL</t>
  </si>
  <si>
    <t xml:space="preserve">Responsável pelo Orçamento</t>
  </si>
  <si>
    <t xml:space="preserve">AM1ML</t>
  </si>
  <si>
    <t xml:space="preserve">AMPOLA COM 1 mL</t>
  </si>
  <si>
    <t xml:space="preserve">Nome:</t>
  </si>
  <si>
    <t xml:space="preserve">ANA PAULA MESQUITA CICHOWSI</t>
  </si>
  <si>
    <t xml:space="preserve">AM2/5ML</t>
  </si>
  <si>
    <t xml:space="preserve">AMPOLA COM 2,5 mL</t>
  </si>
  <si>
    <t xml:space="preserve">CREA/CAU:</t>
  </si>
  <si>
    <t xml:space="preserve">RS 207.916</t>
  </si>
  <si>
    <t xml:space="preserve">AM2ML</t>
  </si>
  <si>
    <t xml:space="preserve">AMPOLA COM 2 mL</t>
  </si>
  <si>
    <t xml:space="preserve">ART/RRT:</t>
  </si>
  <si>
    <t xml:space="preserve">AM3ML</t>
  </si>
  <si>
    <t xml:space="preserve">AMPOLA COM 3 mL</t>
  </si>
  <si>
    <t xml:space="preserve">Data do preenchimento:</t>
  </si>
  <si>
    <t xml:space="preserve">AM4ML</t>
  </si>
  <si>
    <t xml:space="preserve">AMPOLA COM 4 mL</t>
  </si>
  <si>
    <t xml:space="preserve">AM5ML</t>
  </si>
  <si>
    <t xml:space="preserve">AMPOLA COM 5 mL</t>
  </si>
  <si>
    <t xml:space="preserve">Responsável pelo Tomador (Prefeito, no caso de Municípios)</t>
  </si>
  <si>
    <t xml:space="preserve">AM6ML</t>
  </si>
  <si>
    <t xml:space="preserve">AMPOLA COM 6 mL</t>
  </si>
  <si>
    <t xml:space="preserve">DARLENE TORRADA PEREIRA</t>
  </si>
  <si>
    <t xml:space="preserve">AM7ML</t>
  </si>
  <si>
    <t xml:space="preserve">AMPOLA COM 7 mL</t>
  </si>
  <si>
    <t xml:space="preserve">Cargo:</t>
  </si>
  <si>
    <t xml:space="preserve">PREFEITA MUNICIPAL</t>
  </si>
  <si>
    <t xml:space="preserve">ANO</t>
  </si>
  <si>
    <t xml:space="preserve">ANO/ANOS</t>
  </si>
  <si>
    <t xml:space="preserve">ANOS</t>
  </si>
  <si>
    <t xml:space="preserve">Arredondamento das frentes:</t>
  </si>
  <si>
    <t xml:space="preserve">ARR</t>
  </si>
  <si>
    <t xml:space="preserve">ARROBA</t>
  </si>
  <si>
    <t xml:space="preserve">AWG</t>
  </si>
  <si>
    <t xml:space="preserve">AMERICAN WIRE GAUGE</t>
  </si>
  <si>
    <t xml:space="preserve">B. RESULTADO DO PROCESSO LICITATÓRIO</t>
  </si>
  <si>
    <t xml:space="preserve">BAR</t>
  </si>
  <si>
    <t xml:space="preserve">BARRIL</t>
  </si>
  <si>
    <t xml:space="preserve">BAR.</t>
  </si>
  <si>
    <t xml:space="preserve">Licitação</t>
  </si>
  <si>
    <t xml:space="preserve">BD</t>
  </si>
  <si>
    <t xml:space="preserve">BALDE</t>
  </si>
  <si>
    <t xml:space="preserve">Data de emissão dos documentos de licitação:</t>
  </si>
  <si>
    <t xml:space="preserve">BIS</t>
  </si>
  <si>
    <t xml:space="preserve">BISNAGA</t>
  </si>
  <si>
    <t xml:space="preserve">Nº do CTEF (contrato com empresa):</t>
  </si>
  <si>
    <t xml:space="preserve">BIS/GL</t>
  </si>
  <si>
    <t xml:space="preserve">BISNAGA POR GALÃO</t>
  </si>
  <si>
    <t xml:space="preserve">Nome da empresa:</t>
  </si>
  <si>
    <t xml:space="preserve">BIS1/65G</t>
  </si>
  <si>
    <t xml:space="preserve">BISNAGA COM 1,65 g</t>
  </si>
  <si>
    <t xml:space="preserve">CNPJ da empresa:</t>
  </si>
  <si>
    <t xml:space="preserve">BIS1/8G</t>
  </si>
  <si>
    <t xml:space="preserve">BISNAGA COM 1,8 g</t>
  </si>
  <si>
    <t xml:space="preserve">Regime de execução do CTEF:</t>
  </si>
  <si>
    <t xml:space="preserve">BIS100G</t>
  </si>
  <si>
    <t xml:space="preserve">BISNAGA COM 100 g</t>
  </si>
  <si>
    <t xml:space="preserve">Data base do CTEF:</t>
  </si>
  <si>
    <t xml:space="preserve">BIS10G</t>
  </si>
  <si>
    <t xml:space="preserve">BISNAGA COM 10 g</t>
  </si>
  <si>
    <t xml:space="preserve">BIS135G</t>
  </si>
  <si>
    <t xml:space="preserve">BISNAGA COM 135 g</t>
  </si>
  <si>
    <t xml:space="preserve">BIS13G</t>
  </si>
  <si>
    <t xml:space="preserve">BISNAGA COM 13 g</t>
  </si>
  <si>
    <t xml:space="preserve">C. ACOMPANHAMENTO DO EMPREENDIMENTO</t>
  </si>
  <si>
    <t xml:space="preserve">BIS14G</t>
  </si>
  <si>
    <t xml:space="preserve">BISNAGA COM 14 g</t>
  </si>
  <si>
    <t xml:space="preserve">BIS15G</t>
  </si>
  <si>
    <t xml:space="preserve">BISNAGA COM 15 g</t>
  </si>
  <si>
    <t xml:space="preserve">Dados da obra</t>
  </si>
  <si>
    <t xml:space="preserve">BIS1G</t>
  </si>
  <si>
    <t xml:space="preserve">BISNAGA COM 1 g</t>
  </si>
  <si>
    <t xml:space="preserve">Data do Início da Obra:</t>
  </si>
  <si>
    <t xml:space="preserve">BIS20G</t>
  </si>
  <si>
    <t xml:space="preserve">BISNAGA COM 20 g</t>
  </si>
  <si>
    <t xml:space="preserve">Data de fechamento do RRE:</t>
  </si>
  <si>
    <t xml:space="preserve">BIS25G</t>
  </si>
  <si>
    <t xml:space="preserve">BISNAGA COM 25 g</t>
  </si>
  <si>
    <t xml:space="preserve">BIS28/8G</t>
  </si>
  <si>
    <t xml:space="preserve">BISNAGA COM 28,8 g</t>
  </si>
  <si>
    <t xml:space="preserve">Responsável pela Fiscalização</t>
  </si>
  <si>
    <t xml:space="preserve">BIS28G</t>
  </si>
  <si>
    <t xml:space="preserve">BISNAGA COM 28 g</t>
  </si>
  <si>
    <t xml:space="preserve">BIS2G</t>
  </si>
  <si>
    <t xml:space="preserve">BISNAGA COM 2 g</t>
  </si>
  <si>
    <t xml:space="preserve">Profissão:</t>
  </si>
  <si>
    <t xml:space="preserve">BIS3/5G</t>
  </si>
  <si>
    <t xml:space="preserve">BISNAGA COM 3,5 g</t>
  </si>
  <si>
    <t xml:space="preserve">CREA/CAU (para obras/projetos):</t>
  </si>
  <si>
    <t xml:space="preserve">BIS30G</t>
  </si>
  <si>
    <t xml:space="preserve">BISNAGA COM 30 g</t>
  </si>
  <si>
    <t xml:space="preserve">ART/RRT (para obras/projetos):</t>
  </si>
  <si>
    <t xml:space="preserve">BIS30ML</t>
  </si>
  <si>
    <t xml:space="preserve">BISNAGA COM 30 mL</t>
  </si>
  <si>
    <t xml:space="preserve">BIS40G</t>
  </si>
  <si>
    <t xml:space="preserve">BISNAGA COM 40 g</t>
  </si>
  <si>
    <t xml:space="preserve">BIS43G</t>
  </si>
  <si>
    <t xml:space="preserve">BISNAGA COM 43 g</t>
  </si>
  <si>
    <t xml:space="preserve">D. ACOMPANHAMENTO CAIXA</t>
  </si>
  <si>
    <t xml:space="preserve">BIS45G</t>
  </si>
  <si>
    <t xml:space="preserve">BISNAGA COM 45 g</t>
  </si>
  <si>
    <t xml:space="preserve">BIS47G</t>
  </si>
  <si>
    <t xml:space="preserve">BISNAGA COM 47 g</t>
  </si>
  <si>
    <t xml:space="preserve">Responsável Gerencial</t>
  </si>
  <si>
    <t xml:space="preserve">BIS4G</t>
  </si>
  <si>
    <t xml:space="preserve">BISNAGA COM 4 g</t>
  </si>
  <si>
    <t xml:space="preserve">BIS50G</t>
  </si>
  <si>
    <t xml:space="preserve">BISNAGA COM 50 g</t>
  </si>
  <si>
    <t xml:space="preserve">Função:</t>
  </si>
  <si>
    <t xml:space="preserve">BIS55G</t>
  </si>
  <si>
    <t xml:space="preserve">BISNAGA COM 55 g</t>
  </si>
  <si>
    <t xml:space="preserve">BIS56G</t>
  </si>
  <si>
    <t xml:space="preserve">BISNAGA COM 56 g</t>
  </si>
  <si>
    <t xml:space="preserve">BIS5G</t>
  </si>
  <si>
    <t xml:space="preserve">BISNAGA COM 5 g</t>
  </si>
  <si>
    <t xml:space="preserve">BIS60G</t>
  </si>
  <si>
    <t xml:space="preserve">BISNAGA COM 60 g</t>
  </si>
  <si>
    <t xml:space="preserve">BIS6G</t>
  </si>
  <si>
    <t xml:space="preserve">BISNAGA COM 6 g</t>
  </si>
  <si>
    <t xml:space="preserve">BIS7/5G</t>
  </si>
  <si>
    <t xml:space="preserve">BISNAGA COM 7,5 g</t>
  </si>
  <si>
    <t xml:space="preserve">BIS70G</t>
  </si>
  <si>
    <t xml:space="preserve">BISNAGA COM 70 g</t>
  </si>
  <si>
    <t xml:space="preserve">BIS80G</t>
  </si>
  <si>
    <t xml:space="preserve">BISNAGA COM 80 g</t>
  </si>
  <si>
    <t xml:space="preserve">BIS90G</t>
  </si>
  <si>
    <t xml:space="preserve">BISNAGA COM 90 g</t>
  </si>
  <si>
    <t xml:space="preserve">BIT</t>
  </si>
  <si>
    <t xml:space="preserve">BITS</t>
  </si>
  <si>
    <t xml:space="preserve">BL</t>
  </si>
  <si>
    <t xml:space="preserve">BLOCO</t>
  </si>
  <si>
    <t xml:space="preserve">BLIS</t>
  </si>
  <si>
    <t xml:space="preserve">BLISTER</t>
  </si>
  <si>
    <t xml:space="preserve">BLIS21CP</t>
  </si>
  <si>
    <t xml:space="preserve">BLISTER COM 21 COMPRIMIDOS</t>
  </si>
  <si>
    <t xml:space="preserve">BLIS35CP</t>
  </si>
  <si>
    <t xml:space="preserve">BLISTER COM 35 COMPRIMIDOS</t>
  </si>
  <si>
    <t xml:space="preserve">BOB</t>
  </si>
  <si>
    <t xml:space="preserve">BOBINA</t>
  </si>
  <si>
    <t xml:space="preserve">BOL</t>
  </si>
  <si>
    <t xml:space="preserve">BOLSA</t>
  </si>
  <si>
    <t xml:space="preserve">BOM</t>
  </si>
  <si>
    <t xml:space="preserve">BOMBONA</t>
  </si>
  <si>
    <t xml:space="preserve">BPM</t>
  </si>
  <si>
    <t xml:space="preserve">BATIDA POR MINUTO</t>
  </si>
  <si>
    <t xml:space="preserve">BPS</t>
  </si>
  <si>
    <t xml:space="preserve">BYTE POR SEGUNDO</t>
  </si>
  <si>
    <t xml:space="preserve">BR</t>
  </si>
  <si>
    <t xml:space="preserve">BARRA</t>
  </si>
  <si>
    <t xml:space="preserve">BRI</t>
  </si>
  <si>
    <t xml:space="preserve">BARRICA</t>
  </si>
  <si>
    <t xml:space="preserve">BTJ</t>
  </si>
  <si>
    <t xml:space="preserve">BOTIJÃO</t>
  </si>
  <si>
    <t xml:space="preserve">BTU</t>
  </si>
  <si>
    <t xml:space="preserve">BRITISH THERMAL UNIT</t>
  </si>
  <si>
    <t xml:space="preserve">BTU/H</t>
  </si>
  <si>
    <t xml:space="preserve">BTU POR HORA</t>
  </si>
  <si>
    <t xml:space="preserve">BWG</t>
  </si>
  <si>
    <t xml:space="preserve">FIEIRA DE BIRMINGHAN</t>
  </si>
  <si>
    <t xml:space="preserve">C</t>
  </si>
  <si>
    <t xml:space="preserve">CENTENA</t>
  </si>
  <si>
    <t xml:space="preserve">CA</t>
  </si>
  <si>
    <t xml:space="preserve">CARTUCHO</t>
  </si>
  <si>
    <t xml:space="preserve">CAD</t>
  </si>
  <si>
    <t xml:space="preserve">CADERNO</t>
  </si>
  <si>
    <t xml:space="preserve">CAL/G</t>
  </si>
  <si>
    <t xml:space="preserve">CALORIA/GRAMA</t>
  </si>
  <si>
    <t xml:space="preserve">CAPS</t>
  </si>
  <si>
    <t xml:space="preserve">CÁPSULA</t>
  </si>
  <si>
    <t xml:space="preserve">CAR</t>
  </si>
  <si>
    <t xml:space="preserve">CARACTER</t>
  </si>
  <si>
    <t xml:space="preserve">CC</t>
  </si>
  <si>
    <t xml:space="preserve">CILINDRADA</t>
  </si>
  <si>
    <t xml:space="preserve">CD</t>
  </si>
  <si>
    <t xml:space="preserve">CANDELA</t>
  </si>
  <si>
    <t xml:space="preserve">CD/M2</t>
  </si>
  <si>
    <t xml:space="preserve">CANDELA/METRO 2</t>
  </si>
  <si>
    <t xml:space="preserve">CENTO</t>
  </si>
  <si>
    <t xml:space="preserve">CG</t>
  </si>
  <si>
    <t xml:space="preserve">CENTIGRAMA</t>
  </si>
  <si>
    <t xml:space="preserve">CH</t>
  </si>
  <si>
    <t xml:space="preserve">CHAPA</t>
  </si>
  <si>
    <t xml:space="preserve">CHI</t>
  </si>
  <si>
    <t xml:space="preserve">CHP</t>
  </si>
  <si>
    <t xml:space="preserve">CI</t>
  </si>
  <si>
    <t xml:space="preserve">CURIE</t>
  </si>
  <si>
    <t xml:space="preserve">CIL</t>
  </si>
  <si>
    <t xml:space="preserve">CILINDRO</t>
  </si>
  <si>
    <t xml:space="preserve">CIN</t>
  </si>
  <si>
    <t xml:space="preserve">CINQUENTA</t>
  </si>
  <si>
    <t xml:space="preserve">CJ</t>
  </si>
  <si>
    <t xml:space="preserve">CONJUNTO</t>
  </si>
  <si>
    <t xml:space="preserve">CL</t>
  </si>
  <si>
    <t xml:space="preserve">CENTILITRO</t>
  </si>
  <si>
    <t xml:space="preserve">CM</t>
  </si>
  <si>
    <t xml:space="preserve">CENTÍMETRO</t>
  </si>
  <si>
    <t xml:space="preserve">CM/POL</t>
  </si>
  <si>
    <t xml:space="preserve">CENTÍMETRO/POLEGADA</t>
  </si>
  <si>
    <t xml:space="preserve">CM2</t>
  </si>
  <si>
    <t xml:space="preserve">CENTIMETRO QUADRADO</t>
  </si>
  <si>
    <t xml:space="preserve">CM2/H</t>
  </si>
  <si>
    <t xml:space="preserve">CENT.QUAD/HORA</t>
  </si>
  <si>
    <t xml:space="preserve">CM2/M</t>
  </si>
  <si>
    <t xml:space="preserve">CENT.QUADRADO/METRO</t>
  </si>
  <si>
    <t xml:space="preserve">CM3</t>
  </si>
  <si>
    <t xml:space="preserve">CENTÍMETRO CÚBICO</t>
  </si>
  <si>
    <t xml:space="preserve">CM³/H</t>
  </si>
  <si>
    <t xml:space="preserve">CENT.CÚBICO POR HORA</t>
  </si>
  <si>
    <t xml:space="preserve">CM³/MIN</t>
  </si>
  <si>
    <t xml:space="preserve">CM³/MINUTO</t>
  </si>
  <si>
    <t xml:space="preserve">CNT</t>
  </si>
  <si>
    <t xml:space="preserve">RECIPIENTE</t>
  </si>
  <si>
    <t xml:space="preserve">CO</t>
  </si>
  <si>
    <t xml:space="preserve">CONTEINER</t>
  </si>
  <si>
    <t xml:space="preserve">COL</t>
  </si>
  <si>
    <t xml:space="preserve">COLEÇÃO</t>
  </si>
  <si>
    <t xml:space="preserve">COMP</t>
  </si>
  <si>
    <t xml:space="preserve">COMPRIMENTO</t>
  </si>
  <si>
    <t xml:space="preserve">COMPR</t>
  </si>
  <si>
    <t xml:space="preserve">COMPRIMIDO</t>
  </si>
  <si>
    <t xml:space="preserve">CÓPIA</t>
  </si>
  <si>
    <t xml:space="preserve">COPO</t>
  </si>
  <si>
    <t xml:space="preserve">CP</t>
  </si>
  <si>
    <t xml:space="preserve">CENTIPOISE</t>
  </si>
  <si>
    <t xml:space="preserve">CPL</t>
  </si>
  <si>
    <t xml:space="preserve">CARACTERES POR LINHA</t>
  </si>
  <si>
    <t xml:space="preserve">CPM</t>
  </si>
  <si>
    <t xml:space="preserve">CÓPIA POR MINUTO</t>
  </si>
  <si>
    <t xml:space="preserve">CPS</t>
  </si>
  <si>
    <t xml:space="preserve">CARACTER POR SEGUNDO</t>
  </si>
  <si>
    <t xml:space="preserve">CRT</t>
  </si>
  <si>
    <t xml:space="preserve">CARRETEL</t>
  </si>
  <si>
    <t xml:space="preserve">CS</t>
  </si>
  <si>
    <t xml:space="preserve">GRADEADO DE JAULA</t>
  </si>
  <si>
    <t xml:space="preserve">CST</t>
  </si>
  <si>
    <t xml:space="preserve">CENTISTOCKS</t>
  </si>
  <si>
    <t xml:space="preserve">CT</t>
  </si>
  <si>
    <t xml:space="preserve">CARTAO</t>
  </si>
  <si>
    <t xml:space="preserve">CTE</t>
  </si>
  <si>
    <t xml:space="preserve">CARTELA</t>
  </si>
  <si>
    <t xml:space="preserve">CV</t>
  </si>
  <si>
    <t xml:space="preserve">CAVALO VAPOR</t>
  </si>
  <si>
    <t xml:space="preserve">CX</t>
  </si>
  <si>
    <t xml:space="preserve">CAIXA</t>
  </si>
  <si>
    <t xml:space="preserve">CX100UN</t>
  </si>
  <si>
    <t xml:space="preserve">CAIXA COM 100 UNIDADES</t>
  </si>
  <si>
    <t xml:space="preserve">CX40UN</t>
  </si>
  <si>
    <t xml:space="preserve">CAIXA COM 40 UNIDADES</t>
  </si>
  <si>
    <t xml:space="preserve">D</t>
  </si>
  <si>
    <t xml:space="preserve">DIA</t>
  </si>
  <si>
    <t xml:space="preserve">DAG</t>
  </si>
  <si>
    <t xml:space="preserve">DECAGRAMA</t>
  </si>
  <si>
    <t xml:space="preserve">DAL</t>
  </si>
  <si>
    <t xml:space="preserve">DECALITRO</t>
  </si>
  <si>
    <t xml:space="preserve">DAM</t>
  </si>
  <si>
    <t xml:space="preserve">DECAMETRO</t>
  </si>
  <si>
    <t xml:space="preserve">DAN</t>
  </si>
  <si>
    <t xml:space="preserve">DECANEWTON</t>
  </si>
  <si>
    <t xml:space="preserve">DB</t>
  </si>
  <si>
    <t xml:space="preserve">DECIBEL</t>
  </si>
  <si>
    <t xml:space="preserve">DBM</t>
  </si>
  <si>
    <t xml:space="preserve">DECIBEL MILIWATT</t>
  </si>
  <si>
    <t xml:space="preserve">DG</t>
  </si>
  <si>
    <t xml:space="preserve">DECIGRAMA</t>
  </si>
  <si>
    <t xml:space="preserve">DGT</t>
  </si>
  <si>
    <t xml:space="preserve">DÍGITO</t>
  </si>
  <si>
    <t xml:space="preserve">DIAS</t>
  </si>
  <si>
    <t xml:space="preserve">DISCO</t>
  </si>
  <si>
    <t xml:space="preserve">DL</t>
  </si>
  <si>
    <t xml:space="preserve">DM</t>
  </si>
  <si>
    <t xml:space="preserve">DECIMETRO</t>
  </si>
  <si>
    <t xml:space="preserve">DM2</t>
  </si>
  <si>
    <t xml:space="preserve">DECIMETRO QUADRADO</t>
  </si>
  <si>
    <t xml:space="preserve">DM3</t>
  </si>
  <si>
    <t xml:space="preserve">DECIMETRO CUBICO</t>
  </si>
  <si>
    <t xml:space="preserve">DOSES</t>
  </si>
  <si>
    <t xml:space="preserve">DPI</t>
  </si>
  <si>
    <t xml:space="preserve">PONTOS DE DEFINIÇÃO</t>
  </si>
  <si>
    <t xml:space="preserve">DPT</t>
  </si>
  <si>
    <t xml:space="preserve">DIOPTRIA</t>
  </si>
  <si>
    <t xml:space="preserve">DRAG</t>
  </si>
  <si>
    <t xml:space="preserve">DRÁGEA</t>
  </si>
  <si>
    <t xml:space="preserve">DZ</t>
  </si>
  <si>
    <t xml:space="preserve">DUZIA</t>
  </si>
  <si>
    <t xml:space="preserve">EMB</t>
  </si>
  <si>
    <t xml:space="preserve">EMBALAGEM</t>
  </si>
  <si>
    <t xml:space="preserve">EMB/H</t>
  </si>
  <si>
    <t xml:space="preserve">EMBALAGEM POR HORA</t>
  </si>
  <si>
    <t xml:space="preserve">EMP</t>
  </si>
  <si>
    <t xml:space="preserve">EMPLASTRO</t>
  </si>
  <si>
    <t xml:space="preserve">ENV</t>
  </si>
  <si>
    <t xml:space="preserve">ENVELOPE</t>
  </si>
  <si>
    <t xml:space="preserve">ENV27/9G</t>
  </si>
  <si>
    <t xml:space="preserve">ENVELOPE COM 27,9 g</t>
  </si>
  <si>
    <t xml:space="preserve">ENV30G</t>
  </si>
  <si>
    <t xml:space="preserve">ENVELOPE COM 30 g</t>
  </si>
  <si>
    <t xml:space="preserve">EQP</t>
  </si>
  <si>
    <t xml:space="preserve">EQUIPAMENTO</t>
  </si>
  <si>
    <t xml:space="preserve">EST</t>
  </si>
  <si>
    <t xml:space="preserve">ESTUDANTE</t>
  </si>
  <si>
    <t xml:space="preserve">EV</t>
  </si>
  <si>
    <t xml:space="preserve">ELÉTRON-VOLT</t>
  </si>
  <si>
    <t xml:space="preserve">F</t>
  </si>
  <si>
    <t xml:space="preserve">FARAD</t>
  </si>
  <si>
    <t xml:space="preserve">FCK</t>
  </si>
  <si>
    <t xml:space="preserve">FD</t>
  </si>
  <si>
    <t xml:space="preserve">FARDO</t>
  </si>
  <si>
    <t xml:space="preserve">FL</t>
  </si>
  <si>
    <t xml:space="preserve">FOLHA</t>
  </si>
  <si>
    <t xml:space="preserve">FLAC</t>
  </si>
  <si>
    <t xml:space="preserve">FLACONETE</t>
  </si>
  <si>
    <t xml:space="preserve">FLS/H</t>
  </si>
  <si>
    <t xml:space="preserve">FOLHAS POR HORA</t>
  </si>
  <si>
    <t xml:space="preserve">FPM</t>
  </si>
  <si>
    <t xml:space="preserve">FLASH POR MINUTO</t>
  </si>
  <si>
    <t xml:space="preserve">FPS</t>
  </si>
  <si>
    <t xml:space="preserve">FOTOS P/SEGUNDO</t>
  </si>
  <si>
    <t xml:space="preserve">FR</t>
  </si>
  <si>
    <t xml:space="preserve">FRASCO</t>
  </si>
  <si>
    <t xml:space="preserve">FR1000ML</t>
  </si>
  <si>
    <t xml:space="preserve">FRASCO COM 1000 mL</t>
  </si>
  <si>
    <t xml:space="preserve">FR100DS</t>
  </si>
  <si>
    <t xml:space="preserve">FRASCO COM 100 DOSES</t>
  </si>
  <si>
    <t xml:space="preserve">FR100ML</t>
  </si>
  <si>
    <t xml:space="preserve">FRASCO COM 100 mL</t>
  </si>
  <si>
    <t xml:space="preserve">FR105ML</t>
  </si>
  <si>
    <t xml:space="preserve">FRASCO COM 105 mL</t>
  </si>
  <si>
    <t xml:space="preserve">FR10ML</t>
  </si>
  <si>
    <t xml:space="preserve">FRASCO COM 10 mL</t>
  </si>
  <si>
    <t xml:space="preserve">FR110ML</t>
  </si>
  <si>
    <t xml:space="preserve">FRASCO COM 110 mL</t>
  </si>
  <si>
    <t xml:space="preserve">FR1200MG</t>
  </si>
  <si>
    <t xml:space="preserve">FRASCO COM 1200 MG</t>
  </si>
  <si>
    <t xml:space="preserve">FR120DS</t>
  </si>
  <si>
    <t xml:space="preserve">FRASCO COM 120 DOSES</t>
  </si>
  <si>
    <t xml:space="preserve">FR120ML</t>
  </si>
  <si>
    <t xml:space="preserve">FRASCO COM 120 mL</t>
  </si>
  <si>
    <t xml:space="preserve">FR125ML</t>
  </si>
  <si>
    <t xml:space="preserve">FRASCO COM 125 mL</t>
  </si>
  <si>
    <t xml:space="preserve">FR130DS</t>
  </si>
  <si>
    <t xml:space="preserve">FRASCO COM 130 DOSES</t>
  </si>
  <si>
    <t xml:space="preserve">FR1500MG</t>
  </si>
  <si>
    <t xml:space="preserve">FRASCO COM 1500 MG</t>
  </si>
  <si>
    <t xml:space="preserve">FR150DS</t>
  </si>
  <si>
    <t xml:space="preserve">FRASCO COM 150 DOSES</t>
  </si>
  <si>
    <t xml:space="preserve">FR150ML</t>
  </si>
  <si>
    <t xml:space="preserve">FRASCO COM 150 mL</t>
  </si>
  <si>
    <t xml:space="preserve">FR15ML</t>
  </si>
  <si>
    <t xml:space="preserve">FRASCO COM 15 mL</t>
  </si>
  <si>
    <t xml:space="preserve">FR160ML</t>
  </si>
  <si>
    <t xml:space="preserve">FRASCO COM 160 mL</t>
  </si>
  <si>
    <t xml:space="preserve">FR200DS</t>
  </si>
  <si>
    <t xml:space="preserve">FRASCO COM 200 DOSES</t>
  </si>
  <si>
    <t xml:space="preserve">FR200ML</t>
  </si>
  <si>
    <t xml:space="preserve">FRASCO COM 200 mL</t>
  </si>
  <si>
    <t xml:space="preserve">FR20ML</t>
  </si>
  <si>
    <t xml:space="preserve">FRASCO COM 20 mL</t>
  </si>
  <si>
    <t xml:space="preserve">FR240ML</t>
  </si>
  <si>
    <t xml:space="preserve">FRASCO COM 240 mL</t>
  </si>
  <si>
    <t xml:space="preserve">FR250ML</t>
  </si>
  <si>
    <t xml:space="preserve">FRASCO COM 250 mL</t>
  </si>
  <si>
    <t xml:space="preserve">FR300DS</t>
  </si>
  <si>
    <t xml:space="preserve">FRASCO COM 300 DOSES</t>
  </si>
  <si>
    <t xml:space="preserve">FR300ML</t>
  </si>
  <si>
    <t xml:space="preserve">FRASCO COM 300 mL</t>
  </si>
  <si>
    <t xml:space="preserve">FR30DS</t>
  </si>
  <si>
    <t xml:space="preserve">FRASCO COM 30 DOSES</t>
  </si>
  <si>
    <t xml:space="preserve">FR30G</t>
  </si>
  <si>
    <t xml:space="preserve">FRASCO COM 30 g</t>
  </si>
  <si>
    <t xml:space="preserve">FR30ML</t>
  </si>
  <si>
    <t xml:space="preserve">FRASCO COM 30 mL</t>
  </si>
  <si>
    <t xml:space="preserve">FR340ML</t>
  </si>
  <si>
    <t xml:space="preserve">FRASCO COM 340 mL</t>
  </si>
  <si>
    <t xml:space="preserve">FR350ML</t>
  </si>
  <si>
    <t xml:space="preserve">FRASCO COM 350 mL</t>
  </si>
  <si>
    <t xml:space="preserve">FR40ML</t>
  </si>
  <si>
    <t xml:space="preserve">FRASCO COM 40 mL</t>
  </si>
  <si>
    <t xml:space="preserve">FR45ML</t>
  </si>
  <si>
    <t xml:space="preserve">FRASCO COM 45 mL</t>
  </si>
  <si>
    <t xml:space="preserve">FR500ML</t>
  </si>
  <si>
    <t xml:space="preserve">FRASCO COM 500 mL</t>
  </si>
  <si>
    <t xml:space="preserve">H</t>
  </si>
  <si>
    <t xml:space="preserve">HORA</t>
  </si>
  <si>
    <t xml:space="preserve">KG</t>
  </si>
  <si>
    <t xml:space="preserve">QUILOGRAMA</t>
  </si>
  <si>
    <t xml:space="preserve">KM</t>
  </si>
  <si>
    <t xml:space="preserve">QUILOMETRO</t>
  </si>
  <si>
    <t xml:space="preserve">M</t>
  </si>
  <si>
    <t xml:space="preserve">METRO</t>
  </si>
  <si>
    <t xml:space="preserve">M2</t>
  </si>
  <si>
    <t xml:space="preserve">METRO QUADRADO</t>
  </si>
  <si>
    <t xml:space="preserve">M3</t>
  </si>
  <si>
    <t xml:space="preserve">METRO CÚBICO</t>
  </si>
  <si>
    <t xml:space="preserve">M3XKM</t>
  </si>
  <si>
    <t xml:space="preserve">MES</t>
  </si>
  <si>
    <t xml:space="preserve">MÊS</t>
  </si>
  <si>
    <t xml:space="preserve">MÊS/MESES</t>
  </si>
  <si>
    <t xml:space="preserve">MESES</t>
  </si>
  <si>
    <t xml:space="preserve">OUTRAS</t>
  </si>
  <si>
    <t xml:space="preserve">PAR</t>
  </si>
  <si>
    <t xml:space="preserve">PC</t>
  </si>
  <si>
    <t xml:space="preserve">PEÇA</t>
  </si>
  <si>
    <t xml:space="preserve">T</t>
  </si>
  <si>
    <t xml:space="preserve">TONELADA</t>
  </si>
  <si>
    <t xml:space="preserve">TXKM</t>
  </si>
  <si>
    <t xml:space="preserve">UN</t>
  </si>
  <si>
    <t xml:space="preserve">UNIDADE</t>
  </si>
  <si>
    <t xml:space="preserve">MIN</t>
  </si>
  <si>
    <t xml:space="preserve">MED</t>
  </si>
  <si>
    <t xml:space="preserve">MAX</t>
  </si>
  <si>
    <t xml:space="preserve">Grau de Sigilo</t>
  </si>
  <si>
    <t xml:space="preserve">Construção e Reforma de Edifícios</t>
  </si>
  <si>
    <t xml:space="preserve">AC</t>
  </si>
  <si>
    <t xml:space="preserve">#PUBLICO</t>
  </si>
  <si>
    <t xml:space="preserve">SG</t>
  </si>
  <si>
    <t xml:space="preserve">R</t>
  </si>
  <si>
    <t xml:space="preserve">Nº OPERAÇÃO</t>
  </si>
  <si>
    <t xml:space="preserve">Nº TRANSFEREGOV</t>
  </si>
  <si>
    <t xml:space="preserve">PROPONENTE / TOMADOR</t>
  </si>
  <si>
    <t xml:space="preserve">DF</t>
  </si>
  <si>
    <t xml:space="preserve">L</t>
  </si>
  <si>
    <t xml:space="preserve">FILTRO</t>
  </si>
  <si>
    <t xml:space="preserve">BDI PAD</t>
  </si>
  <si>
    <t xml:space="preserve">APELIDO DO EMPREENDIMENTO / DESCRIÇÃO DO LOTE</t>
  </si>
  <si>
    <t xml:space="preserve">Construção de Praças Urbanas, Rodovias, Ferrovias e recapeamento e pavimentação de vias urbanas</t>
  </si>
  <si>
    <t xml:space="preserve">Conforme legislação tributária municipal, definir estimativa de percentual da base de cálculo para o ISS:</t>
  </si>
  <si>
    <t xml:space="preserve">↓</t>
  </si>
  <si>
    <t xml:space="preserve">Sobre a base de cálculo, definir a respectiva alíquota do ISS (entre 2% e 5%):</t>
  </si>
  <si>
    <t xml:space="preserve">Construção de Redes de Abastecimento de Água, Coleta de Esgoto</t>
  </si>
  <si>
    <t xml:space="preserve">BDI 1</t>
  </si>
  <si>
    <t xml:space="preserve">TIPO DE OBRA</t>
  </si>
  <si>
    <t xml:space="preserve">Itens</t>
  </si>
  <si>
    <t xml:space="preserve">Siglas</t>
  </si>
  <si>
    <t xml:space="preserve">% Adotado</t>
  </si>
  <si>
    <t xml:space="preserve">Situação</t>
  </si>
  <si>
    <t xml:space="preserve">1º Quartil</t>
  </si>
  <si>
    <t xml:space="preserve">Médio</t>
  </si>
  <si>
    <t xml:space="preserve">3º Quartil</t>
  </si>
  <si>
    <t xml:space="preserve">Construção e Manutenção de Estações e Redes de Distribuição de Energia Elétrica</t>
  </si>
  <si>
    <t xml:space="preserve">Risco</t>
  </si>
  <si>
    <t xml:space="preserve">Despesas Financeiras</t>
  </si>
  <si>
    <t xml:space="preserve">Obras Portuárias, Marítimas e Fluviais</t>
  </si>
  <si>
    <t xml:space="preserve">Tributos (impostos COFINS 3%, e  PIS 0,65%)</t>
  </si>
  <si>
    <t xml:space="preserve">Tributos (ISS, variável de acordo com o município)</t>
  </si>
  <si>
    <t xml:space="preserve">ISS</t>
  </si>
  <si>
    <t xml:space="preserve">Tributos (Contribuição Previdenciária sobre a Receita Bruta - Lei 12.546 de 14/12/2011 - Desoneração)</t>
  </si>
  <si>
    <t xml:space="preserve">CPRB</t>
  </si>
  <si>
    <t xml:space="preserve">BDI SEM desoneração (Fórmula Acórdão TCU)</t>
  </si>
  <si>
    <t xml:space="preserve">BDI COM desoneração</t>
  </si>
  <si>
    <t xml:space="preserve">BDI DES</t>
  </si>
  <si>
    <t xml:space="preserve">Fornecimento de Materiais e Equipamentos (aquisição indireta - em conjunto com licitação de obras)</t>
  </si>
  <si>
    <t xml:space="preserve">Os valores de BDI foram calculados com o emprego da fórmula:</t>
  </si>
  <si>
    <t xml:space="preserve">BDI =</t>
  </si>
  <si>
    <t xml:space="preserve"> - 1</t>
  </si>
  <si>
    <t xml:space="preserve">(1-CP-ISS-CRPB)</t>
  </si>
  <si>
    <t xml:space="preserve">Fornecimento de Materiais e Equipamentos (aquisição direta)</t>
  </si>
  <si>
    <t xml:space="preserve">-</t>
  </si>
  <si>
    <t xml:space="preserve">Observações:</t>
  </si>
  <si>
    <t xml:space="preserve">Estudos e Projetos, Planos e Gerenciamento e outros correlatos</t>
  </si>
  <si>
    <t xml:space="preserve">K1</t>
  </si>
  <si>
    <t xml:space="preserve">K2</t>
  </si>
  <si>
    <t xml:space="preserve">Local</t>
  </si>
  <si>
    <t xml:space="preserve">Data</t>
  </si>
  <si>
    <t xml:space="preserve">K3</t>
  </si>
  <si>
    <t xml:space="preserve">Responsável Técnico</t>
  </si>
  <si>
    <t xml:space="preserve">BDI 2</t>
  </si>
  <si>
    <t xml:space="preserve">BDI 3</t>
  </si>
  <si>
    <t xml:space="preserve">PO - PLANILHA ORÇAMENTÁRIA</t>
  </si>
  <si>
    <t xml:space="preserve">LOTE</t>
  </si>
  <si>
    <t xml:space="preserve">Meta</t>
  </si>
  <si>
    <t xml:space="preserve">Nível 2</t>
  </si>
  <si>
    <t xml:space="preserve">Nível 3</t>
  </si>
  <si>
    <t xml:space="preserve">Nível 4</t>
  </si>
  <si>
    <t xml:space="preserve">Serviço</t>
  </si>
  <si>
    <t xml:space="preserve">SINAPI</t>
  </si>
  <si>
    <t xml:space="preserve">SINAPI-I</t>
  </si>
  <si>
    <t xml:space="preserve">SICRO</t>
  </si>
  <si>
    <t xml:space="preserve">Composição</t>
  </si>
  <si>
    <t xml:space="preserve">Cotação</t>
  </si>
  <si>
    <t xml:space="preserve">Nmax</t>
  </si>
  <si>
    <t xml:space="preserve">Nº TransfereGOV</t>
  </si>
  <si>
    <t xml:space="preserve">APELIDO DO EMPREENDIMENTO</t>
  </si>
  <si>
    <t xml:space="preserve">RA</t>
  </si>
  <si>
    <t xml:space="preserve">RP</t>
  </si>
  <si>
    <t xml:space="preserve">OU</t>
  </si>
  <si>
    <t xml:space="preserve">LOCALIDADE SINAPI</t>
  </si>
  <si>
    <t xml:space="preserve">DATA BASE</t>
  </si>
  <si>
    <t xml:space="preserve">Quantidade</t>
  </si>
  <si>
    <t xml:space="preserve">QUANTIDADES: ACOMP. POR BM</t>
  </si>
  <si>
    <t xml:space="preserve">PREÇO UNITÁRIO LICITADO</t>
  </si>
  <si>
    <t xml:space="preserve">Intervalo de procura:</t>
  </si>
  <si>
    <t xml:space="preserve">RECURSO</t>
  </si>
  <si>
    <t xml:space="preserve">SGL RECURSO</t>
  </si>
  <si>
    <t xml:space="preserve">Custo Unitáro</t>
  </si>
  <si>
    <t xml:space="preserve">Localidade:</t>
  </si>
  <si>
    <t xml:space="preserve">Data base:</t>
  </si>
  <si>
    <t xml:space="preserve">ERRO GERAL</t>
  </si>
  <si>
    <t xml:space="preserve">Preço Unitário</t>
  </si>
  <si>
    <t xml:space="preserve">Preço Total</t>
  </si>
  <si>
    <t xml:space="preserve">Valores não Arredondados</t>
  </si>
  <si>
    <t xml:space="preserve">Nível E</t>
  </si>
  <si>
    <t xml:space="preserve">Save Nivel</t>
  </si>
  <si>
    <t xml:space="preserve">Nível C</t>
  </si>
  <si>
    <t xml:space="preserve">Altura</t>
  </si>
  <si>
    <t xml:space="preserve">n1</t>
  </si>
  <si>
    <t xml:space="preserve">n2</t>
  </si>
  <si>
    <t xml:space="preserve">n3</t>
  </si>
  <si>
    <t xml:space="preserve">n4</t>
  </si>
  <si>
    <t xml:space="preserve">n5</t>
  </si>
  <si>
    <t xml:space="preserve">Czero</t>
  </si>
  <si>
    <t xml:space="preserve">Cnível</t>
  </si>
  <si>
    <t xml:space="preserve">Nível</t>
  </si>
  <si>
    <t xml:space="preserve">Nível Corrigido</t>
  </si>
  <si>
    <t xml:space="preserve">Item</t>
  </si>
  <si>
    <t xml:space="preserve">Fonte</t>
  </si>
  <si>
    <t xml:space="preserve">Código</t>
  </si>
  <si>
    <t xml:space="preserve">Unidade</t>
  </si>
  <si>
    <t xml:space="preserve">Preço Unitário (com BDI) (R$)</t>
  </si>
  <si>
    <t xml:space="preserve">Preço Total
(R$)</t>
  </si>
  <si>
    <t xml:space="preserve">Contrapartida (R$)</t>
  </si>
  <si>
    <t xml:space="preserve">Outros (R$)</t>
  </si>
  <si>
    <t xml:space="preserve">Erro de Dados</t>
  </si>
  <si>
    <t xml:space="preserve">Lista Crono</t>
  </si>
  <si>
    <t xml:space="preserve">Concatenação Fonte-Código</t>
  </si>
  <si>
    <t xml:space="preserve">BancoDesloc</t>
  </si>
  <si>
    <t xml:space="preserve">Custo Unitário Referência (R$)</t>
  </si>
  <si>
    <t xml:space="preserve">Preço Total
Licit. (R$)</t>
  </si>
  <si>
    <t xml:space="preserve">Preço Unitário Edital (R$)</t>
  </si>
  <si>
    <t xml:space="preserve"> </t>
  </si>
  <si>
    <t xml:space="preserve">REVITALIZAÇÃO DIVERSAS RUAS - RUA CARLOS GOMES</t>
  </si>
  <si>
    <t xml:space="preserve">PAVIMENTAÇÃO DE PARALELEPÍPEDOS</t>
  </si>
  <si>
    <t xml:space="preserve">101850</t>
  </si>
  <si>
    <t xml:space="preserve">REMOÇÃO E REASSENTAMENTO DE PAVIMENTO COM PARALELEPÍPEDOS - REJUNTAMENTO COM PÓ DE PEDRA - 85%</t>
  </si>
  <si>
    <t xml:space="preserve">ACAMENTO DE PAVIMENTAÇÃO COM PARALELPÍPEDOS</t>
  </si>
  <si>
    <t xml:space="preserve">REMOÇÃO E REASSENTAMENTO DE PAVIMENTO COM PARALELEPÍPEDOS - REJUNTAMENTO COM PÓ DE PEDRA - 15%</t>
  </si>
  <si>
    <t xml:space="preserve">Encargos sociais:</t>
  </si>
  <si>
    <t xml:space="preserve">Para elaboração deste orçamento, foram utilizados os encargos sociais do SINAPI para a Unidade da Federação indicada.</t>
  </si>
  <si>
    <t xml:space="preserve">Siglas da Composição do Investimento: RA - Rateio proporcional entre Repasse e Contrapartida; RP - 100% Repasse; CP - 100% Contrapartida; OU - 100% Outros.</t>
  </si>
  <si>
    <t xml:space="preserve">AGRUPADORES DE EVENTOS</t>
  </si>
  <si>
    <r>
      <rPr>
        <sz val="10"/>
        <rFont val="Arial"/>
        <family val="2"/>
        <charset val="1"/>
      </rPr>
      <t xml:space="preserve">Grau de Sigilo
</t>
    </r>
    <r>
      <rPr>
        <b val="true"/>
        <sz val="10"/>
        <rFont val="Arial"/>
        <family val="2"/>
        <charset val="1"/>
      </rPr>
      <t xml:space="preserve">#PUBLICO</t>
    </r>
  </si>
  <si>
    <t xml:space="preserve">APELIDO EMPREENDIMENTO</t>
  </si>
  <si>
    <t xml:space="preserve">Automática, conforme os agrupadores Nível 2 do Orçamento</t>
  </si>
  <si>
    <t xml:space="preserve">1. Selecione abaixo a forma de definição dos agrupadores de eventos:</t>
  </si>
  <si>
    <t xml:space="preserve">Automática, conforme os agrupadores Nível 3 do Orçamento</t>
  </si>
  <si>
    <t xml:space="preserve">Automática, conforme os agrupadores Nível 4 do Orçamento</t>
  </si>
  <si>
    <t xml:space="preserve">Definir Manualmente</t>
  </si>
  <si>
    <t xml:space="preserve">Nº do Evento</t>
  </si>
  <si>
    <t xml:space="preserve">Título do Evento</t>
  </si>
  <si>
    <t xml:space="preserve">Valor Total dos Eventos (R$)</t>
  </si>
  <si>
    <t xml:space="preserve">Total:</t>
  </si>
  <si>
    <t xml:space="preserve">.</t>
  </si>
  <si>
    <t xml:space="preserve">Preços dos serviços por frente</t>
  </si>
  <si>
    <t xml:space="preserve">Mês do cronograma</t>
  </si>
  <si>
    <t xml:space="preserve">Número da Medição</t>
  </si>
  <si>
    <t xml:space="preserve">AdmLocal</t>
  </si>
  <si>
    <t xml:space="preserve">Empty</t>
  </si>
  <si>
    <t xml:space="preserve">Nº AGRUPADOR DE EVENTOS</t>
  </si>
  <si>
    <t xml:space="preserve">FRENTE 1 </t>
  </si>
  <si>
    <t xml:space="preserve">FRENTE 2</t>
  </si>
  <si>
    <t xml:space="preserve">FRENTE 3</t>
  </si>
  <si>
    <t xml:space="preserve">FRENTE 4</t>
  </si>
  <si>
    <t xml:space="preserve">FRENTE 5</t>
  </si>
  <si>
    <t xml:space="preserve">FRENTE 6 </t>
  </si>
  <si>
    <t xml:space="preserve">AUTOEVENTO</t>
  </si>
  <si>
    <t xml:space="preserve">Memória de Cálculo</t>
  </si>
  <si>
    <t xml:space="preserve">Nº</t>
  </si>
  <si>
    <t xml:space="preserve"># Evento</t>
  </si>
  <si>
    <t xml:space="preserve">Agrupador de Eventos</t>
  </si>
  <si>
    <t xml:space="preserve">TOTAL FINANC. POR FRENTE (R$):</t>
  </si>
  <si>
    <t xml:space="preserve">CRONOGRAMA PREVISTO PLE</t>
  </si>
  <si>
    <t xml:space="preserve">1. ADMINISTRAÇÃO LOCAL</t>
  </si>
  <si>
    <t xml:space="preserve">Título dos Eventos</t>
  </si>
  <si>
    <t xml:space="preserve">Cronograma</t>
  </si>
  <si>
    <t xml:space="preserve">Parcela</t>
  </si>
  <si>
    <t xml:space="preserve">%</t>
  </si>
  <si>
    <t xml:space="preserve">R$</t>
  </si>
  <si>
    <t xml:space="preserve">Acumulado</t>
  </si>
  <si>
    <t xml:space="preserve">Administração Local</t>
  </si>
  <si>
    <t xml:space="preserve">% Período:</t>
  </si>
  <si>
    <t xml:space="preserve">Níveis a Exibir no Cronograma:</t>
  </si>
  <si>
    <t xml:space="preserve">Nº TGOV</t>
  </si>
  <si>
    <t xml:space="preserve">PROPONENTE TOMADOR</t>
  </si>
  <si>
    <t xml:space="preserve">Lista Níveis a Exibir</t>
  </si>
  <si>
    <t xml:space="preserve">Lista Macrosserviços</t>
  </si>
  <si>
    <t xml:space="preserve">Falta distribuir:</t>
  </si>
  <si>
    <t xml:space="preserve">Valor (R$)</t>
  </si>
  <si>
    <t xml:space="preserve">Parcelas:</t>
  </si>
  <si>
    <t xml:space="preserve">Item CRONO</t>
  </si>
  <si>
    <t xml:space="preserve">Linha PO
Linha QCI
Total Adm Local</t>
  </si>
  <si>
    <t xml:space="preserve">Linhas a somar</t>
  </si>
  <si>
    <t xml:space="preserve">#</t>
  </si>
  <si>
    <t xml:space="preserve">%:</t>
  </si>
  <si>
    <t xml:space="preserve">Período:</t>
  </si>
  <si>
    <t xml:space="preserve">Contrapartida:</t>
  </si>
  <si>
    <t xml:space="preserve">Outros:</t>
  </si>
  <si>
    <t xml:space="preserve">Investimento:</t>
  </si>
  <si>
    <t xml:space="preserve">Acumulado:</t>
  </si>
  <si>
    <t xml:space="preserve">Administração Local:</t>
  </si>
  <si>
    <t xml:space="preserve">Lista Situação</t>
  </si>
  <si>
    <t xml:space="preserve">QCI - Quadro de Composição do Investimento</t>
  </si>
  <si>
    <t xml:space="preserve">Sem Projeto</t>
  </si>
  <si>
    <t xml:space="preserve">% Maior:</t>
  </si>
  <si>
    <t xml:space="preserve">% Rateio CP Fin:</t>
  </si>
  <si>
    <t xml:space="preserve">Em Análise</t>
  </si>
  <si>
    <t xml:space="preserve">MUNICÍPIO / UF</t>
  </si>
  <si>
    <t xml:space="preserve">VALORES CONTRATADOS (R$):</t>
  </si>
  <si>
    <t xml:space="preserve">Análise Concluída / A Licitar</t>
  </si>
  <si>
    <t xml:space="preserve">Licitado / Em Execução</t>
  </si>
  <si>
    <t xml:space="preserve">Concluído</t>
  </si>
  <si>
    <t xml:space="preserve">CONTRAPARTIDA</t>
  </si>
  <si>
    <t xml:space="preserve">INVESTIMENTO</t>
  </si>
  <si>
    <t xml:space="preserve">% CP Min Prog:</t>
  </si>
  <si>
    <t xml:space="preserve">% CP Absoluta:</t>
  </si>
  <si>
    <t xml:space="preserve">% CP Max Rep:</t>
  </si>
  <si>
    <t xml:space="preserve">Divisão Investimento</t>
  </si>
  <si>
    <t xml:space="preserve">Proporcional</t>
  </si>
  <si>
    <t xml:space="preserve">Calculado</t>
  </si>
  <si>
    <t xml:space="preserve">Saldo a Reprogramar</t>
  </si>
  <si>
    <t xml:space="preserve">Ordem Meta</t>
  </si>
  <si>
    <t xml:space="preserve">Arred</t>
  </si>
  <si>
    <t xml:space="preserve">Repasse (R$)</t>
  </si>
  <si>
    <t xml:space="preserve">Busca</t>
  </si>
  <si>
    <t xml:space="preserve">Item de Investimento</t>
  </si>
  <si>
    <t xml:space="preserve">Subitem de Investimento</t>
  </si>
  <si>
    <t xml:space="preserve">Descrição da Meta</t>
  </si>
  <si>
    <t xml:space="preserve">Unid.</t>
  </si>
  <si>
    <t xml:space="preserve">Lote de Licitação / nº do CTEF</t>
  </si>
  <si>
    <t xml:space="preserve">Contrapartida Financeira (R$)</t>
  </si>
  <si>
    <t xml:space="preserve">Investimento (R$)</t>
  </si>
  <si>
    <t xml:space="preserve">Divisão do Investimento</t>
  </si>
  <si>
    <t xml:space="preserve">TR$</t>
  </si>
  <si>
    <t xml:space="preserve">TOTAL</t>
  </si>
  <si>
    <t xml:space="preserve">T%</t>
  </si>
  <si>
    <t xml:space="preserve">Representante Tomador</t>
  </si>
  <si>
    <t xml:space="preserve">PLE - PLANILHA DE LEVANTAMENTO DE EVENTOS</t>
  </si>
  <si>
    <t xml:space="preserve">Medição:</t>
  </si>
  <si>
    <t xml:space="preserve">% Realizado Período.:</t>
  </si>
  <si>
    <t xml:space="preserve">% Realizado Acum.:</t>
  </si>
  <si>
    <t xml:space="preserve">Filtro</t>
  </si>
  <si>
    <t xml:space="preserve">Informe abaixo o NÚMERO DA MEDIÇÃO em que os eventos foram concluídos</t>
  </si>
  <si>
    <t xml:space="preserve">Data das Medições</t>
  </si>
  <si>
    <t xml:space="preserve">Medições</t>
  </si>
  <si>
    <t xml:space="preserve">Responsável Técnico pela Fiscalização</t>
  </si>
  <si>
    <t xml:space="preserve">Modo CAIXA</t>
  </si>
  <si>
    <t xml:space="preserve">INÍCIO DE OBRA</t>
  </si>
  <si>
    <t xml:space="preserve">Regime </t>
  </si>
  <si>
    <t xml:space="preserve">Fórmula CopMed</t>
  </si>
  <si>
    <t xml:space="preserve">Nº CTEF</t>
  </si>
  <si>
    <t xml:space="preserve">EMPRESA EXECUTORA</t>
  </si>
  <si>
    <t xml:space="preserve">CNPJ</t>
  </si>
  <si>
    <t xml:space="preserve">PERÍODO DA MEDIÇÃO</t>
  </si>
  <si>
    <t xml:space="preserve">Nº MEDIÇÃO</t>
  </si>
  <si>
    <t xml:space="preserve">ARREDMED</t>
  </si>
  <si>
    <t xml:space="preserve">Linha Adm. L.</t>
  </si>
  <si>
    <t xml:space="preserve">Anexo</t>
  </si>
  <si>
    <t xml:space="preserve">Datas das Medições</t>
  </si>
  <si>
    <t xml:space="preserve">Orçamento Contratado</t>
  </si>
  <si>
    <t xml:space="preserve">Evolução Financeira (R$)</t>
  </si>
  <si>
    <t xml:space="preserve">Quadro de Glosas</t>
  </si>
  <si>
    <t xml:space="preserve">Acum. Anterior</t>
  </si>
  <si>
    <t xml:space="preserve">Período</t>
  </si>
  <si>
    <t xml:space="preserve">Acum. Incluindo o Período</t>
  </si>
  <si>
    <t xml:space="preserve">Valor Total Glosado (R$)</t>
  </si>
  <si>
    <t xml:space="preserve">Motivo da Glosa</t>
  </si>
  <si>
    <t xml:space="preserve">Valor Total Medido (R$)</t>
  </si>
  <si>
    <t xml:space="preserve">TOTAL:</t>
  </si>
  <si>
    <t xml:space="preserve">Observações</t>
  </si>
  <si>
    <t xml:space="preserve">Profissional CAIXA:</t>
  </si>
  <si>
    <t xml:space="preserve">Matrícula</t>
  </si>
  <si>
    <r>
      <rPr>
        <sz val="10.5"/>
        <rFont val="Arial Narrow"/>
        <family val="2"/>
        <charset val="1"/>
      </rPr>
      <t xml:space="preserve">Grau de Sigilo
</t>
    </r>
    <r>
      <rPr>
        <b val="true"/>
        <sz val="10"/>
        <rFont val="Arial"/>
        <family val="2"/>
        <charset val="1"/>
      </rPr>
      <t xml:space="preserve">#PUBLICO</t>
    </r>
  </si>
  <si>
    <t xml:space="preserve">Acum. Previsto</t>
  </si>
  <si>
    <t xml:space="preserve">Acum. Chegada</t>
  </si>
  <si>
    <t xml:space="preserve">Outros</t>
  </si>
  <si>
    <t xml:space="preserve">Nº RRE</t>
  </si>
  <si>
    <t xml:space="preserve">Investimento</t>
  </si>
  <si>
    <t xml:space="preserve">Situação do TC/CR:</t>
  </si>
  <si>
    <t xml:space="preserve">Percentual previsto em:</t>
  </si>
  <si>
    <t xml:space="preserve">Lista CTEF</t>
  </si>
  <si>
    <t xml:space="preserve">Lista CTEFs</t>
  </si>
  <si>
    <t xml:space="preserve">Acumulado Período Anterior</t>
  </si>
  <si>
    <t xml:space="preserve">Acumulado incluindo o Período</t>
  </si>
  <si>
    <t xml:space="preserve">Linha
PO</t>
  </si>
  <si>
    <t xml:space="preserve">BM / PLE nº</t>
  </si>
  <si>
    <t xml:space="preserve">Valor Total (R$)</t>
  </si>
  <si>
    <t xml:space="preserve">No Período</t>
  </si>
  <si>
    <t xml:space="preserve">Execução Física Acum.</t>
  </si>
  <si>
    <t xml:space="preserve">Acum. Período Anterior - CP</t>
  </si>
  <si>
    <t xml:space="preserve">Acum. Período Anterior - Outros</t>
  </si>
  <si>
    <t xml:space="preserve">Acum. Incluindo Período - CP</t>
  </si>
  <si>
    <t xml:space="preserve">Acum. Incluindo Período - Outros</t>
  </si>
  <si>
    <t xml:space="preserve">(%)</t>
  </si>
  <si>
    <t xml:space="preserve">Anterior (R$)</t>
  </si>
  <si>
    <t xml:space="preserve">Acumulado (R$)</t>
  </si>
  <si>
    <t xml:space="preserve">Max CP/OU Ant.</t>
  </si>
  <si>
    <t xml:space="preserve">Max CP/OU Acum.</t>
  </si>
  <si>
    <t xml:space="preserve">Contrapartida</t>
  </si>
  <si>
    <t xml:space="preserve"># PÚBLICO</t>
  </si>
  <si>
    <t xml:space="preserve">Ofício n°:</t>
  </si>
  <si>
    <t xml:space="preserve">À</t>
  </si>
  <si>
    <t xml:space="preserve">CAIXA ECONÔMICA FEDERAL</t>
  </si>
  <si>
    <t xml:space="preserve">GIGOV</t>
  </si>
  <si>
    <t xml:space="preserve">Assunto:</t>
  </si>
  <si>
    <t xml:space="preserve">REF:</t>
  </si>
  <si>
    <t xml:space="preserve">Objeto:</t>
  </si>
  <si>
    <t xml:space="preserve">Proponente / Tomador:</t>
  </si>
  <si>
    <t xml:space="preserve">Valores Vigentes do TC/CR</t>
  </si>
  <si>
    <t xml:space="preserve">Valores Medidos Acumulados</t>
  </si>
  <si>
    <t xml:space="preserve">Contrapartida Financeira:</t>
  </si>
  <si>
    <t xml:space="preserve">Execução Física:</t>
  </si>
  <si>
    <t xml:space="preserve">Atenciosamente,</t>
  </si>
  <si>
    <t xml:space="preserve">Nivel</t>
  </si>
  <si>
    <t xml:space="preserve">N° Macrosserviço / Serviço</t>
  </si>
  <si>
    <t xml:space="preserve">Descrição Macrosserviço / Serviço</t>
  </si>
  <si>
    <t xml:space="preserve">Qtd. (valor calculado)</t>
  </si>
  <si>
    <t xml:space="preserve">Und.</t>
  </si>
  <si>
    <t xml:space="preserve">Custo Unitário Referência</t>
  </si>
  <si>
    <t xml:space="preserve">Custo Unitário</t>
  </si>
  <si>
    <t xml:space="preserve">Preço Unitário (valor calculado)</t>
  </si>
  <si>
    <t xml:space="preserve">Preço Total (valor calculado)</t>
  </si>
  <si>
    <t xml:space="preserve">Observação</t>
  </si>
  <si>
    <t xml:space="preserve">N° Evento</t>
  </si>
  <si>
    <t xml:space="preserve">Evento</t>
  </si>
  <si>
    <t xml:space="preserve">N° Frente de Obra</t>
  </si>
  <si>
    <t xml:space="preserve">Frente de Obra</t>
  </si>
  <si>
    <t xml:space="preserve">Qtd.</t>
  </si>
  <si>
    <t xml:space="preserve">Valor</t>
  </si>
  <si>
    <t xml:space="preserve">N° do Evento</t>
  </si>
  <si>
    <t xml:space="preserve">N° da Frente de Obra</t>
  </si>
  <si>
    <t xml:space="preserve">N° do Período de Conclusão do Evento</t>
  </si>
  <si>
    <t xml:space="preserve">Número</t>
  </si>
  <si>
    <t xml:space="preserve">Macrosserviço</t>
  </si>
  <si>
    <t xml:space="preserve">Percentual Parcela</t>
  </si>
</sst>
</file>

<file path=xl/styles.xml><?xml version="1.0" encoding="utf-8"?>
<styleSheet xmlns="http://schemas.openxmlformats.org/spreadsheetml/2006/main">
  <numFmts count="36">
    <numFmt numFmtId="164" formatCode="General"/>
    <numFmt numFmtId="165" formatCode="_(&quot;R$ &quot;* #,##0.00_);_(&quot;R$ &quot;* \(#,##0.00\);_(&quot;R$ &quot;* \-??_);_(@_)"/>
    <numFmt numFmtId="166" formatCode="0%"/>
    <numFmt numFmtId="167" formatCode="_-* #,##0.00_-;\-* #,##0.00_-;_-* \-??_-;_-@_-"/>
    <numFmt numFmtId="168" formatCode="@"/>
    <numFmt numFmtId="169" formatCode="#,##0.00"/>
    <numFmt numFmtId="170" formatCode="0.00%"/>
    <numFmt numFmtId="171" formatCode="mm\-yyyy"/>
    <numFmt numFmtId="172" formatCode="d/m/yyyy"/>
    <numFmt numFmtId="173" formatCode="0"/>
    <numFmt numFmtId="174" formatCode="General;General"/>
    <numFmt numFmtId="175" formatCode="[$-F800]dddd&quot;, &quot;mmmm\ dd&quot;, &quot;yyyy"/>
    <numFmt numFmtId="176" formatCode="dd&quot; de &quot;mmmm&quot; de &quot;yyyy"/>
    <numFmt numFmtId="177" formatCode="mmm\-yy;@"/>
    <numFmt numFmtId="178" formatCode="_(* #,##0.00_);_(* \(#,##0.00\);_(* \-??_);_(@_)"/>
    <numFmt numFmtId="179" formatCode="_-* #,##0.00_-;\-* #,##0.00_-;_-* \-??_-;_-@_-"/>
    <numFmt numFmtId="180" formatCode="General;;;"/>
    <numFmt numFmtId="181" formatCode="&quot;Mês &quot;00"/>
    <numFmt numFmtId="182" formatCode="_-#,##0.00_-;\-#,##0.00_-;_-\-??_-;_-@_-"/>
    <numFmt numFmtId="183" formatCode="0\."/>
    <numFmt numFmtId="184" formatCode="_(\ #,##0.00_);_(&quot; (&quot;#,##0.00\);_(&quot; -&quot;??_);_(@_)"/>
    <numFmt numFmtId="185" formatCode="mm/yy"/>
    <numFmt numFmtId="186" formatCode="0.00E+00"/>
    <numFmt numFmtId="187" formatCode="_-#,##0.00_-;\-#,##0.00_-;_-&quot; -&quot;??_-;_-@_-"/>
    <numFmt numFmtId="188" formatCode="##\."/>
    <numFmt numFmtId="189" formatCode="#,##0.00_ ;\-#,##0.00\ "/>
    <numFmt numFmtId="190" formatCode="_-&quot;R$ &quot;* #,##0.00_-;&quot;-R$ &quot;* #,##0.00_-;_-&quot;R$ &quot;* \-??_-;_-@_-"/>
    <numFmt numFmtId="191" formatCode="&quot;( &quot;0.00%&quot; )&quot;"/>
    <numFmt numFmtId="192" formatCode="&quot;Medição &quot;0"/>
    <numFmt numFmtId="193" formatCode="_(#,##0.00_);_(* \(#,##0.00\);_(* \-??_);_(@_)"/>
    <numFmt numFmtId="194" formatCode="dd/mm/yy;@"/>
    <numFmt numFmtId="195" formatCode="&quot;Medição &quot;##"/>
    <numFmt numFmtId="196" formatCode="_(* #,##0.00_);_(* \(#,##0.00\);;_(@_)"/>
    <numFmt numFmtId="197" formatCode="dddd&quot;, &quot;mmmm\ dd&quot;, &quot;yyyy"/>
    <numFmt numFmtId="198" formatCode="&quot;R$ &quot;#,##0.00"/>
    <numFmt numFmtId="199" formatCode="0.00"/>
  </numFmts>
  <fonts count="71">
    <font>
      <sz val="10"/>
      <name val="Arial"/>
      <family val="2"/>
      <charset val="1"/>
    </font>
    <font>
      <sz val="10"/>
      <name val="Arial"/>
      <family val="0"/>
    </font>
    <font>
      <sz val="10"/>
      <name val="Arial"/>
      <family val="0"/>
    </font>
    <font>
      <sz val="10"/>
      <name val="Arial"/>
      <family val="0"/>
    </font>
    <font>
      <sz val="11"/>
      <color rgb="FF000000"/>
      <name val="Calibri"/>
      <family val="2"/>
      <charset val="1"/>
    </font>
    <font>
      <sz val="9"/>
      <name val="Arial"/>
      <family val="2"/>
      <charset val="1"/>
    </font>
    <font>
      <sz val="18"/>
      <color rgb="FF666699"/>
      <name val="Calibri Light"/>
      <family val="2"/>
      <charset val="1"/>
    </font>
    <font>
      <b val="true"/>
      <sz val="18"/>
      <color rgb="FF000000"/>
      <name val="Calibri"/>
      <family val="2"/>
      <charset val="1"/>
    </font>
    <font>
      <b val="true"/>
      <sz val="14"/>
      <color rgb="FF000000"/>
      <name val="Calibri"/>
      <family val="2"/>
      <charset val="1"/>
    </font>
    <font>
      <u val="single"/>
      <sz val="11"/>
      <color rgb="FF000000"/>
      <name val="Calibri"/>
      <family val="2"/>
      <charset val="1"/>
    </font>
    <font>
      <b val="true"/>
      <sz val="11"/>
      <color rgb="FF000000"/>
      <name val="Calibri"/>
      <family val="2"/>
      <charset val="1"/>
    </font>
    <font>
      <b val="true"/>
      <sz val="11"/>
      <color rgb="FF000000"/>
      <name val="Calibri"/>
      <family val="0"/>
    </font>
    <font>
      <sz val="10"/>
      <color theme="0"/>
      <name val="Arial"/>
      <family val="2"/>
      <charset val="1"/>
    </font>
    <font>
      <b val="true"/>
      <sz val="13"/>
      <name val="Arial"/>
      <family val="2"/>
      <charset val="1"/>
    </font>
    <font>
      <b val="true"/>
      <sz val="18"/>
      <name val="Arial"/>
      <family val="2"/>
      <charset val="1"/>
    </font>
    <font>
      <sz val="10"/>
      <color rgb="FFFFFFFF"/>
      <name val="Arial"/>
      <family val="2"/>
      <charset val="1"/>
    </font>
    <font>
      <sz val="14"/>
      <color rgb="FF0000FF"/>
      <name val="Arial"/>
      <family val="2"/>
      <charset val="1"/>
    </font>
    <font>
      <u val="single"/>
      <sz val="10"/>
      <color theme="10"/>
      <name val="Arial"/>
      <family val="2"/>
      <charset val="1"/>
    </font>
    <font>
      <b val="true"/>
      <sz val="10"/>
      <name val="Arial"/>
      <family val="2"/>
      <charset val="1"/>
    </font>
    <font>
      <b val="true"/>
      <sz val="14"/>
      <name val="Arial"/>
      <family val="2"/>
      <charset val="1"/>
    </font>
    <font>
      <b val="true"/>
      <sz val="12"/>
      <name val="Arial"/>
      <family val="2"/>
      <charset val="1"/>
    </font>
    <font>
      <b val="true"/>
      <sz val="11"/>
      <name val="Arial"/>
      <family val="2"/>
      <charset val="1"/>
    </font>
    <font>
      <b val="true"/>
      <i val="true"/>
      <sz val="11"/>
      <color rgb="FF000000"/>
      <name val="Calibri"/>
      <family val="0"/>
    </font>
    <font>
      <sz val="8"/>
      <color rgb="FF000000"/>
      <name val="Segoe UI"/>
      <family val="0"/>
      <charset val="1"/>
    </font>
    <font>
      <b val="true"/>
      <sz val="11"/>
      <color rgb="FFFF0000"/>
      <name val="Arial"/>
      <family val="2"/>
      <charset val="1"/>
    </font>
    <font>
      <b val="true"/>
      <sz val="12"/>
      <color rgb="FFFF0000"/>
      <name val="Arial"/>
      <family val="2"/>
      <charset val="1"/>
    </font>
    <font>
      <sz val="10"/>
      <color rgb="FFFF0000"/>
      <name val="Arial"/>
      <family val="2"/>
      <charset val="1"/>
    </font>
    <font>
      <sz val="10"/>
      <name val="Arial"/>
      <family val="2"/>
    </font>
    <font>
      <b val="true"/>
      <sz val="10"/>
      <color rgb="FF0000FF"/>
      <name val="Arial"/>
      <family val="2"/>
      <charset val="1"/>
    </font>
    <font>
      <sz val="10"/>
      <name val="Calibri"/>
      <family val="2"/>
      <charset val="1"/>
    </font>
    <font>
      <b val="true"/>
      <sz val="10"/>
      <color rgb="FFFF0000"/>
      <name val="Arial"/>
      <family val="2"/>
      <charset val="1"/>
    </font>
    <font>
      <sz val="8"/>
      <name val="Calibri"/>
      <family val="2"/>
      <charset val="1"/>
    </font>
    <font>
      <sz val="11"/>
      <name val="Arial"/>
      <family val="2"/>
      <charset val="1"/>
    </font>
    <font>
      <i val="true"/>
      <sz val="12"/>
      <name val="Calibri"/>
      <family val="2"/>
      <charset val="1"/>
    </font>
    <font>
      <i val="true"/>
      <u val="single"/>
      <sz val="12"/>
      <name val="Calibri"/>
      <family val="2"/>
      <charset val="1"/>
    </font>
    <font>
      <u val="single"/>
      <sz val="10"/>
      <name val="Arial"/>
      <family val="2"/>
      <charset val="1"/>
    </font>
    <font>
      <sz val="9"/>
      <color rgb="FF000000"/>
      <name val="Tahoma"/>
      <family val="2"/>
      <charset val="1"/>
    </font>
    <font>
      <b val="true"/>
      <sz val="11"/>
      <color rgb="FF000000"/>
      <name val="Calibri"/>
      <family val="2"/>
    </font>
    <font>
      <sz val="14"/>
      <color rgb="FFFFFFFF"/>
      <name val="Arial"/>
      <family val="2"/>
      <charset val="1"/>
    </font>
    <font>
      <sz val="12"/>
      <name val="Arial"/>
      <family val="2"/>
      <charset val="1"/>
    </font>
    <font>
      <sz val="8"/>
      <name val="Arial"/>
      <family val="2"/>
      <charset val="1"/>
    </font>
    <font>
      <b val="true"/>
      <sz val="11"/>
      <color rgb="FFFF0000"/>
      <name val="Calibri"/>
      <family val="2"/>
      <charset val="1"/>
    </font>
    <font>
      <sz val="11"/>
      <color rgb="FFFF0000"/>
      <name val="Arial"/>
      <family val="2"/>
      <charset val="1"/>
    </font>
    <font>
      <b val="true"/>
      <sz val="9"/>
      <name val="Arial"/>
      <family val="2"/>
      <charset val="1"/>
    </font>
    <font>
      <b val="true"/>
      <sz val="8"/>
      <name val="Arial"/>
      <family val="2"/>
      <charset val="1"/>
    </font>
    <font>
      <b val="true"/>
      <sz val="8"/>
      <color rgb="FFFF0000"/>
      <name val="Calibri"/>
      <family val="2"/>
      <charset val="1"/>
    </font>
    <font>
      <b val="true"/>
      <sz val="7"/>
      <name val="Arial"/>
      <family val="2"/>
      <charset val="1"/>
    </font>
    <font>
      <i val="true"/>
      <sz val="10"/>
      <name val="Arial"/>
      <family val="2"/>
      <charset val="1"/>
    </font>
    <font>
      <sz val="10"/>
      <color rgb="FF000000"/>
      <name val="Arial"/>
      <family val="0"/>
    </font>
    <font>
      <b val="true"/>
      <sz val="10"/>
      <color rgb="FF000000"/>
      <name val="Calibri"/>
      <family val="2"/>
    </font>
    <font>
      <sz val="10"/>
      <color rgb="FF000000"/>
      <name val="Arial"/>
      <family val="2"/>
      <charset val="1"/>
    </font>
    <font>
      <b val="true"/>
      <sz val="10"/>
      <color rgb="FF000000"/>
      <name val="Arial"/>
      <family val="2"/>
      <charset val="1"/>
    </font>
    <font>
      <b val="true"/>
      <sz val="10.5"/>
      <name val="Arial Narrow"/>
      <family val="2"/>
      <charset val="1"/>
    </font>
    <font>
      <sz val="5"/>
      <color rgb="FFFF0000"/>
      <name val="Arial"/>
      <family val="2"/>
      <charset val="1"/>
    </font>
    <font>
      <b val="true"/>
      <sz val="10"/>
      <color theme="0" tint="-0.5"/>
      <name val="Arial"/>
      <family val="2"/>
      <charset val="1"/>
    </font>
    <font>
      <sz val="1"/>
      <color theme="0" tint="-0.25"/>
      <name val="Arial"/>
      <family val="2"/>
      <charset val="1"/>
    </font>
    <font>
      <sz val="10"/>
      <name val="Arial Narrow"/>
      <family val="2"/>
      <charset val="1"/>
    </font>
    <font>
      <sz val="10"/>
      <color theme="0" tint="-0.05"/>
      <name val="Arial"/>
      <family val="2"/>
      <charset val="1"/>
    </font>
    <font>
      <sz val="10"/>
      <color theme="0" tint="-0.25"/>
      <name val="Arial"/>
      <family val="2"/>
      <charset val="1"/>
    </font>
    <font>
      <sz val="9"/>
      <color rgb="FFFF0000"/>
      <name val="Arial Narrow"/>
      <family val="2"/>
      <charset val="1"/>
    </font>
    <font>
      <sz val="11"/>
      <name val="Arial Narrow"/>
      <family val="2"/>
      <charset val="1"/>
    </font>
    <font>
      <sz val="10"/>
      <color rgb="FFC0C0C0"/>
      <name val="Arial"/>
      <family val="2"/>
      <charset val="1"/>
    </font>
    <font>
      <b val="true"/>
      <sz val="12"/>
      <color rgb="FF000000"/>
      <name val="Arial"/>
      <family val="2"/>
      <charset val="1"/>
    </font>
    <font>
      <b val="true"/>
      <i val="true"/>
      <sz val="10"/>
      <name val="Arial"/>
      <family val="2"/>
      <charset val="1"/>
    </font>
    <font>
      <sz val="7"/>
      <color rgb="FFFF0000"/>
      <name val="Arial"/>
      <family val="2"/>
      <charset val="1"/>
    </font>
    <font>
      <b val="true"/>
      <sz val="10"/>
      <color rgb="FF000000"/>
      <name val="Arial"/>
      <family val="0"/>
    </font>
    <font>
      <b val="true"/>
      <sz val="9"/>
      <color rgb="FF000000"/>
      <name val="Tahoma"/>
      <family val="2"/>
      <charset val="1"/>
    </font>
    <font>
      <sz val="10.5"/>
      <name val="Arial Narrow"/>
      <family val="2"/>
      <charset val="1"/>
    </font>
    <font>
      <i val="true"/>
      <sz val="8"/>
      <name val="Arial"/>
      <family val="2"/>
      <charset val="1"/>
    </font>
    <font>
      <sz val="9"/>
      <color rgb="FF000000"/>
      <name val="Segoe UI"/>
      <family val="2"/>
      <charset val="1"/>
    </font>
    <font>
      <b val="true"/>
      <sz val="10"/>
      <color rgb="FFFFFFFF"/>
      <name val="Arial"/>
      <family val="2"/>
      <charset val="1"/>
    </font>
  </fonts>
  <fills count="18">
    <fill>
      <patternFill patternType="none"/>
    </fill>
    <fill>
      <patternFill patternType="gray125"/>
    </fill>
    <fill>
      <patternFill patternType="solid">
        <fgColor rgb="FFC0C0C0"/>
        <bgColor rgb="FFBFBFBF"/>
      </patternFill>
    </fill>
    <fill>
      <patternFill patternType="solid">
        <fgColor rgb="FF99CCFF"/>
        <bgColor rgb="FFCCCCFF"/>
      </patternFill>
    </fill>
    <fill>
      <patternFill patternType="solid">
        <fgColor rgb="FFFFFF99"/>
        <bgColor rgb="FFF2F2F2"/>
      </patternFill>
    </fill>
    <fill>
      <patternFill patternType="solid">
        <fgColor rgb="FFCCCCFF"/>
        <bgColor rgb="FFD9D9D9"/>
      </patternFill>
    </fill>
    <fill>
      <patternFill patternType="solid">
        <fgColor rgb="FFFFCC99"/>
        <bgColor rgb="FFD9D9D9"/>
      </patternFill>
    </fill>
    <fill>
      <patternFill patternType="solid">
        <fgColor rgb="FFFFCC00"/>
        <bgColor rgb="FFFFC000"/>
      </patternFill>
    </fill>
    <fill>
      <patternFill patternType="solid">
        <fgColor rgb="FF808080"/>
        <bgColor rgb="FF969696"/>
      </patternFill>
    </fill>
    <fill>
      <patternFill patternType="solid">
        <fgColor rgb="FFF0F0F0"/>
        <bgColor rgb="FFF2F2F2"/>
      </patternFill>
    </fill>
    <fill>
      <patternFill patternType="solid">
        <fgColor rgb="FFA8A8A8"/>
        <bgColor rgb="FF969696"/>
      </patternFill>
    </fill>
    <fill>
      <patternFill patternType="solid">
        <fgColor theme="0" tint="-0.25"/>
        <bgColor rgb="FFC0C0C0"/>
      </patternFill>
    </fill>
    <fill>
      <patternFill patternType="solid">
        <fgColor theme="0" tint="-0.15"/>
        <bgColor rgb="FFDFDFDF"/>
      </patternFill>
    </fill>
    <fill>
      <patternFill patternType="solid">
        <fgColor rgb="FFDFDFDF"/>
        <bgColor rgb="FFD9D9D9"/>
      </patternFill>
    </fill>
    <fill>
      <patternFill patternType="solid">
        <fgColor rgb="FFF2F2FF"/>
        <bgColor rgb="FFF3F3FF"/>
      </patternFill>
    </fill>
    <fill>
      <patternFill patternType="solid">
        <fgColor rgb="FFF3F3FF"/>
        <bgColor rgb="FFF2F2FF"/>
      </patternFill>
    </fill>
    <fill>
      <patternFill patternType="solid">
        <fgColor rgb="FF000000"/>
        <bgColor rgb="FF003300"/>
      </patternFill>
    </fill>
    <fill>
      <patternFill patternType="solid">
        <fgColor theme="0" tint="-0.05"/>
        <bgColor rgb="FFF0F0F0"/>
      </patternFill>
    </fill>
  </fills>
  <borders count="94">
    <border diagonalUp="false" diagonalDown="false">
      <left/>
      <right/>
      <top/>
      <bottom/>
      <diagonal/>
    </border>
    <border diagonalUp="false" diagonalDown="false">
      <left/>
      <right style="thin"/>
      <top/>
      <bottom/>
      <diagonal/>
    </border>
    <border diagonalUp="false" diagonalDown="false">
      <left/>
      <right style="thin"/>
      <top/>
      <bottom style="thin"/>
      <diagonal/>
    </border>
    <border diagonalUp="false" diagonalDown="false">
      <left/>
      <right/>
      <top/>
      <bottom style="thin"/>
      <diagonal/>
    </border>
    <border diagonalUp="false" diagonalDown="false">
      <left/>
      <right style="thin"/>
      <top style="thin"/>
      <bottom/>
      <diagonal/>
    </border>
    <border diagonalUp="false" diagonalDown="false">
      <left/>
      <right/>
      <top style="thin"/>
      <bottom/>
      <diagonal/>
    </border>
    <border diagonalUp="false" diagonalDown="false">
      <left style="medium"/>
      <right style="medium"/>
      <top style="medium"/>
      <bottom style="medium"/>
      <diagonal/>
    </border>
    <border diagonalUp="false" diagonalDown="false">
      <left style="thin"/>
      <right/>
      <top style="thin"/>
      <bottom/>
      <diagonal/>
    </border>
    <border diagonalUp="false" diagonalDown="false">
      <left style="thin"/>
      <right style="thin"/>
      <top style="thin"/>
      <bottom style="thin"/>
      <diagonal/>
    </border>
    <border diagonalUp="false" diagonalDown="false">
      <left style="thin"/>
      <right/>
      <top/>
      <bottom/>
      <diagonal/>
    </border>
    <border diagonalUp="false" diagonalDown="false">
      <left style="thin"/>
      <right/>
      <top/>
      <bottom style="thin"/>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thin"/>
      <right style="thin"/>
      <top/>
      <bottom style="thin"/>
      <diagonal/>
    </border>
    <border diagonalUp="false" diagonalDown="false">
      <left style="medium"/>
      <right style="hair"/>
      <top style="medium"/>
      <bottom style="hair"/>
      <diagonal/>
    </border>
    <border diagonalUp="false" diagonalDown="false">
      <left/>
      <right style="medium"/>
      <top style="medium"/>
      <bottom style="hair"/>
      <diagonal/>
    </border>
    <border diagonalUp="false" diagonalDown="false">
      <left style="medium"/>
      <right style="hair"/>
      <top/>
      <bottom style="hair"/>
      <diagonal/>
    </border>
    <border diagonalUp="false" diagonalDown="false">
      <left/>
      <right style="medium"/>
      <top/>
      <bottom style="hair"/>
      <diagonal/>
    </border>
    <border diagonalUp="false" diagonalDown="false">
      <left style="medium"/>
      <right style="hair"/>
      <top style="hair"/>
      <bottom style="hair"/>
      <diagonal/>
    </border>
    <border diagonalUp="false" diagonalDown="false">
      <left/>
      <right style="medium"/>
      <top style="hair"/>
      <bottom style="hair"/>
      <diagonal/>
    </border>
    <border diagonalUp="false" diagonalDown="false">
      <left style="medium"/>
      <right style="hair"/>
      <top/>
      <bottom style="medium"/>
      <diagonal/>
    </border>
    <border diagonalUp="false" diagonalDown="false">
      <left/>
      <right style="medium"/>
      <top/>
      <bottom style="medium"/>
      <diagonal/>
    </border>
    <border diagonalUp="false" diagonalDown="false">
      <left style="medium"/>
      <right style="hair"/>
      <top style="medium"/>
      <bottom/>
      <diagonal/>
    </border>
    <border diagonalUp="false" diagonalDown="false">
      <left style="hair"/>
      <right style="medium"/>
      <top style="medium"/>
      <bottom/>
      <diagonal/>
    </border>
    <border diagonalUp="false" diagonalDown="false">
      <left style="hair"/>
      <right style="medium"/>
      <top style="hair"/>
      <bottom style="hair"/>
      <diagonal/>
    </border>
    <border diagonalUp="false" diagonalDown="false">
      <left style="medium"/>
      <right style="hair"/>
      <top style="hair"/>
      <bottom style="medium"/>
      <diagonal/>
    </border>
    <border diagonalUp="false" diagonalDown="false">
      <left style="medium"/>
      <right style="hair"/>
      <top style="medium"/>
      <bottom style="medium"/>
      <diagonal/>
    </border>
    <border diagonalUp="false" diagonalDown="false">
      <left style="hair"/>
      <right style="medium"/>
      <top style="medium"/>
      <bottom style="medium"/>
      <diagonal/>
    </border>
    <border diagonalUp="false" diagonalDown="false">
      <left style="hair"/>
      <right style="medium"/>
      <top style="hair"/>
      <bottom style="medium"/>
      <diagonal/>
    </border>
    <border diagonalUp="false" diagonalDown="false">
      <left/>
      <right style="medium"/>
      <top style="hair"/>
      <bottom style="medium"/>
      <diagonal/>
    </border>
    <border diagonalUp="false" diagonalDown="false">
      <left style="thin"/>
      <right style="thin"/>
      <top/>
      <bottom/>
      <diagonal/>
    </border>
    <border diagonalUp="false" diagonalDown="false">
      <left style="thin"/>
      <right style="thin"/>
      <top style="thin"/>
      <bottom/>
      <diagonal/>
    </border>
    <border diagonalUp="false" diagonalDown="false">
      <left style="thin"/>
      <right/>
      <top/>
      <bottom style="hair"/>
      <diagonal/>
    </border>
    <border diagonalUp="false" diagonalDown="false">
      <left style="thin"/>
      <right style="thin"/>
      <top/>
      <bottom style="hair"/>
      <diagonal/>
    </border>
    <border diagonalUp="false" diagonalDown="false">
      <left style="thin"/>
      <right style="hair"/>
      <top style="thin"/>
      <bottom/>
      <diagonal/>
    </border>
    <border diagonalUp="false" diagonalDown="false">
      <left style="hair"/>
      <right style="thin"/>
      <top style="thin"/>
      <bottom/>
      <diagonal/>
    </border>
    <border diagonalUp="false" diagonalDown="false">
      <left style="thin"/>
      <right/>
      <top style="hair"/>
      <bottom style="hair"/>
      <diagonal/>
    </border>
    <border diagonalUp="false" diagonalDown="false">
      <left style="thin"/>
      <right style="hair"/>
      <top style="hair"/>
      <bottom style="hair"/>
      <diagonal/>
    </border>
    <border diagonalUp="false" diagonalDown="false">
      <left style="hair"/>
      <right style="hair"/>
      <top style="hair"/>
      <bottom style="hair"/>
      <diagonal/>
    </border>
    <border diagonalUp="false" diagonalDown="false">
      <left style="hair"/>
      <right style="thin"/>
      <top style="hair"/>
      <bottom style="hair"/>
      <diagonal/>
    </border>
    <border diagonalUp="false" diagonalDown="false">
      <left style="thin"/>
      <right style="thin"/>
      <top style="hair"/>
      <bottom style="hair"/>
      <diagonal/>
    </border>
    <border diagonalUp="false" diagonalDown="false">
      <left style="hair"/>
      <right style="hair"/>
      <top style="hair"/>
      <bottom/>
      <diagonal/>
    </border>
    <border diagonalUp="false" diagonalDown="false">
      <left style="hair"/>
      <right style="thin"/>
      <top style="hair"/>
      <bottom/>
      <diagonal/>
    </border>
    <border diagonalUp="false" diagonalDown="false">
      <left/>
      <right/>
      <top style="thin"/>
      <bottom style="thin"/>
      <diagonal/>
    </border>
    <border diagonalUp="false" diagonalDown="false">
      <left style="thin"/>
      <right style="hair"/>
      <top style="hair"/>
      <bottom style="thin"/>
      <diagonal/>
    </border>
    <border diagonalUp="false" diagonalDown="false">
      <left style="hair"/>
      <right style="thin"/>
      <top style="hair"/>
      <bottom style="thin"/>
      <diagonal/>
    </border>
    <border diagonalUp="false" diagonalDown="false">
      <left style="hair"/>
      <right style="hair"/>
      <top style="hair"/>
      <bottom style="thin"/>
      <diagonal/>
    </border>
    <border diagonalUp="false" diagonalDown="false">
      <left style="hair"/>
      <right style="hair"/>
      <top style="thin"/>
      <bottom style="thin"/>
      <diagonal/>
    </border>
    <border diagonalUp="false" diagonalDown="false">
      <left style="thin"/>
      <right style="hair"/>
      <top style="thin"/>
      <bottom style="thin"/>
      <diagonal/>
    </border>
    <border diagonalUp="false" diagonalDown="false">
      <left style="hair"/>
      <right style="thin"/>
      <top style="thin"/>
      <bottom style="thin"/>
      <diagonal/>
    </border>
    <border diagonalUp="false" diagonalDown="false">
      <left style="hair"/>
      <right style="hair"/>
      <top style="thin"/>
      <bottom/>
      <diagonal/>
    </border>
    <border diagonalUp="false" diagonalDown="false">
      <left style="thin"/>
      <right style="hair"/>
      <top style="thin"/>
      <bottom style="hair"/>
      <diagonal/>
    </border>
    <border diagonalUp="false" diagonalDown="false">
      <left style="hair"/>
      <right style="hair"/>
      <top style="thin"/>
      <bottom style="hair"/>
      <diagonal/>
    </border>
    <border diagonalUp="false" diagonalDown="false">
      <left style="hair"/>
      <right style="hair"/>
      <top/>
      <bottom style="thin"/>
      <diagonal/>
    </border>
    <border diagonalUp="false" diagonalDown="false">
      <left style="thin"/>
      <right style="hair"/>
      <top/>
      <bottom style="thin"/>
      <diagonal/>
    </border>
    <border diagonalUp="false" diagonalDown="false">
      <left style="hair"/>
      <right style="thin"/>
      <top/>
      <bottom style="thin"/>
      <diagonal/>
    </border>
    <border diagonalUp="false" diagonalDown="false">
      <left style="thin">
        <color rgb="FF808080"/>
      </left>
      <right style="thin">
        <color rgb="FF808080"/>
      </right>
      <top style="thin">
        <color rgb="FF808080"/>
      </top>
      <bottom style="thin">
        <color rgb="FF808080"/>
      </bottom>
      <diagonal/>
    </border>
    <border diagonalUp="false" diagonalDown="false">
      <left/>
      <right/>
      <top style="thin">
        <color rgb="FF808080"/>
      </top>
      <bottom style="thin">
        <color rgb="FF808080"/>
      </bottom>
      <diagonal/>
    </border>
    <border diagonalUp="false" diagonalDown="false">
      <left style="thin">
        <color rgb="FF808080"/>
      </left>
      <right/>
      <top style="thin">
        <color rgb="FF808080"/>
      </top>
      <bottom style="thin">
        <color rgb="FF808080"/>
      </bottom>
      <diagonal/>
    </border>
    <border diagonalUp="false" diagonalDown="false">
      <left/>
      <right style="thin">
        <color rgb="FF808080"/>
      </right>
      <top style="thin">
        <color rgb="FF808080"/>
      </top>
      <bottom style="thin">
        <color rgb="FF808080"/>
      </bottom>
      <diagonal/>
    </border>
    <border diagonalUp="false" diagonalDown="false">
      <left/>
      <right/>
      <top style="hair"/>
      <bottom style="hair"/>
      <diagonal/>
    </border>
    <border diagonalUp="false" diagonalDown="false">
      <left style="hair"/>
      <right/>
      <top style="hair"/>
      <bottom style="hair"/>
      <diagonal/>
    </border>
    <border diagonalUp="false" diagonalDown="false">
      <left/>
      <right style="hair"/>
      <top style="hair"/>
      <bottom style="hair"/>
      <diagonal/>
    </border>
    <border diagonalUp="false" diagonalDown="false">
      <left style="thin">
        <color rgb="FF808080"/>
      </left>
      <right style="hair"/>
      <top style="thin">
        <color rgb="FF808080"/>
      </top>
      <bottom style="thin">
        <color rgb="FF808080"/>
      </bottom>
      <diagonal/>
    </border>
    <border diagonalUp="false" diagonalDown="false">
      <left style="thin">
        <color rgb="FF808080"/>
      </left>
      <right/>
      <top style="thin">
        <color rgb="FF808080"/>
      </top>
      <bottom/>
      <diagonal/>
    </border>
    <border diagonalUp="false" diagonalDown="false">
      <left style="thin">
        <color theme="0" tint="-0.5"/>
      </left>
      <right/>
      <top/>
      <bottom/>
      <diagonal/>
    </border>
    <border diagonalUp="false" diagonalDown="false">
      <left/>
      <right/>
      <top style="thin">
        <color theme="0" tint="-0.5"/>
      </top>
      <bottom/>
      <diagonal/>
    </border>
    <border diagonalUp="false" diagonalDown="false">
      <left style="hair"/>
      <right style="hair"/>
      <top style="thin"/>
      <bottom style="hair">
        <color rgb="FF969696"/>
      </bottom>
      <diagonal/>
    </border>
    <border diagonalUp="false" diagonalDown="false">
      <left style="thin"/>
      <right/>
      <top style="hair"/>
      <bottom/>
      <diagonal/>
    </border>
    <border diagonalUp="false" diagonalDown="false">
      <left/>
      <right/>
      <top style="hair"/>
      <bottom/>
      <diagonal/>
    </border>
    <border diagonalUp="false" diagonalDown="false">
      <left/>
      <right style="thin"/>
      <top style="hair"/>
      <bottom/>
      <diagonal/>
    </border>
    <border diagonalUp="false" diagonalDown="false">
      <left style="hair"/>
      <right style="hair"/>
      <top style="hair">
        <color rgb="FF969696"/>
      </top>
      <bottom style="hair"/>
      <diagonal/>
    </border>
    <border diagonalUp="false" diagonalDown="false">
      <left/>
      <right/>
      <top/>
      <bottom style="hair"/>
      <diagonal/>
    </border>
    <border diagonalUp="false" diagonalDown="false">
      <left/>
      <right style="hair"/>
      <top/>
      <bottom/>
      <diagonal/>
    </border>
    <border diagonalUp="false" diagonalDown="false">
      <left/>
      <right style="hair"/>
      <top/>
      <bottom style="thin"/>
      <diagonal/>
    </border>
    <border diagonalUp="false" diagonalDown="false">
      <left style="hair"/>
      <right/>
      <top style="thin"/>
      <bottom/>
      <diagonal/>
    </border>
    <border diagonalUp="false" diagonalDown="false">
      <left style="hair"/>
      <right/>
      <top/>
      <bottom style="thin"/>
      <diagonal/>
    </border>
    <border diagonalUp="false" diagonalDown="false">
      <left style="thin"/>
      <right/>
      <top style="thin"/>
      <bottom style="hair"/>
      <diagonal/>
    </border>
    <border diagonalUp="false" diagonalDown="false">
      <left/>
      <right style="thin"/>
      <top style="thin"/>
      <bottom style="hair"/>
      <diagonal/>
    </border>
    <border diagonalUp="false" diagonalDown="false">
      <left style="hair"/>
      <right/>
      <top style="thin"/>
      <bottom style="hair"/>
      <diagonal/>
    </border>
    <border diagonalUp="false" diagonalDown="false">
      <left/>
      <right style="thin"/>
      <top style="hair"/>
      <bottom style="hair"/>
      <diagonal/>
    </border>
    <border diagonalUp="false" diagonalDown="false">
      <left style="thin"/>
      <right/>
      <top style="hair"/>
      <bottom style="thin"/>
      <diagonal/>
    </border>
    <border diagonalUp="false" diagonalDown="false">
      <left/>
      <right style="thin"/>
      <top style="hair"/>
      <bottom style="thin"/>
      <diagonal/>
    </border>
    <border diagonalUp="false" diagonalDown="false">
      <left/>
      <right style="hair"/>
      <top style="hair"/>
      <bottom/>
      <diagonal/>
    </border>
    <border diagonalUp="false" diagonalDown="false">
      <left/>
      <right style="hair"/>
      <top style="hair"/>
      <bottom style="thin"/>
      <diagonal/>
    </border>
    <border diagonalUp="false" diagonalDown="false">
      <left/>
      <right/>
      <top style="hair"/>
      <bottom style="thin"/>
      <diagonal/>
    </border>
    <border diagonalUp="false" diagonalDown="false">
      <left style="thin"/>
      <right style="thin"/>
      <top style="hair"/>
      <bottom/>
      <diagonal/>
    </border>
    <border diagonalUp="false" diagonalDown="false">
      <left style="thin"/>
      <right style="hair"/>
      <top style="hair"/>
      <bottom/>
      <diagonal/>
    </border>
    <border diagonalUp="false" diagonalDown="false">
      <left/>
      <right/>
      <top/>
      <bottom style="thin">
        <color rgb="FF808080"/>
      </bottom>
      <diagonal/>
    </border>
    <border diagonalUp="false" diagonalDown="false">
      <left/>
      <right style="thin"/>
      <top/>
      <bottom style="hair"/>
      <diagonal/>
    </border>
    <border diagonalUp="false" diagonalDown="false">
      <left style="thin"/>
      <right style="thin"/>
      <top style="thin"/>
      <bottom style="hair"/>
      <diagonal/>
    </border>
    <border diagonalUp="false" diagonalDown="false">
      <left/>
      <right/>
      <top style="thin"/>
      <bottom style="hair"/>
      <diagonal/>
    </border>
    <border diagonalUp="false" diagonalDown="false">
      <left style="hair"/>
      <right style="thin"/>
      <top style="thin"/>
      <bottom style="hair"/>
      <diagonal/>
    </border>
    <border diagonalUp="false" diagonalDown="false">
      <left style="thin"/>
      <right style="thin"/>
      <top style="hair"/>
      <bottom style="thin"/>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8"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90"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164" fontId="17"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cellStyleXfs>
  <cellXfs count="779">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bottom"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8" fillId="0" borderId="3" xfId="0" applyFont="true" applyBorder="true" applyAlignment="true" applyProtection="false">
      <alignment horizontal="left" vertical="bottom" textRotation="0" wrapText="false" indent="1"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1"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left" vertical="bottom" textRotation="0" wrapText="false" indent="1" shrinkToFit="false"/>
      <protection locked="true" hidden="false"/>
    </xf>
    <xf numFmtId="164" fontId="10" fillId="0" borderId="0" xfId="0" applyFont="true" applyBorder="false" applyAlignment="true" applyProtection="false">
      <alignment horizontal="left" vertical="top" textRotation="0" wrapText="false" indent="1" shrinkToFit="false"/>
      <protection locked="tru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9" fillId="0" borderId="4" xfId="0" applyFont="true" applyBorder="true" applyAlignment="false" applyProtection="false">
      <alignment horizontal="general" vertical="bottom" textRotation="0" wrapText="false" indent="0" shrinkToFit="false"/>
      <protection locked="true" hidden="false"/>
    </xf>
    <xf numFmtId="164" fontId="8" fillId="0" borderId="5" xfId="0" applyFont="true" applyBorder="true" applyAlignment="true" applyProtection="false">
      <alignment horizontal="left" vertical="bottom" textRotation="0" wrapText="false" indent="1" shrinkToFit="false"/>
      <protection locked="true" hidden="false"/>
    </xf>
    <xf numFmtId="164" fontId="0" fillId="0" borderId="5" xfId="0" applyFont="fals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10" fillId="0" borderId="0" xfId="0" applyFont="true" applyBorder="false" applyAlignment="true" applyProtection="false">
      <alignment horizontal="left" vertical="bottom" textRotation="0" wrapText="true" indent="0" shrinkToFit="false"/>
      <protection locked="true" hidden="false"/>
    </xf>
    <xf numFmtId="164" fontId="0" fillId="0" borderId="0" xfId="0" applyFont="true" applyBorder="false" applyAlignment="true" applyProtection="false">
      <alignment horizontal="left" vertical="center" textRotation="0" wrapText="true" indent="0" shrinkToFit="false"/>
      <protection locked="true" hidden="false"/>
    </xf>
    <xf numFmtId="164" fontId="10" fillId="0" borderId="3" xfId="0" applyFont="true" applyBorder="true" applyAlignment="true" applyProtection="false">
      <alignment horizontal="left" vertical="bottom" textRotation="0" wrapText="false" indent="1" shrinkToFit="false"/>
      <protection locked="true" hidden="false"/>
    </xf>
    <xf numFmtId="164" fontId="10" fillId="0" borderId="3" xfId="0" applyFont="true" applyBorder="true" applyAlignment="true" applyProtection="false">
      <alignment horizontal="left" vertical="bottom" textRotation="0" wrapText="tru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true">
      <alignment horizontal="general" vertical="bottom" textRotation="0" wrapText="false" indent="0" shrinkToFit="false"/>
      <protection locked="false" hidden="false"/>
    </xf>
    <xf numFmtId="164" fontId="13" fillId="2" borderId="0" xfId="0" applyFont="true" applyBorder="false" applyAlignment="true" applyProtection="false">
      <alignment horizontal="general" vertical="center" textRotation="0" wrapText="false" indent="0" shrinkToFit="false"/>
      <protection locked="true" hidden="false"/>
    </xf>
    <xf numFmtId="164" fontId="14" fillId="2" borderId="0" xfId="0" applyFont="true" applyBorder="true" applyAlignment="true" applyProtection="false">
      <alignment horizontal="center" vertical="center" textRotation="0" wrapText="false" indent="0" shrinkToFit="false"/>
      <protection locked="true" hidden="false"/>
    </xf>
    <xf numFmtId="164" fontId="14" fillId="2" borderId="0" xfId="0" applyFont="true" applyBorder="false" applyAlignment="true" applyProtection="false">
      <alignment horizontal="general" vertical="top" textRotation="0" wrapText="false" indent="0" shrinkToFit="false"/>
      <protection locked="true" hidden="false"/>
    </xf>
    <xf numFmtId="164" fontId="15" fillId="0" borderId="0" xfId="0" applyFont="true" applyBorder="false" applyAlignment="true" applyProtection="true">
      <alignment horizontal="center" vertical="center" textRotation="0" wrapText="false" indent="0" shrinkToFit="false"/>
      <protection locked="false" hidden="false"/>
    </xf>
    <xf numFmtId="164" fontId="14" fillId="2" borderId="0" xfId="0" applyFont="true" applyBorder="false" applyAlignment="true" applyProtection="false">
      <alignment horizontal="center" vertical="top"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3" borderId="6" xfId="20" applyFont="true" applyBorder="true" applyAlignment="true" applyProtection="true">
      <alignment horizontal="center" vertical="center" textRotation="0" wrapText="false" indent="0" shrinkToFit="false"/>
      <protection locked="true" hidden="false"/>
    </xf>
    <xf numFmtId="164" fontId="0" fillId="2" borderId="0" xfId="0" applyFont="false" applyBorder="false" applyAlignment="true" applyProtection="false">
      <alignment horizontal="center" vertical="center" textRotation="0" wrapText="false" indent="0" shrinkToFit="false"/>
      <protection locked="true" hidden="false"/>
    </xf>
    <xf numFmtId="164" fontId="0" fillId="0" borderId="7" xfId="0" applyFont="false" applyBorder="true" applyAlignment="false" applyProtection="false">
      <alignment horizontal="general" vertical="bottom" textRotation="0" wrapText="false" indent="0" shrinkToFit="false"/>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13" fillId="0" borderId="8" xfId="0" applyFont="true" applyBorder="true" applyAlignment="true" applyProtection="false">
      <alignment horizontal="center" vertical="center" textRotation="0" wrapText="false" indent="0" shrinkToFit="false"/>
      <protection locked="true" hidden="false"/>
    </xf>
    <xf numFmtId="164" fontId="0" fillId="0" borderId="9" xfId="0" applyFont="false" applyBorder="tru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general" vertical="center" textRotation="0" wrapText="false" indent="0" shrinkToFit="false"/>
      <protection locked="true" hidden="false"/>
    </xf>
    <xf numFmtId="164" fontId="19" fillId="3" borderId="6" xfId="20" applyFont="true" applyBorder="true" applyAlignment="true" applyProtection="true">
      <alignment horizontal="center" vertical="center" textRotation="0" wrapText="false" indent="0" shrinkToFit="false"/>
      <protection locked="true" hidden="false"/>
    </xf>
    <xf numFmtId="164" fontId="20" fillId="3" borderId="6" xfId="20" applyFont="true" applyBorder="true" applyAlignment="true" applyProtection="true">
      <alignment horizontal="center" vertical="center"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general" vertical="center" textRotation="0" wrapText="false" indent="0" shrinkToFit="false"/>
      <protection locked="true" hidden="false"/>
    </xf>
    <xf numFmtId="164" fontId="21" fillId="3" borderId="6" xfId="20" applyFont="true" applyBorder="true" applyAlignment="true" applyProtection="true">
      <alignment horizontal="center" vertical="center" textRotation="0" wrapText="false" indent="0" shrinkToFit="false"/>
      <protection locked="true" hidden="false"/>
    </xf>
    <xf numFmtId="164" fontId="0" fillId="5" borderId="0" xfId="0" applyFont="false" applyBorder="false" applyAlignment="true" applyProtection="false">
      <alignment horizontal="general" vertical="center"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0" fillId="6" borderId="0" xfId="0" applyFont="false" applyBorder="false" applyAlignment="true" applyProtection="false">
      <alignment horizontal="general" vertical="center" textRotation="0" wrapText="false" indent="0" shrinkToFit="false"/>
      <protection locked="true" hidden="false"/>
    </xf>
    <xf numFmtId="164" fontId="0" fillId="0" borderId="10" xfId="0" applyFont="false" applyBorder="true" applyAlignment="false" applyProtection="false">
      <alignment horizontal="general" vertical="bottom" textRotation="0" wrapText="fals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18" fillId="3" borderId="6" xfId="2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20" fillId="0" borderId="0" xfId="0" applyFont="true" applyBorder="fals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general" vertical="center"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0" fillId="0" borderId="11" xfId="0" applyFont="false" applyBorder="true" applyAlignment="false" applyProtection="false">
      <alignment horizontal="general" vertical="bottom" textRotation="0" wrapText="false" indent="0" shrinkToFit="false"/>
      <protection locked="true" hidden="false"/>
    </xf>
    <xf numFmtId="164" fontId="18" fillId="0" borderId="12" xfId="0" applyFont="true" applyBorder="true" applyAlignment="true" applyProtection="false">
      <alignment horizontal="center" vertical="bottom" textRotation="0" wrapText="false" indent="0" shrinkToFit="false"/>
      <protection locked="true" hidden="false"/>
    </xf>
    <xf numFmtId="164" fontId="18" fillId="0" borderId="11" xfId="0" applyFont="true" applyBorder="true" applyAlignment="false" applyProtection="false">
      <alignment horizontal="general" vertical="bottom" textRotation="0" wrapText="false" indent="0" shrinkToFit="false"/>
      <protection locked="true" hidden="false"/>
    </xf>
    <xf numFmtId="164" fontId="18" fillId="0" borderId="12" xfId="0" applyFont="true" applyBorder="true" applyAlignment="false" applyProtection="false">
      <alignment horizontal="general" vertical="bottom" textRotation="0" wrapText="false" indent="0" shrinkToFit="false"/>
      <protection locked="true" hidden="false"/>
    </xf>
    <xf numFmtId="164" fontId="18" fillId="0" borderId="13" xfId="0" applyFont="true" applyBorder="true" applyAlignment="true" applyProtection="false">
      <alignment horizontal="left" vertical="bottom" textRotation="0" wrapText="false" indent="0" shrinkToFit="false"/>
      <protection locked="true" hidden="false"/>
    </xf>
    <xf numFmtId="164" fontId="18" fillId="0" borderId="13" xfId="0" applyFont="true" applyBorder="true" applyAlignment="true" applyProtection="false">
      <alignment horizontal="center" vertical="bottom" textRotation="0" wrapText="false" indent="0" shrinkToFit="false"/>
      <protection locked="true" hidden="false"/>
    </xf>
    <xf numFmtId="164" fontId="18" fillId="0" borderId="0" xfId="0" applyFont="true" applyBorder="false" applyAlignment="true" applyProtection="false">
      <alignment horizontal="left" vertical="bottom" textRotation="0" wrapText="false" indent="0" shrinkToFit="false"/>
      <protection locked="true" hidden="false"/>
    </xf>
    <xf numFmtId="164" fontId="18" fillId="0" borderId="0" xfId="0" applyFont="true" applyBorder="fals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64" fontId="0" fillId="0" borderId="14" xfId="0" applyFont="true" applyBorder="true" applyAlignment="true" applyProtection="false">
      <alignment horizontal="general" vertical="center" textRotation="0" wrapText="false" indent="0" shrinkToFit="false"/>
      <protection locked="true" hidden="false"/>
    </xf>
    <xf numFmtId="164" fontId="0" fillId="5" borderId="15" xfId="0" applyFont="true" applyBorder="true" applyAlignment="true" applyProtection="true">
      <alignment horizontal="general" vertical="center" textRotation="0" wrapText="false" indent="0" shrinkToFit="false"/>
      <protection locked="fals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0" fillId="0" borderId="16" xfId="0" applyFont="true" applyBorder="true" applyAlignment="true" applyProtection="false">
      <alignment horizontal="general" vertical="center" textRotation="0" wrapText="false" indent="0" shrinkToFit="false"/>
      <protection locked="true" hidden="false"/>
    </xf>
    <xf numFmtId="168" fontId="0" fillId="4" borderId="17" xfId="0" applyFont="false" applyBorder="true" applyAlignment="true" applyProtection="true">
      <alignment horizontal="general" vertical="center" textRotation="0" wrapText="false" indent="0" shrinkToFit="false"/>
      <protection locked="false" hidden="false"/>
    </xf>
    <xf numFmtId="164" fontId="0" fillId="0" borderId="18" xfId="0" applyFont="true" applyBorder="true" applyAlignment="true" applyProtection="false">
      <alignment horizontal="general" vertical="center" textRotation="0" wrapText="false" indent="0" shrinkToFit="false"/>
      <protection locked="true" hidden="false"/>
    </xf>
    <xf numFmtId="168" fontId="0" fillId="4" borderId="19" xfId="0" applyFont="false" applyBorder="true" applyAlignment="true" applyProtection="true">
      <alignment horizontal="general" vertical="center" textRotation="0" wrapText="false" indent="0" shrinkToFit="false"/>
      <protection locked="false" hidden="false"/>
    </xf>
    <xf numFmtId="169" fontId="0" fillId="4" borderId="19" xfId="0" applyFont="false" applyBorder="true" applyAlignment="true" applyProtection="true">
      <alignment horizontal="left" vertical="center" textRotation="0" wrapText="false" indent="0" shrinkToFit="false"/>
      <protection locked="false" hidden="false"/>
    </xf>
    <xf numFmtId="170" fontId="0" fillId="4" borderId="19" xfId="0" applyFont="false" applyBorder="true" applyAlignment="true" applyProtection="true">
      <alignment horizontal="left" vertical="center" textRotation="0" wrapText="false" indent="0" shrinkToFit="false"/>
      <protection locked="false" hidden="false"/>
    </xf>
    <xf numFmtId="164" fontId="0" fillId="0" borderId="20" xfId="0" applyFont="true" applyBorder="true" applyAlignment="true" applyProtection="false">
      <alignment horizontal="general" vertical="center" textRotation="0" wrapText="false" indent="0" shrinkToFit="false"/>
      <protection locked="true" hidden="false"/>
    </xf>
    <xf numFmtId="170" fontId="0" fillId="4" borderId="21" xfId="0" applyFont="false" applyBorder="true" applyAlignment="true" applyProtection="true">
      <alignment horizontal="left" vertical="center" textRotation="0" wrapText="false" indent="0" shrinkToFit="false"/>
      <protection locked="false" hidden="false"/>
    </xf>
    <xf numFmtId="170" fontId="0" fillId="0" borderId="0" xfId="0" applyFont="false" applyBorder="false" applyAlignment="true" applyProtection="false">
      <alignment horizontal="left" vertical="center" textRotation="0" wrapText="false" indent="0" shrinkToFit="false"/>
      <protection locked="true" hidden="false"/>
    </xf>
    <xf numFmtId="164" fontId="0" fillId="0" borderId="22" xfId="0" applyFont="true" applyBorder="true" applyAlignment="true" applyProtection="false">
      <alignment horizontal="general" vertical="center" textRotation="0" wrapText="false" indent="0" shrinkToFit="false"/>
      <protection locked="true" hidden="false"/>
    </xf>
    <xf numFmtId="168" fontId="0" fillId="4" borderId="23" xfId="0" applyFont="true" applyBorder="true" applyAlignment="true" applyProtection="true">
      <alignment horizontal="general" vertical="center" textRotation="0" wrapText="true" indent="0" shrinkToFit="false"/>
      <protection locked="false" hidden="false"/>
    </xf>
    <xf numFmtId="164" fontId="0" fillId="5" borderId="24" xfId="0" applyFont="true" applyBorder="true" applyAlignment="true" applyProtection="true">
      <alignment horizontal="general" vertical="center" textRotation="0" wrapText="false" indent="0" shrinkToFit="false"/>
      <protection locked="false" hidden="false"/>
    </xf>
    <xf numFmtId="164" fontId="0" fillId="0" borderId="25" xfId="0" applyFont="true" applyBorder="true" applyAlignment="true" applyProtection="false">
      <alignment horizontal="general" vertical="center" textRotation="0" wrapText="false" indent="0" shrinkToFit="false"/>
      <protection locked="true" hidden="false"/>
    </xf>
    <xf numFmtId="171" fontId="0" fillId="4" borderId="21" xfId="0" applyFont="false" applyBorder="true" applyAlignment="true" applyProtection="true">
      <alignment horizontal="left" vertical="center" textRotation="0" wrapText="false" indent="0" shrinkToFit="false"/>
      <protection locked="false" hidden="false"/>
    </xf>
    <xf numFmtId="169" fontId="0" fillId="0" borderId="0" xfId="0" applyFont="false" applyBorder="false" applyAlignment="true" applyProtection="false">
      <alignment horizontal="general" vertical="center" textRotation="0" wrapText="false" indent="0" shrinkToFit="false"/>
      <protection locked="true" hidden="false"/>
    </xf>
    <xf numFmtId="164" fontId="0" fillId="4" borderId="17" xfId="0" applyFont="true" applyBorder="true" applyAlignment="true" applyProtection="true">
      <alignment horizontal="general" vertical="center" textRotation="0" wrapText="false" indent="0" shrinkToFit="false"/>
      <protection locked="false" hidden="false"/>
    </xf>
    <xf numFmtId="172" fontId="0" fillId="4" borderId="21" xfId="0" applyFont="false" applyBorder="true" applyAlignment="true" applyProtection="true">
      <alignment horizontal="left" vertical="center" textRotation="0" wrapText="false" indent="0" shrinkToFit="false"/>
      <protection locked="false" hidden="false"/>
    </xf>
    <xf numFmtId="164" fontId="0" fillId="4" borderId="15" xfId="0" applyFont="true" applyBorder="true" applyAlignment="true" applyProtection="true">
      <alignment horizontal="general" vertical="center" textRotation="0" wrapText="false" indent="0" shrinkToFit="false"/>
      <protection locked="false" hidden="false"/>
    </xf>
    <xf numFmtId="164" fontId="0" fillId="4" borderId="21" xfId="0" applyFont="true" applyBorder="true" applyAlignment="true" applyProtection="true">
      <alignment horizontal="general" vertical="center" textRotation="0" wrapText="false" indent="0" shrinkToFit="false"/>
      <protection locked="false" hidden="false"/>
    </xf>
    <xf numFmtId="164" fontId="0" fillId="0" borderId="26" xfId="0" applyFont="true" applyBorder="true" applyAlignment="true" applyProtection="false">
      <alignment horizontal="general" vertical="center" textRotation="0" wrapText="false" indent="0" shrinkToFit="false"/>
      <protection locked="true" hidden="false"/>
    </xf>
    <xf numFmtId="164" fontId="0" fillId="5" borderId="27" xfId="0" applyFont="true" applyBorder="true" applyAlignment="true" applyProtection="true">
      <alignment horizontal="general" vertical="center" textRotation="0" wrapText="false" indent="0" shrinkToFit="false"/>
      <protection locked="false" hidden="false"/>
    </xf>
    <xf numFmtId="172" fontId="0" fillId="4" borderId="15" xfId="0" applyFont="false" applyBorder="true" applyAlignment="true" applyProtection="true">
      <alignment horizontal="left" vertical="center" textRotation="0" wrapText="false" indent="0" shrinkToFit="false"/>
      <protection locked="false" hidden="false"/>
    </xf>
    <xf numFmtId="171" fontId="0" fillId="4" borderId="28" xfId="0" applyFont="false" applyBorder="true" applyAlignment="true" applyProtection="true">
      <alignment horizontal="left" vertical="center" textRotation="0" wrapText="false" indent="0" shrinkToFit="false"/>
      <protection locked="false" hidden="false"/>
    </xf>
    <xf numFmtId="172" fontId="0" fillId="4" borderId="29" xfId="0" applyFont="false" applyBorder="true" applyAlignment="true" applyProtection="true">
      <alignment horizontal="left" vertical="center" textRotation="0" wrapText="false" indent="0" shrinkToFit="false"/>
      <protection locked="false" hidden="false"/>
    </xf>
    <xf numFmtId="168" fontId="0" fillId="4" borderId="15" xfId="0" applyFont="false" applyBorder="true" applyAlignment="true" applyProtection="true">
      <alignment horizontal="general" vertical="center" textRotation="0" wrapText="false" indent="0" shrinkToFit="false"/>
      <protection locked="false" hidden="false"/>
    </xf>
    <xf numFmtId="168" fontId="0" fillId="4" borderId="29" xfId="0" applyFont="false" applyBorder="true" applyAlignment="true" applyProtection="true">
      <alignment horizontal="general" vertical="center" textRotation="0" wrapText="false" indent="0" shrinkToFit="false"/>
      <protection locked="false" hidden="false"/>
    </xf>
    <xf numFmtId="168" fontId="0" fillId="4" borderId="21" xfId="0" applyFont="false" applyBorder="true" applyAlignment="true" applyProtection="true">
      <alignment horizontal="general" vertical="center" textRotation="0" wrapText="false" indent="0" shrinkToFit="false"/>
      <protection locked="false" hidden="false"/>
    </xf>
    <xf numFmtId="164" fontId="0" fillId="0" borderId="0" xfId="22" applyFont="true" applyBorder="false" applyAlignment="false" applyProtection="false">
      <alignment horizontal="general" vertical="bottom" textRotation="0" wrapText="false" indent="0" shrinkToFit="false"/>
      <protection locked="true" hidden="false"/>
    </xf>
    <xf numFmtId="164" fontId="18" fillId="0" borderId="0" xfId="22" applyFont="true" applyBorder="false" applyAlignment="true" applyProtection="false">
      <alignment horizontal="center" vertical="bottom" textRotation="0" wrapText="false" indent="0" shrinkToFit="false"/>
      <protection locked="true" hidden="false"/>
    </xf>
    <xf numFmtId="164" fontId="20" fillId="0" borderId="0" xfId="22" applyFont="true" applyBorder="false" applyAlignment="true" applyProtection="false">
      <alignment horizontal="center" vertical="bottom" textRotation="0" wrapText="false" indent="0" shrinkToFit="false"/>
      <protection locked="true" hidden="false"/>
    </xf>
    <xf numFmtId="164" fontId="0" fillId="0" borderId="30" xfId="0" applyFont="true" applyBorder="true" applyAlignment="true" applyProtection="false">
      <alignment horizontal="center" vertical="bottom" textRotation="0" wrapText="false" indent="0" shrinkToFit="false"/>
      <protection locked="true" hidden="false"/>
    </xf>
    <xf numFmtId="164" fontId="18" fillId="0" borderId="8" xfId="22" applyFont="true" applyBorder="true" applyAlignment="true" applyProtection="false">
      <alignment horizontal="center" vertical="bottom" textRotation="0" wrapText="false" indent="0" shrinkToFit="false"/>
      <protection locked="true" hidden="false"/>
    </xf>
    <xf numFmtId="170" fontId="28" fillId="0" borderId="8" xfId="22" applyFont="true" applyBorder="true" applyAlignment="true" applyProtection="false">
      <alignment horizontal="center" vertical="bottom" textRotation="0" wrapText="false" indent="0" shrinkToFit="false"/>
      <protection locked="true" hidden="false"/>
    </xf>
    <xf numFmtId="164" fontId="18" fillId="0" borderId="30" xfId="25" applyFont="true" applyBorder="true" applyAlignment="true" applyProtection="false">
      <alignment horizontal="left" vertical="top" textRotation="0" wrapText="false" indent="0" shrinkToFit="false"/>
      <protection locked="true" hidden="false"/>
    </xf>
    <xf numFmtId="164" fontId="0" fillId="0" borderId="13" xfId="22" applyFont="true" applyBorder="true" applyAlignment="true" applyProtection="false">
      <alignment horizontal="left" vertical="top" textRotation="0" wrapText="true" indent="0" shrinkToFit="false"/>
      <protection locked="true" hidden="false"/>
    </xf>
    <xf numFmtId="164" fontId="29" fillId="0" borderId="0" xfId="0" applyFont="true" applyBorder="true" applyAlignment="true" applyProtection="false">
      <alignment horizontal="center" vertical="bottom" textRotation="90" wrapText="false" indent="0" shrinkToFit="false"/>
      <protection locked="true" hidden="false"/>
    </xf>
    <xf numFmtId="164" fontId="18" fillId="0" borderId="0" xfId="22" applyFont="true" applyBorder="false" applyAlignment="false" applyProtection="false">
      <alignment horizontal="general" vertical="bottom" textRotation="0" wrapText="false" indent="0" shrinkToFit="false"/>
      <protection locked="true" hidden="false"/>
    </xf>
    <xf numFmtId="164" fontId="18" fillId="0" borderId="8" xfId="22" applyFont="true" applyBorder="true" applyAlignment="true" applyProtection="false">
      <alignment horizontal="center" vertical="center" textRotation="0" wrapText="true" indent="0" shrinkToFit="false"/>
      <protection locked="true" hidden="false"/>
    </xf>
    <xf numFmtId="164" fontId="5" fillId="0" borderId="13" xfId="21" applyFont="true" applyBorder="true" applyAlignment="true" applyProtection="true">
      <alignment horizontal="left" vertical="bottom" textRotation="0" wrapText="true" indent="0" shrinkToFit="false"/>
      <protection locked="true" hidden="false"/>
    </xf>
    <xf numFmtId="164" fontId="5" fillId="0" borderId="8" xfId="22" applyFont="true" applyBorder="true" applyAlignment="true" applyProtection="false">
      <alignment horizontal="left" vertical="bottom" textRotation="0" wrapText="true" indent="0" shrinkToFit="false"/>
      <protection locked="true" hidden="false"/>
    </xf>
    <xf numFmtId="170" fontId="5" fillId="4" borderId="8" xfId="22" applyFont="true" applyBorder="true" applyAlignment="true" applyProtection="true">
      <alignment horizontal="center" vertical="bottom" textRotation="0" wrapText="false" indent="0" shrinkToFit="false"/>
      <protection locked="fals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73" fontId="31" fillId="0" borderId="0" xfId="0" applyFont="true" applyBorder="false" applyAlignment="true" applyProtection="false">
      <alignment horizontal="center" vertical="center" textRotation="0" wrapText="false" indent="0" shrinkToFit="false"/>
      <protection locked="true" hidden="false"/>
    </xf>
    <xf numFmtId="164" fontId="5" fillId="0" borderId="8" xfId="22" applyFont="true" applyBorder="true" applyAlignment="true" applyProtection="false">
      <alignment horizontal="left" vertical="bottom" textRotation="0" wrapText="false" indent="0" shrinkToFit="false"/>
      <protection locked="true" hidden="false"/>
    </xf>
    <xf numFmtId="164" fontId="5" fillId="0" borderId="0" xfId="22" applyFont="true" applyBorder="false" applyAlignment="true" applyProtection="false">
      <alignment horizontal="left" vertical="bottom" textRotation="0" wrapText="false" indent="0" shrinkToFit="false"/>
      <protection locked="true" hidden="false"/>
    </xf>
    <xf numFmtId="164" fontId="20" fillId="0" borderId="8" xfId="22" applyFont="true" applyBorder="true" applyAlignment="true" applyProtection="false">
      <alignment horizontal="center" vertical="bottom" textRotation="0" wrapText="false" indent="0" shrinkToFit="false"/>
      <protection locked="true" hidden="false"/>
    </xf>
    <xf numFmtId="165" fontId="5" fillId="5" borderId="13" xfId="21" applyFont="true" applyBorder="true" applyAlignment="true" applyProtection="true">
      <alignment horizontal="left" vertical="bottom" textRotation="0" wrapText="false" indent="0" shrinkToFit="false"/>
      <protection locked="false" hidden="false"/>
    </xf>
    <xf numFmtId="164" fontId="21" fillId="0" borderId="8" xfId="22" applyFont="true" applyBorder="true" applyAlignment="true" applyProtection="false">
      <alignment horizontal="center" vertical="center" textRotation="0" wrapText="false" indent="0" shrinkToFit="false"/>
      <protection locked="true" hidden="false"/>
    </xf>
    <xf numFmtId="169" fontId="21" fillId="0" borderId="8" xfId="22" applyFont="true" applyBorder="true" applyAlignment="true" applyProtection="false">
      <alignment horizontal="center" vertical="center" textRotation="0" wrapText="true" indent="0" shrinkToFit="false"/>
      <protection locked="true" hidden="false"/>
    </xf>
    <xf numFmtId="164" fontId="18" fillId="0" borderId="8" xfId="22" applyFont="true" applyBorder="true" applyAlignment="true" applyProtection="false">
      <alignment horizontal="center" vertical="center" textRotation="0" wrapText="false" indent="0" shrinkToFit="false"/>
      <protection locked="true" hidden="false"/>
    </xf>
    <xf numFmtId="164" fontId="0" fillId="0" borderId="8" xfId="22" applyFont="true" applyBorder="true" applyAlignment="true" applyProtection="false">
      <alignment horizontal="center" vertical="center" textRotation="0" wrapText="true" indent="0" shrinkToFit="false"/>
      <protection locked="true" hidden="false"/>
    </xf>
    <xf numFmtId="164" fontId="32" fillId="0" borderId="8" xfId="22" applyFont="true" applyBorder="true" applyAlignment="true" applyProtection="false">
      <alignment horizontal="center" vertical="center" textRotation="0" wrapText="false" indent="0" shrinkToFit="false"/>
      <protection locked="true" hidden="false"/>
    </xf>
    <xf numFmtId="170" fontId="32" fillId="4" borderId="8" xfId="22" applyFont="true" applyBorder="true" applyAlignment="true" applyProtection="true">
      <alignment horizontal="center" vertical="center" textRotation="0" wrapText="false" indent="0" shrinkToFit="false"/>
      <protection locked="fals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9" fontId="32" fillId="0" borderId="8" xfId="22" applyFont="true" applyBorder="true" applyAlignment="true" applyProtection="false">
      <alignment horizontal="center" vertical="center" textRotation="0" wrapText="false" indent="0" shrinkToFit="false"/>
      <protection locked="true" hidden="false"/>
    </xf>
    <xf numFmtId="170" fontId="32" fillId="0" borderId="8" xfId="22" applyFont="true" applyBorder="true" applyAlignment="true" applyProtection="false">
      <alignment horizontal="center" vertical="center" textRotation="0" wrapText="false" indent="0" shrinkToFit="false"/>
      <protection locked="true" hidden="false"/>
    </xf>
    <xf numFmtId="170" fontId="32" fillId="0" borderId="8" xfId="22" applyFont="true" applyBorder="true" applyAlignment="true" applyProtection="false">
      <alignment horizontal="center" vertical="center" textRotation="0" wrapText="true" indent="0" shrinkToFit="false"/>
      <protection locked="true" hidden="false"/>
    </xf>
    <xf numFmtId="164" fontId="32" fillId="0" borderId="8" xfId="22" applyFont="true" applyBorder="true" applyAlignment="true" applyProtection="false">
      <alignment horizontal="center" vertical="center" textRotation="0" wrapText="true" indent="0" shrinkToFit="false"/>
      <protection locked="true" hidden="false"/>
    </xf>
    <xf numFmtId="164" fontId="32" fillId="2" borderId="8" xfId="22" applyFont="true" applyBorder="true" applyAlignment="true" applyProtection="false">
      <alignment horizontal="center" vertical="center" textRotation="0" wrapText="true" indent="0" shrinkToFit="false"/>
      <protection locked="true" hidden="false"/>
    </xf>
    <xf numFmtId="170" fontId="21" fillId="2" borderId="8" xfId="22" applyFont="true" applyBorder="true" applyAlignment="true" applyProtection="false">
      <alignment horizontal="center" vertical="center" textRotation="0" wrapText="false" indent="0" shrinkToFit="false"/>
      <protection locked="true" hidden="false"/>
    </xf>
    <xf numFmtId="164" fontId="25" fillId="0" borderId="0" xfId="22" applyFont="true" applyBorder="false" applyAlignment="true" applyProtection="false">
      <alignment horizontal="right" vertical="center" textRotation="0" wrapText="false" indent="0" shrinkToFit="false"/>
      <protection locked="true" hidden="false"/>
    </xf>
    <xf numFmtId="164" fontId="26" fillId="0" borderId="0" xfId="22" applyFont="true" applyBorder="true" applyAlignment="true" applyProtection="false">
      <alignment horizontal="left" vertical="center" textRotation="0" wrapText="false" indent="1" shrinkToFit="false"/>
      <protection locked="true" hidden="false"/>
    </xf>
    <xf numFmtId="164" fontId="0" fillId="0" borderId="0" xfId="22" applyFont="true" applyBorder="true" applyAlignment="true" applyProtection="false">
      <alignment horizontal="center" vertical="center" textRotation="0" wrapText="false" indent="0" shrinkToFit="false"/>
      <protection locked="true" hidden="false"/>
    </xf>
    <xf numFmtId="164" fontId="0" fillId="0" borderId="0" xfId="22" applyFont="true" applyBorder="false" applyAlignment="true" applyProtection="false">
      <alignment horizontal="center" vertical="top" textRotation="0" wrapText="false" indent="0" shrinkToFit="false"/>
      <protection locked="true" hidden="false"/>
    </xf>
    <xf numFmtId="164" fontId="33" fillId="0" borderId="0" xfId="0" applyFont="true" applyBorder="true" applyAlignment="true" applyProtection="false">
      <alignment horizontal="right" vertical="center" textRotation="0" wrapText="false" indent="0" shrinkToFit="false"/>
      <protection locked="true" hidden="false"/>
    </xf>
    <xf numFmtId="164" fontId="34" fillId="0" borderId="0" xfId="0" applyFont="true" applyBorder="true" applyAlignment="true" applyProtection="false">
      <alignment horizontal="center" vertical="bottom" textRotation="0" wrapText="false" indent="0" shrinkToFit="false"/>
      <protection locked="true" hidden="false"/>
    </xf>
    <xf numFmtId="164" fontId="33" fillId="0" borderId="0" xfId="0" applyFont="true" applyBorder="true" applyAlignment="true" applyProtection="false">
      <alignment horizontal="left" vertical="center" textRotation="0" wrapText="false" indent="0" shrinkToFit="false"/>
      <protection locked="true" hidden="false"/>
    </xf>
    <xf numFmtId="164" fontId="33" fillId="0" borderId="0" xfId="0" applyFont="true" applyBorder="true" applyAlignment="true" applyProtection="false">
      <alignment horizontal="center" vertical="top" textRotation="0" wrapText="false" indent="0" shrinkToFit="false"/>
      <protection locked="true" hidden="false"/>
    </xf>
    <xf numFmtId="164" fontId="35" fillId="0" borderId="0" xfId="22" applyFont="true" applyBorder="false" applyAlignment="true" applyProtection="false">
      <alignment horizontal="center" vertical="top" textRotation="0" wrapText="false" indent="0" shrinkToFit="false"/>
      <protection locked="true" hidden="false"/>
    </xf>
    <xf numFmtId="164" fontId="5" fillId="0" borderId="8" xfId="22" applyFont="true" applyBorder="true" applyAlignment="true" applyProtection="false">
      <alignment horizontal="left" vertical="center" textRotation="0" wrapText="true" indent="0" shrinkToFit="false"/>
      <protection locked="true" hidden="false"/>
    </xf>
    <xf numFmtId="168" fontId="0" fillId="4" borderId="8" xfId="22" applyFont="true" applyBorder="true" applyAlignment="true" applyProtection="true">
      <alignment horizontal="left" vertical="top" textRotation="0" wrapText="true" indent="0" shrinkToFit="false"/>
      <protection locked="false" hidden="false"/>
    </xf>
    <xf numFmtId="174" fontId="0" fillId="0" borderId="3" xfId="22" applyFont="true" applyBorder="true" applyAlignment="true" applyProtection="false">
      <alignment horizontal="left" vertical="bottom" textRotation="0" wrapText="false" indent="0" shrinkToFit="false"/>
      <protection locked="true" hidden="false"/>
    </xf>
    <xf numFmtId="175" fontId="0" fillId="0" borderId="3" xfId="22" applyFont="true" applyBorder="true" applyAlignment="true" applyProtection="false">
      <alignment horizontal="left" vertical="bottom" textRotation="0" wrapText="false" indent="0" shrinkToFit="false"/>
      <protection locked="true" hidden="false"/>
    </xf>
    <xf numFmtId="164" fontId="18" fillId="0" borderId="0" xfId="22" applyFont="true" applyBorder="true" applyAlignment="true" applyProtection="false">
      <alignment horizontal="left" vertical="center" textRotation="0" wrapText="false" indent="0" shrinkToFit="false"/>
      <protection locked="true" hidden="false"/>
    </xf>
    <xf numFmtId="176" fontId="0" fillId="0" borderId="0" xfId="22" applyFont="true" applyBorder="false" applyAlignment="false" applyProtection="false">
      <alignment horizontal="general" vertical="bottom" textRotation="0" wrapText="false" indent="0" shrinkToFit="false"/>
      <protection locked="true" hidden="false"/>
    </xf>
    <xf numFmtId="164" fontId="18" fillId="0" borderId="5" xfId="22" applyFont="true" applyBorder="true" applyAlignment="true" applyProtection="false">
      <alignment horizontal="left" vertical="bottom" textRotation="0" wrapText="false" indent="0" shrinkToFit="false"/>
      <protection locked="true" hidden="false"/>
    </xf>
    <xf numFmtId="164" fontId="0" fillId="0" borderId="5" xfId="22" applyFont="true" applyBorder="true" applyAlignment="false" applyProtection="false">
      <alignment horizontal="general" vertical="bottom" textRotation="0" wrapText="false" indent="0" shrinkToFit="false"/>
      <protection locked="true" hidden="false"/>
    </xf>
    <xf numFmtId="164" fontId="21" fillId="0" borderId="0" xfId="22" applyFont="true" applyBorder="true" applyAlignment="true" applyProtection="false">
      <alignment horizontal="left" vertical="center" textRotation="0" wrapText="false" indent="0" shrinkToFit="false"/>
      <protection locked="true" hidden="false"/>
    </xf>
    <xf numFmtId="164" fontId="32" fillId="0" borderId="0" xfId="22" applyFont="true" applyBorder="false" applyAlignment="false" applyProtection="false">
      <alignment horizontal="general" vertical="bottom" textRotation="0" wrapText="false" indent="0" shrinkToFit="false"/>
      <protection locked="true" hidden="false"/>
    </xf>
    <xf numFmtId="164" fontId="0" fillId="0" borderId="5" xfId="22" applyFont="true" applyBorder="true" applyAlignment="true" applyProtection="false">
      <alignment horizontal="left" vertical="center" textRotation="0" wrapText="false" indent="0" shrinkToFit="false"/>
      <protection locked="true" hidden="false"/>
    </xf>
    <xf numFmtId="164" fontId="18" fillId="0" borderId="0" xfId="25" applyFont="true" applyBorder="false" applyAlignment="true" applyProtection="false">
      <alignment horizontal="left" vertical="top" textRotation="0" wrapText="false" indent="0" shrinkToFit="false"/>
      <protection locked="true" hidden="false"/>
    </xf>
    <xf numFmtId="164" fontId="0" fillId="0" borderId="0" xfId="22" applyFont="true" applyBorder="false" applyAlignment="true" applyProtection="false">
      <alignment horizontal="general" vertical="top" textRotation="0" wrapText="false" indent="0" shrinkToFit="false"/>
      <protection locked="true" hidden="false"/>
    </xf>
    <xf numFmtId="174" fontId="0" fillId="0" borderId="0" xfId="22" applyFont="true" applyBorder="false" applyAlignment="false" applyProtection="false">
      <alignment horizontal="general" vertical="bottom" textRotation="0" wrapText="false" indent="0" shrinkToFit="false"/>
      <protection locked="true" hidden="false"/>
    </xf>
    <xf numFmtId="174" fontId="0" fillId="0" borderId="0" xfId="22" applyFont="true" applyBorder="false" applyAlignment="true" applyProtection="false">
      <alignment horizontal="general" vertical="top" textRotation="0" wrapText="false" indent="0" shrinkToFit="false"/>
      <protection locked="true" hidden="false"/>
    </xf>
    <xf numFmtId="164" fontId="33" fillId="0" borderId="0" xfId="0" applyFont="true" applyBorder="false" applyAlignment="true" applyProtection="false">
      <alignment horizontal="right" vertical="center" textRotation="0" wrapText="false" indent="0" shrinkToFit="false"/>
      <protection locked="true" hidden="false"/>
    </xf>
    <xf numFmtId="164" fontId="33" fillId="0" borderId="0" xfId="0" applyFont="true" applyBorder="false" applyAlignment="true" applyProtection="false">
      <alignment horizontal="center" vertical="top" textRotation="0" wrapText="false" indent="0" shrinkToFit="false"/>
      <protection locked="true" hidden="false"/>
    </xf>
    <xf numFmtId="164" fontId="33" fillId="0" borderId="0" xfId="0" applyFont="true" applyBorder="false" applyAlignment="true" applyProtection="false">
      <alignment horizontal="left" vertical="center" textRotation="0" wrapText="false" indent="0" shrinkToFit="false"/>
      <protection locked="true" hidden="false"/>
    </xf>
    <xf numFmtId="164" fontId="38" fillId="0" borderId="0" xfId="0" applyFont="true" applyBorder="false" applyAlignment="true" applyProtection="false">
      <alignment horizontal="general" vertical="center" textRotation="0" wrapText="false" indent="0" shrinkToFit="false"/>
      <protection locked="true" hidden="false"/>
    </xf>
    <xf numFmtId="164" fontId="20" fillId="0" borderId="0" xfId="0" applyFont="true" applyBorder="false" applyAlignment="true" applyProtection="false">
      <alignment horizontal="left" vertical="center" textRotation="0" wrapText="false" indent="0" shrinkToFit="false"/>
      <protection locked="true" hidden="false"/>
    </xf>
    <xf numFmtId="164" fontId="0" fillId="0" borderId="8" xfId="0" applyFont="true" applyBorder="true" applyAlignment="true" applyProtection="false">
      <alignment horizontal="center" vertical="bottom" textRotation="0" wrapText="false" indent="0" shrinkToFit="false"/>
      <protection locked="true" hidden="false"/>
    </xf>
    <xf numFmtId="164" fontId="39" fillId="0" borderId="0" xfId="0" applyFont="true" applyBorder="false" applyAlignment="true" applyProtection="false">
      <alignment horizontal="left" vertical="center" textRotation="0" wrapText="false" indent="0" shrinkToFit="false"/>
      <protection locked="true" hidden="false"/>
    </xf>
    <xf numFmtId="164" fontId="0" fillId="0" borderId="31" xfId="0" applyFont="true" applyBorder="true" applyAlignment="false" applyProtection="false">
      <alignment horizontal="general" vertical="bottom" textRotation="0" wrapText="false" indent="0" shrinkToFit="false"/>
      <protection locked="true" hidden="false"/>
    </xf>
    <xf numFmtId="170" fontId="0" fillId="0" borderId="8" xfId="0" applyFont="false" applyBorder="true" applyAlignment="true" applyProtection="false">
      <alignment horizontal="center" vertical="bottom" textRotation="0" wrapText="false" indent="0" shrinkToFit="false"/>
      <protection locked="true" hidden="false"/>
    </xf>
    <xf numFmtId="164" fontId="18" fillId="0" borderId="30" xfId="25" applyFont="true" applyBorder="true" applyAlignment="true" applyProtection="false">
      <alignment horizontal="general" vertical="top" textRotation="0" wrapText="false" indent="0" shrinkToFit="false"/>
      <protection locked="true" hidden="false"/>
    </xf>
    <xf numFmtId="164" fontId="0" fillId="0" borderId="13" xfId="0" applyFont="false" applyBorder="true" applyAlignment="true" applyProtection="false">
      <alignment horizontal="center" vertical="bottom" textRotation="0" wrapText="false" indent="0" shrinkToFit="false"/>
      <protection locked="true" hidden="false"/>
    </xf>
    <xf numFmtId="164" fontId="0" fillId="0" borderId="13" xfId="22" applyFont="true" applyBorder="true" applyAlignment="true" applyProtection="false">
      <alignment horizontal="general" vertical="top" textRotation="0" wrapText="true" indent="0" shrinkToFit="false"/>
      <protection locked="true" hidden="false"/>
    </xf>
    <xf numFmtId="164" fontId="0" fillId="0" borderId="2" xfId="22" applyFont="true" applyBorder="true" applyAlignment="true" applyProtection="false">
      <alignment horizontal="general" vertical="top" textRotation="0" wrapText="true" indent="0" shrinkToFit="false"/>
      <protection locked="true" hidden="false"/>
    </xf>
    <xf numFmtId="164" fontId="0" fillId="0" borderId="0" xfId="22" applyFont="true" applyBorder="false" applyAlignment="true" applyProtection="false">
      <alignment horizontal="left" vertical="top" textRotation="0" wrapText="true" indent="0" shrinkToFit="false"/>
      <protection locked="true" hidden="false"/>
    </xf>
    <xf numFmtId="164" fontId="40" fillId="0" borderId="0" xfId="0" applyFont="true" applyBorder="false" applyAlignment="true" applyProtection="false">
      <alignment horizontal="center" vertical="bottom" textRotation="0" wrapText="false" indent="0" shrinkToFit="false"/>
      <protection locked="true" hidden="false"/>
    </xf>
    <xf numFmtId="164" fontId="0" fillId="0" borderId="5" xfId="22" applyFont="true" applyBorder="true" applyAlignment="true" applyProtection="false">
      <alignment horizontal="left" vertical="top" textRotation="0" wrapText="true" indent="0" shrinkToFit="false"/>
      <protection locked="true" hidden="false"/>
    </xf>
    <xf numFmtId="164" fontId="0" fillId="0" borderId="5" xfId="22" applyFont="true" applyBorder="true" applyAlignment="true" applyProtection="false">
      <alignment horizontal="general" vertical="top" textRotation="0" wrapText="true" indent="0" shrinkToFit="false"/>
      <protection locked="true" hidden="false"/>
    </xf>
    <xf numFmtId="164" fontId="30" fillId="0" borderId="0" xfId="0" applyFont="true" applyBorder="false" applyAlignment="true" applyProtection="false">
      <alignment horizontal="center" vertical="bottom" textRotation="0" wrapText="false" indent="0" shrinkToFit="false"/>
      <protection locked="true" hidden="false"/>
    </xf>
    <xf numFmtId="164" fontId="0" fillId="0" borderId="8" xfId="0" applyFont="false" applyBorder="true" applyAlignment="false" applyProtection="false">
      <alignment horizontal="general" vertical="bottom" textRotation="0" wrapText="false" indent="0" shrinkToFit="false"/>
      <protection locked="true" hidden="false"/>
    </xf>
    <xf numFmtId="164" fontId="0" fillId="0" borderId="8" xfId="0" applyFont="false" applyBorder="true" applyAlignment="false" applyProtection="true">
      <alignment horizontal="general" vertical="bottom" textRotation="0" wrapText="false" indent="0" shrinkToFit="false"/>
      <protection locked="false" hidden="false"/>
    </xf>
    <xf numFmtId="164" fontId="18" fillId="0" borderId="9" xfId="25" applyFont="true" applyBorder="true" applyAlignment="true" applyProtection="false">
      <alignment horizontal="left" vertical="top" textRotation="0" wrapText="false" indent="0" shrinkToFit="false"/>
      <protection locked="true" hidden="false"/>
    </xf>
    <xf numFmtId="164" fontId="18" fillId="0" borderId="0" xfId="25" applyFont="true" applyBorder="false" applyAlignment="true" applyProtection="false">
      <alignment horizontal="center" vertical="top" textRotation="0" wrapText="false" indent="0" shrinkToFit="false"/>
      <protection locked="true" hidden="false"/>
    </xf>
    <xf numFmtId="164" fontId="18" fillId="0" borderId="30" xfId="25" applyFont="true" applyBorder="true" applyAlignment="true" applyProtection="false">
      <alignment horizontal="center" vertical="top" textRotation="0" wrapText="false" indent="0" shrinkToFit="false"/>
      <protection locked="true" hidden="false"/>
    </xf>
    <xf numFmtId="164" fontId="0" fillId="0" borderId="8" xfId="0" applyFont="false" applyBorder="true" applyAlignment="false" applyProtection="true">
      <alignment horizontal="general" vertical="bottom" textRotation="0" wrapText="false" indent="0" shrinkToFit="false"/>
      <protection locked="false" hidden="false"/>
    </xf>
    <xf numFmtId="164" fontId="29" fillId="0" borderId="0" xfId="0" applyFont="true" applyBorder="true" applyAlignment="true" applyProtection="false">
      <alignment horizontal="center" vertical="bottom" textRotation="90" wrapText="true" indent="0" shrinkToFit="false"/>
      <protection locked="true" hidden="false"/>
    </xf>
    <xf numFmtId="164" fontId="41" fillId="0" borderId="0" xfId="0" applyFont="true" applyBorder="true" applyAlignment="true" applyProtection="false">
      <alignment horizontal="center" vertical="bottom" textRotation="90" wrapText="tru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4" fontId="0" fillId="7" borderId="0" xfId="0" applyFont="false" applyBorder="true" applyAlignment="true" applyProtection="false">
      <alignment horizontal="left" vertical="bottom" textRotation="0" wrapText="false" indent="0" shrinkToFit="false"/>
      <protection locked="true" hidden="false"/>
    </xf>
    <xf numFmtId="177" fontId="0" fillId="0" borderId="13" xfId="22" applyFont="true" applyBorder="true" applyAlignment="true" applyProtection="false">
      <alignment horizontal="general" vertical="top" textRotation="0" wrapText="false" indent="0" shrinkToFit="true"/>
      <protection locked="true" hidden="false"/>
    </xf>
    <xf numFmtId="164" fontId="0" fillId="0" borderId="10" xfId="22" applyFont="true" applyBorder="true" applyAlignment="true" applyProtection="false">
      <alignment horizontal="left" vertical="top" textRotation="0" wrapText="true" indent="0" shrinkToFit="false"/>
      <protection locked="true" hidden="false"/>
    </xf>
    <xf numFmtId="164" fontId="0" fillId="0" borderId="3" xfId="22" applyFont="true" applyBorder="true" applyAlignment="true" applyProtection="false">
      <alignment horizontal="center" vertical="top" textRotation="0" wrapText="true" indent="0" shrinkToFit="false"/>
      <protection locked="true" hidden="false"/>
    </xf>
    <xf numFmtId="164" fontId="0" fillId="0" borderId="13" xfId="22" applyFont="true" applyBorder="true" applyAlignment="true" applyProtection="false">
      <alignment horizontal="center" vertical="top" textRotation="0" wrapText="true" indent="0" shrinkToFit="false"/>
      <protection locked="true" hidden="false"/>
    </xf>
    <xf numFmtId="170" fontId="0" fillId="0" borderId="0" xfId="0" applyFont="false" applyBorder="false" applyAlignment="true" applyProtection="false">
      <alignment horizontal="general" vertical="center" textRotation="0" wrapText="true" indent="0" shrinkToFit="false"/>
      <protection locked="true" hidden="false"/>
    </xf>
    <xf numFmtId="164" fontId="42" fillId="0" borderId="0" xfId="0" applyFont="true" applyBorder="false" applyAlignment="true" applyProtection="false">
      <alignment horizontal="center" vertical="center" textRotation="0" wrapText="false" indent="0" shrinkToFit="false"/>
      <protection locked="true" hidden="false"/>
    </xf>
    <xf numFmtId="164" fontId="43" fillId="0" borderId="31" xfId="0" applyFont="true" applyBorder="true" applyAlignment="true" applyProtection="false">
      <alignment horizontal="center" vertical="center" textRotation="0" wrapText="true" indent="0" shrinkToFit="false"/>
      <protection locked="true" hidden="false"/>
    </xf>
    <xf numFmtId="164" fontId="40" fillId="0" borderId="8" xfId="0" applyFont="true" applyBorder="true" applyAlignment="false" applyProtection="false">
      <alignment horizontal="general" vertical="bottom" textRotation="0" wrapText="false" indent="0" shrinkToFit="false"/>
      <protection locked="true" hidden="false"/>
    </xf>
    <xf numFmtId="164" fontId="44" fillId="0" borderId="0" xfId="0" applyFont="true" applyBorder="false" applyAlignment="false" applyProtection="false">
      <alignment horizontal="general" vertical="bottom" textRotation="0" wrapText="false" indent="0" shrinkToFit="false"/>
      <protection locked="true" hidden="false"/>
    </xf>
    <xf numFmtId="164" fontId="30" fillId="0" borderId="13" xfId="0" applyFont="true" applyBorder="true" applyAlignment="true" applyProtection="false">
      <alignment horizontal="center" vertical="bottom" textRotation="0" wrapText="false" indent="0" shrinkToFit="false"/>
      <protection locked="true" hidden="false"/>
    </xf>
    <xf numFmtId="164" fontId="40"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18" fillId="0" borderId="1" xfId="0" applyFont="true" applyBorder="true" applyAlignment="true" applyProtection="false">
      <alignment horizontal="center" vertical="bottom" textRotation="0" wrapText="false" indent="0" shrinkToFit="false"/>
      <protection locked="true" hidden="false"/>
    </xf>
    <xf numFmtId="173" fontId="45" fillId="0" borderId="0" xfId="0" applyFont="true" applyBorder="false" applyAlignment="true" applyProtection="false">
      <alignment horizontal="center" vertical="center" textRotation="0" wrapText="false" indent="0" shrinkToFit="false"/>
      <protection locked="true" hidden="false"/>
    </xf>
    <xf numFmtId="164" fontId="18" fillId="0" borderId="8" xfId="0" applyFont="true" applyBorder="true" applyAlignment="true" applyProtection="false">
      <alignment horizontal="center" vertical="center" textRotation="0" wrapText="true" indent="0" shrinkToFit="false"/>
      <protection locked="true" hidden="false"/>
    </xf>
    <xf numFmtId="164" fontId="46" fillId="0" borderId="8" xfId="0" applyFont="true" applyBorder="true" applyAlignment="true" applyProtection="false">
      <alignment horizontal="center" vertical="center" textRotation="0" wrapText="true" indent="0" shrinkToFit="false"/>
      <protection locked="true" hidden="false"/>
    </xf>
    <xf numFmtId="164" fontId="18" fillId="0" borderId="8" xfId="0" applyFont="true" applyBorder="true" applyAlignment="true" applyProtection="false">
      <alignment horizontal="center" vertical="center" textRotation="0" wrapText="false" indent="0" shrinkToFit="false"/>
      <protection locked="true" hidden="false"/>
    </xf>
    <xf numFmtId="164" fontId="18" fillId="0" borderId="32" xfId="0" applyFont="true" applyBorder="true" applyAlignment="true" applyProtection="false">
      <alignment horizontal="center" vertical="center" textRotation="0" wrapText="true" indent="0" shrinkToFit="false"/>
      <protection locked="true" hidden="false"/>
    </xf>
    <xf numFmtId="164" fontId="18" fillId="0" borderId="33"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center" vertical="center" textRotation="0" wrapText="true" indent="0" shrinkToFit="false"/>
      <protection locked="true" hidden="false"/>
    </xf>
    <xf numFmtId="164" fontId="18" fillId="0" borderId="34" xfId="0" applyFont="true" applyBorder="true" applyAlignment="true" applyProtection="false">
      <alignment horizontal="center" vertical="center" textRotation="0" wrapText="true" indent="0" shrinkToFit="false"/>
      <protection locked="true" hidden="false"/>
    </xf>
    <xf numFmtId="164" fontId="43" fillId="0" borderId="35" xfId="0" applyFont="true" applyBorder="true" applyAlignment="true" applyProtection="false">
      <alignment horizontal="center" vertical="center" textRotation="0" wrapText="true" indent="0" shrinkToFit="false"/>
      <protection locked="true" hidden="false"/>
    </xf>
    <xf numFmtId="164" fontId="18" fillId="0" borderId="31" xfId="0" applyFont="true" applyBorder="true" applyAlignment="true" applyProtection="false">
      <alignment horizontal="center" vertical="center" textRotation="0" wrapText="true" indent="0" shrinkToFit="false"/>
      <protection locked="true" hidden="false"/>
    </xf>
    <xf numFmtId="164" fontId="18" fillId="0" borderId="35" xfId="0" applyFont="true" applyBorder="true" applyAlignment="true" applyProtection="false">
      <alignment horizontal="center" vertical="center" textRotation="0" wrapText="true" indent="0" shrinkToFit="false"/>
      <protection locked="true" hidden="false"/>
    </xf>
    <xf numFmtId="164" fontId="29" fillId="0" borderId="0" xfId="0" applyFont="true" applyBorder="false" applyAlignment="true" applyProtection="false">
      <alignment horizontal="center" vertical="bottom" textRotation="0" wrapText="false" indent="0" shrinkToFit="false"/>
      <protection locked="true" hidden="false"/>
    </xf>
    <xf numFmtId="164" fontId="5" fillId="5" borderId="36" xfId="0" applyFont="true" applyBorder="true" applyAlignment="true" applyProtection="true">
      <alignment horizontal="center" vertical="center" textRotation="0" wrapText="true" indent="0" shrinkToFit="false"/>
      <protection locked="false" hidden="false"/>
    </xf>
    <xf numFmtId="164" fontId="5" fillId="0" borderId="36" xfId="0" applyFont="true" applyBorder="true" applyAlignment="true" applyProtection="false">
      <alignment horizontal="center" vertical="center" textRotation="0" wrapText="true" indent="0" shrinkToFit="false"/>
      <protection locked="true" hidden="false"/>
    </xf>
    <xf numFmtId="164" fontId="0" fillId="0" borderId="37" xfId="0" applyFont="false" applyBorder="true" applyAlignment="true" applyProtection="false">
      <alignment horizontal="general" vertical="center" textRotation="0" wrapText="true" indent="0" shrinkToFit="true"/>
      <protection locked="true" hidden="false"/>
    </xf>
    <xf numFmtId="168" fontId="0" fillId="5" borderId="38" xfId="0" applyFont="true" applyBorder="true" applyAlignment="true" applyProtection="true">
      <alignment horizontal="center" vertical="center" textRotation="0" wrapText="true" indent="0" shrinkToFit="false"/>
      <protection locked="false" hidden="false"/>
    </xf>
    <xf numFmtId="168" fontId="0" fillId="4" borderId="38" xfId="0" applyFont="false" applyBorder="true" applyAlignment="true" applyProtection="true">
      <alignment horizontal="center" vertical="center" textRotation="0" wrapText="true" indent="0" shrinkToFit="false"/>
      <protection locked="false" hidden="false"/>
    </xf>
    <xf numFmtId="164" fontId="0" fillId="4" borderId="38" xfId="0" applyFont="false" applyBorder="true" applyAlignment="true" applyProtection="true">
      <alignment horizontal="left" vertical="center" textRotation="0" wrapText="true" indent="0" shrinkToFit="false"/>
      <protection locked="false" hidden="false"/>
    </xf>
    <xf numFmtId="164" fontId="0" fillId="4" borderId="38" xfId="0" applyFont="false" applyBorder="true" applyAlignment="true" applyProtection="true">
      <alignment horizontal="center" vertical="center" textRotation="0" wrapText="true" indent="0" shrinkToFit="false"/>
      <protection locked="false" hidden="false"/>
    </xf>
    <xf numFmtId="178" fontId="0" fillId="0" borderId="38" xfId="15" applyFont="true" applyBorder="true" applyAlignment="true" applyProtection="true">
      <alignment horizontal="general" vertical="center" textRotation="0" wrapText="false" indent="0" shrinkToFit="true"/>
      <protection locked="true" hidden="false"/>
    </xf>
    <xf numFmtId="178" fontId="0" fillId="4" borderId="38" xfId="15" applyFont="true" applyBorder="true" applyAlignment="true" applyProtection="true">
      <alignment horizontal="general" vertical="center" textRotation="0" wrapText="true" indent="0" shrinkToFit="false"/>
      <protection locked="false" hidden="false"/>
    </xf>
    <xf numFmtId="170" fontId="0" fillId="5" borderId="38" xfId="19" applyFont="true" applyBorder="true" applyAlignment="true" applyProtection="true">
      <alignment horizontal="center" vertical="center" textRotation="0" wrapText="true" indent="0" shrinkToFit="false"/>
      <protection locked="false" hidden="false"/>
    </xf>
    <xf numFmtId="178" fontId="0" fillId="0" borderId="39" xfId="15" applyFont="true" applyBorder="true" applyAlignment="true" applyProtection="true">
      <alignment horizontal="center" vertical="center" textRotation="0" wrapText="false" indent="0" shrinkToFit="true"/>
      <protection locked="true" hidden="false"/>
    </xf>
    <xf numFmtId="170" fontId="29" fillId="5" borderId="40" xfId="19" applyFont="true" applyBorder="true" applyAlignment="true" applyProtection="true">
      <alignment horizontal="center" vertical="center" textRotation="0" wrapText="false" indent="0" shrinkToFit="false"/>
      <protection locked="false" hidden="false"/>
    </xf>
    <xf numFmtId="164" fontId="0" fillId="0" borderId="41" xfId="0" applyFont="false" applyBorder="true" applyAlignment="false" applyProtection="false">
      <alignment horizontal="general" vertical="bottom" textRotation="0" wrapText="false" indent="0" shrinkToFit="false"/>
      <protection locked="true" hidden="false"/>
    </xf>
    <xf numFmtId="164" fontId="0" fillId="0" borderId="42" xfId="0" applyFont="false" applyBorder="true" applyAlignment="false" applyProtection="false">
      <alignment horizontal="general" vertical="bottom" textRotation="0" wrapText="false" indent="0" shrinkToFit="false"/>
      <protection locked="true" hidden="false"/>
    </xf>
    <xf numFmtId="164" fontId="30" fillId="0" borderId="0" xfId="0" applyFont="true" applyBorder="false" applyAlignment="true" applyProtection="false">
      <alignment horizontal="general" vertical="center" textRotation="0" wrapText="false" indent="0" shrinkToFit="false"/>
      <protection locked="true" hidden="false"/>
    </xf>
    <xf numFmtId="178" fontId="0" fillId="0" borderId="37" xfId="15" applyFont="true" applyBorder="true" applyAlignment="true" applyProtection="true">
      <alignment horizontal="general" vertical="center" textRotation="0" wrapText="false" indent="0" shrinkToFit="true"/>
      <protection locked="true" hidden="false"/>
    </xf>
    <xf numFmtId="170" fontId="0" fillId="0" borderId="39" xfId="15" applyFont="true" applyBorder="true" applyAlignment="true" applyProtection="true">
      <alignment horizontal="general" vertical="center" textRotation="0" wrapText="false" indent="0" shrinkToFit="true"/>
      <protection locked="true" hidden="false"/>
    </xf>
    <xf numFmtId="178" fontId="0" fillId="4" borderId="40" xfId="15" applyFont="true" applyBorder="true" applyAlignment="true" applyProtection="true">
      <alignment horizontal="general" vertical="center" textRotation="0" wrapText="true" indent="0" shrinkToFit="false"/>
      <protection locked="false" hidden="false"/>
    </xf>
    <xf numFmtId="178" fontId="0" fillId="4" borderId="37" xfId="15" applyFont="true" applyBorder="true" applyAlignment="true" applyProtection="true">
      <alignment horizontal="general" vertical="center" textRotation="0" wrapText="true" indent="0" shrinkToFit="false"/>
      <protection locked="false" hidden="false"/>
    </xf>
    <xf numFmtId="178" fontId="0" fillId="0" borderId="38" xfId="15" applyFont="true" applyBorder="true" applyAlignment="true" applyProtection="true">
      <alignment horizontal="center" vertical="center" textRotation="0" wrapText="false" indent="0" shrinkToFit="true"/>
      <protection locked="true" hidden="false"/>
    </xf>
    <xf numFmtId="178" fontId="0" fillId="0" borderId="39" xfId="15" applyFont="true" applyBorder="true" applyAlignment="true" applyProtection="true">
      <alignment horizontal="general" vertical="center" textRotation="0" wrapText="false" indent="0" shrinkToFit="true"/>
      <protection locked="true" hidden="false"/>
    </xf>
    <xf numFmtId="164" fontId="18" fillId="8" borderId="8" xfId="0" applyFont="true" applyBorder="true" applyAlignment="true" applyProtection="false">
      <alignment horizontal="center" vertical="center" textRotation="0" wrapText="false" indent="0" shrinkToFit="false"/>
      <protection locked="true" hidden="false"/>
    </xf>
    <xf numFmtId="164" fontId="18" fillId="8" borderId="11" xfId="0" applyFont="true" applyBorder="true" applyAlignment="true" applyProtection="false">
      <alignment horizontal="left" vertical="center" textRotation="0" wrapText="true" indent="0" shrinkToFit="false"/>
      <protection locked="true" hidden="false"/>
    </xf>
    <xf numFmtId="168" fontId="18" fillId="8" borderId="43" xfId="0" applyFont="true" applyBorder="true" applyAlignment="true" applyProtection="false">
      <alignment horizontal="center" vertical="center" textRotation="0" wrapText="false" indent="0" shrinkToFit="false"/>
      <protection locked="true" hidden="false"/>
    </xf>
    <xf numFmtId="178" fontId="18" fillId="8" borderId="43" xfId="15" applyFont="true" applyBorder="true" applyAlignment="true" applyProtection="true">
      <alignment horizontal="center" vertical="center" textRotation="0" wrapText="false" indent="0" shrinkToFit="false"/>
      <protection locked="true" hidden="false"/>
    </xf>
    <xf numFmtId="170" fontId="18" fillId="8" borderId="43" xfId="19" applyFont="true" applyBorder="true" applyAlignment="true" applyProtection="true">
      <alignment horizontal="center" vertical="center" textRotation="0" wrapText="false" indent="0" shrinkToFit="false"/>
      <protection locked="true" hidden="false"/>
    </xf>
    <xf numFmtId="178" fontId="18" fillId="8" borderId="12" xfId="15" applyFont="true" applyBorder="true" applyAlignment="true" applyProtection="true">
      <alignment horizontal="center" vertical="center" textRotation="0" wrapText="false" indent="0" shrinkToFit="true"/>
      <protection locked="true" hidden="false"/>
    </xf>
    <xf numFmtId="178" fontId="47" fillId="8" borderId="8" xfId="15" applyFont="true" applyBorder="true" applyAlignment="true" applyProtection="true">
      <alignment horizontal="center" vertical="center" textRotation="0" wrapText="false" indent="0" shrinkToFit="true"/>
      <protection locked="true" hidden="false"/>
    </xf>
    <xf numFmtId="178" fontId="47" fillId="8" borderId="12" xfId="15" applyFont="true" applyBorder="true" applyAlignment="true" applyProtection="true">
      <alignment horizontal="center" vertical="center" textRotation="0" wrapText="false" indent="0" shrinkToFit="true"/>
      <protection locked="true" hidden="false"/>
    </xf>
    <xf numFmtId="178" fontId="18" fillId="8" borderId="44" xfId="15" applyFont="true" applyBorder="true" applyAlignment="true" applyProtection="true">
      <alignment horizontal="center" vertical="center" textRotation="0" wrapText="false" indent="0" shrinkToFit="false"/>
      <protection locked="true" hidden="false"/>
    </xf>
    <xf numFmtId="170" fontId="18" fillId="8" borderId="45" xfId="15" applyFont="true" applyBorder="true" applyAlignment="true" applyProtection="true">
      <alignment horizontal="center" vertical="center" textRotation="0" wrapText="false" indent="0" shrinkToFit="false"/>
      <protection locked="true" hidden="false"/>
    </xf>
    <xf numFmtId="170" fontId="18" fillId="8" borderId="13" xfId="15" applyFont="true" applyBorder="true" applyAlignment="true" applyProtection="true">
      <alignment horizontal="center" vertical="center" textRotation="0" wrapText="false" indent="0" shrinkToFit="false"/>
      <protection locked="true" hidden="false"/>
    </xf>
    <xf numFmtId="170" fontId="18" fillId="8" borderId="44" xfId="15" applyFont="true" applyBorder="true" applyAlignment="true" applyProtection="true">
      <alignment horizontal="center" vertical="center" textRotation="0" wrapText="false" indent="0" shrinkToFit="false"/>
      <protection locked="true" hidden="false"/>
    </xf>
    <xf numFmtId="178" fontId="18" fillId="8" borderId="46" xfId="15" applyFont="true" applyBorder="true" applyAlignment="true" applyProtection="true">
      <alignment horizontal="center" vertical="center" textRotation="0" wrapText="false" indent="0" shrinkToFit="true"/>
      <protection locked="true" hidden="false"/>
    </xf>
    <xf numFmtId="178" fontId="18" fillId="8" borderId="45" xfId="15" applyFont="true" applyBorder="true" applyAlignment="true" applyProtection="true">
      <alignment horizontal="center" vertical="center" textRotation="0" wrapText="false" indent="0" shrinkToFit="false"/>
      <protection locked="true" hidden="false"/>
    </xf>
    <xf numFmtId="164" fontId="0" fillId="9" borderId="11" xfId="0" applyFont="false" applyBorder="true" applyAlignment="false" applyProtection="false">
      <alignment horizontal="general" vertical="bottom" textRotation="0" wrapText="false" indent="0" shrinkToFit="false"/>
      <protection locked="true" hidden="false"/>
    </xf>
    <xf numFmtId="164" fontId="0" fillId="9" borderId="12" xfId="0" applyFont="false" applyBorder="true" applyAlignment="false" applyProtection="false">
      <alignment horizontal="general" vertical="bottom" textRotation="0" wrapText="false" indent="0" shrinkToFit="false"/>
      <protection locked="true" hidden="false"/>
    </xf>
    <xf numFmtId="164" fontId="0" fillId="9" borderId="43" xfId="0" applyFont="false" applyBorder="true" applyAlignment="false" applyProtection="false">
      <alignment horizontal="general" vertical="bottom" textRotation="0" wrapText="false" indent="0" shrinkToFit="false"/>
      <protection locked="true" hidden="false"/>
    </xf>
    <xf numFmtId="164" fontId="0" fillId="2" borderId="11" xfId="0" applyFont="false" applyBorder="true" applyAlignment="false" applyProtection="false">
      <alignment horizontal="general" vertical="bottom" textRotation="0" wrapText="false" indent="0" shrinkToFit="false"/>
      <protection locked="true" hidden="false"/>
    </xf>
    <xf numFmtId="164" fontId="0" fillId="2" borderId="12" xfId="0" applyFont="false" applyBorder="true" applyAlignment="false" applyProtection="false">
      <alignment horizontal="general" vertical="bottom" textRotation="0" wrapText="false" indent="0" shrinkToFit="false"/>
      <protection locked="true" hidden="false"/>
    </xf>
    <xf numFmtId="164" fontId="0" fillId="10" borderId="8" xfId="0" applyFont="false" applyBorder="true" applyAlignment="false" applyProtection="false">
      <alignment horizontal="general" vertical="bottom" textRotation="0" wrapText="false" indent="0" shrinkToFit="false"/>
      <protection locked="true" hidden="false"/>
    </xf>
    <xf numFmtId="164" fontId="0" fillId="2" borderId="43" xfId="0" applyFont="false" applyBorder="true" applyAlignment="false" applyProtection="false">
      <alignment horizontal="general" vertical="bottom" textRotation="0" wrapText="false" indent="0" shrinkToFit="false"/>
      <protection locked="true" hidden="false"/>
    </xf>
    <xf numFmtId="164" fontId="32" fillId="0" borderId="0" xfId="0" applyFont="true" applyBorder="false" applyAlignment="false" applyProtection="false">
      <alignment horizontal="general" vertical="bottom" textRotation="0" wrapText="false" indent="0" shrinkToFit="false"/>
      <protection locked="true" hidden="false"/>
    </xf>
    <xf numFmtId="164" fontId="32" fillId="0" borderId="8" xfId="0" applyFont="true" applyBorder="true" applyAlignment="true" applyProtection="true">
      <alignment horizontal="left" vertical="center" textRotation="0" wrapText="false" indent="0" shrinkToFit="false"/>
      <protection locked="false" hidden="false"/>
    </xf>
    <xf numFmtId="164" fontId="32" fillId="0" borderId="9" xfId="0" applyFont="true" applyBorder="true" applyAlignment="true" applyProtection="false">
      <alignment horizontal="left" vertical="center" textRotation="0" wrapText="false" indent="0" shrinkToFit="false"/>
      <protection locked="true" hidden="false"/>
    </xf>
    <xf numFmtId="164" fontId="32" fillId="4" borderId="13" xfId="0" applyFont="true" applyBorder="true" applyAlignment="true" applyProtection="true">
      <alignment horizontal="left" vertical="top" textRotation="0" wrapText="true" indent="0" shrinkToFit="false"/>
      <protection locked="false" hidden="false"/>
    </xf>
    <xf numFmtId="164" fontId="32" fillId="0" borderId="0" xfId="0" applyFont="true" applyBorder="false" applyAlignment="true" applyProtection="false">
      <alignment horizontal="left" vertical="bottom" textRotation="0" wrapText="true" indent="0" shrinkToFit="false"/>
      <protection locked="true" hidden="false"/>
    </xf>
    <xf numFmtId="164" fontId="32" fillId="0" borderId="0" xfId="0" applyFont="true" applyBorder="false" applyAlignment="true" applyProtection="true">
      <alignment horizontal="left" vertical="bottom" textRotation="0" wrapText="true" indent="0" shrinkToFit="false"/>
      <protection locked="false" hidden="false"/>
    </xf>
    <xf numFmtId="164" fontId="21" fillId="0" borderId="8" xfId="0" applyFont="true" applyBorder="true" applyAlignment="true" applyProtection="false">
      <alignment horizontal="left" vertical="bottom" textRotation="0" wrapText="true" indent="0" shrinkToFit="false"/>
      <protection locked="true" hidden="false"/>
    </xf>
    <xf numFmtId="164" fontId="21" fillId="0" borderId="0" xfId="0" applyFont="true" applyBorder="false" applyAlignment="true" applyProtection="false">
      <alignment horizontal="left" vertical="bottom" textRotation="0" wrapText="true" indent="0" shrinkToFit="false"/>
      <protection locked="true" hidden="false"/>
    </xf>
    <xf numFmtId="164" fontId="0" fillId="0" borderId="8" xfId="0" applyFont="true" applyBorder="true" applyAlignment="true" applyProtection="false">
      <alignment horizontal="left" vertical="bottom" textRotation="0" wrapText="true" indent="0" shrinkToFit="false"/>
      <protection locked="true" hidden="false"/>
    </xf>
    <xf numFmtId="174" fontId="0" fillId="0" borderId="3" xfId="0" applyFont="false" applyBorder="true" applyAlignment="true" applyProtection="false">
      <alignment horizontal="left" vertical="bottom" textRotation="0" wrapText="false" indent="0" shrinkToFit="false"/>
      <protection locked="true" hidden="false"/>
    </xf>
    <xf numFmtId="164" fontId="21" fillId="0" borderId="3" xfId="22" applyFont="true" applyBorder="true" applyAlignment="true" applyProtection="false">
      <alignment horizontal="general" vertical="center" textRotation="0" wrapText="false" indent="0" shrinkToFit="false"/>
      <protection locked="true" hidden="false"/>
    </xf>
    <xf numFmtId="164" fontId="0" fillId="0" borderId="0" xfId="22" applyFont="true" applyBorder="false" applyAlignment="true" applyProtection="false">
      <alignment horizontal="general" vertical="center" textRotation="0" wrapText="false" indent="0" shrinkToFit="false"/>
      <protection locked="true" hidden="false"/>
    </xf>
    <xf numFmtId="175" fontId="0" fillId="0" borderId="0" xfId="0" applyFont="false" applyBorder="true" applyAlignment="true" applyProtection="false">
      <alignment horizontal="left" vertical="bottom" textRotation="0" wrapText="false" indent="0" shrinkToFit="false"/>
      <protection locked="true" hidden="false"/>
    </xf>
    <xf numFmtId="164" fontId="18" fillId="0" borderId="5" xfId="0" applyFont="true" applyBorder="true" applyAlignment="false" applyProtection="false">
      <alignment horizontal="general" vertical="bottom" textRotation="0" wrapText="false" indent="0" shrinkToFit="false"/>
      <protection locked="true" hidden="false"/>
    </xf>
    <xf numFmtId="164" fontId="50" fillId="0" borderId="8" xfId="0" applyFont="true" applyBorder="true" applyAlignment="true" applyProtection="false">
      <alignment horizontal="center" vertical="center" textRotation="0" wrapText="false" indent="0" shrinkToFit="false"/>
      <protection locked="true" hidden="false"/>
    </xf>
    <xf numFmtId="164" fontId="50" fillId="4" borderId="8" xfId="0" applyFont="true" applyBorder="true" applyAlignment="true" applyProtection="true">
      <alignment horizontal="left" vertical="center" textRotation="0" wrapText="false" indent="0" shrinkToFit="false"/>
      <protection locked="false" hidden="false"/>
    </xf>
    <xf numFmtId="178" fontId="0" fillId="0" borderId="8" xfId="15" applyFont="true" applyBorder="true" applyAlignment="true" applyProtection="true">
      <alignment horizontal="general" vertical="bottom" textRotation="0" wrapText="false" indent="0" shrinkToFit="true"/>
      <protection locked="true" hidden="false"/>
    </xf>
    <xf numFmtId="178" fontId="0" fillId="0" borderId="8" xfId="15" applyFont="true" applyBorder="true" applyAlignment="true" applyProtection="true">
      <alignment horizontal="general" vertical="bottom" textRotation="0" wrapText="false" indent="0" shrinkToFit="false"/>
      <protection locked="true" hidden="false"/>
    </xf>
    <xf numFmtId="178" fontId="30" fillId="0" borderId="8" xfId="15" applyFont="true" applyBorder="true" applyAlignment="true" applyProtection="true">
      <alignment horizontal="general" vertical="bottom" textRotation="0" wrapText="false" indent="0" shrinkToFit="true"/>
      <protection locked="true" hidden="false"/>
    </xf>
    <xf numFmtId="164" fontId="0" fillId="0" borderId="8" xfId="0" applyFont="true" applyBorder="true" applyAlignment="true" applyProtection="false">
      <alignment horizontal="center" vertical="bottom" textRotation="0" wrapText="true" indent="0" shrinkToFit="false"/>
      <protection locked="true" hidden="false"/>
    </xf>
    <xf numFmtId="164" fontId="51" fillId="0" borderId="9" xfId="23" applyFont="true" applyBorder="true" applyAlignment="false" applyProtection="false">
      <alignment horizontal="general" vertical="bottom" textRotation="0" wrapText="false" indent="0" shrinkToFit="false"/>
      <protection locked="true" hidden="false"/>
    </xf>
    <xf numFmtId="164" fontId="51" fillId="0" borderId="0" xfId="23" applyFont="true" applyBorder="false" applyAlignment="false" applyProtection="false">
      <alignment horizontal="general" vertical="bottom" textRotation="0" wrapText="false" indent="0" shrinkToFit="false"/>
      <protection locked="true" hidden="false"/>
    </xf>
    <xf numFmtId="164" fontId="52" fillId="0" borderId="30" xfId="25" applyFont="true" applyBorder="true" applyAlignment="true" applyProtection="false">
      <alignment horizontal="left" vertical="top" textRotation="0" wrapText="false" indent="0" shrinkToFit="false"/>
      <protection locked="true" hidden="false"/>
    </xf>
    <xf numFmtId="164" fontId="0" fillId="0" borderId="10" xfId="22" applyFont="true" applyBorder="true" applyAlignment="true" applyProtection="false">
      <alignment horizontal="left" vertical="top" textRotation="0" wrapText="false" indent="0" shrinkToFit="false"/>
      <protection locked="true" hidden="false"/>
    </xf>
    <xf numFmtId="164" fontId="0" fillId="0" borderId="3" xfId="22" applyFont="true" applyBorder="true" applyAlignment="true" applyProtection="false">
      <alignment horizontal="left" vertical="top" textRotation="0" wrapText="true" indent="0" shrinkToFit="false"/>
      <protection locked="true" hidden="false"/>
    </xf>
    <xf numFmtId="164" fontId="50" fillId="0" borderId="13" xfId="23" applyFont="true" applyBorder="true" applyAlignment="true" applyProtection="false">
      <alignment horizontal="left" vertical="bottom" textRotation="0" wrapText="false" indent="0" shrinkToFit="false"/>
      <protection locked="true" hidden="false"/>
    </xf>
    <xf numFmtId="164" fontId="0" fillId="5" borderId="6" xfId="0" applyFont="true" applyBorder="true" applyAlignment="true" applyProtection="true">
      <alignment horizontal="left" vertical="center" textRotation="0" wrapText="false" indent="0" shrinkToFit="false"/>
      <protection locked="false" hidden="false"/>
    </xf>
    <xf numFmtId="164" fontId="0" fillId="0" borderId="0" xfId="0" applyFont="false" applyBorder="false" applyAlignment="true" applyProtection="false">
      <alignment horizontal="left" vertical="top" textRotation="0" wrapText="false" indent="0" shrinkToFit="false"/>
      <protection locked="true" hidden="false"/>
    </xf>
    <xf numFmtId="164" fontId="4" fillId="0" borderId="8" xfId="0" applyFont="true" applyBorder="true" applyAlignment="true" applyProtection="false">
      <alignment horizontal="center" vertical="center" textRotation="0" wrapText="true" indent="0" shrinkToFit="false"/>
      <protection locked="true" hidden="false"/>
    </xf>
    <xf numFmtId="164" fontId="4" fillId="0" borderId="11" xfId="0" applyFont="true" applyBorder="true" applyAlignment="true" applyProtection="false">
      <alignment horizontal="center" vertical="center" textRotation="0" wrapText="true" indent="0" shrinkToFit="false"/>
      <protection locked="true" hidden="false"/>
    </xf>
    <xf numFmtId="173" fontId="31" fillId="0" borderId="0" xfId="0" applyFont="true" applyBorder="false" applyAlignment="true" applyProtection="false">
      <alignment horizontal="right" vertical="bottom" textRotation="90" wrapText="false" indent="0" shrinkToFit="false"/>
      <protection locked="true" hidden="false"/>
    </xf>
    <xf numFmtId="164" fontId="25" fillId="0" borderId="0" xfId="0" applyFont="true" applyBorder="true" applyAlignment="true" applyProtection="false">
      <alignment horizontal="center" vertical="top" textRotation="0" wrapText="true" indent="0" shrinkToFit="false"/>
      <protection locked="true" hidden="false"/>
    </xf>
    <xf numFmtId="164" fontId="25" fillId="0" borderId="0" xfId="0" applyFont="true" applyBorder="false" applyAlignment="true" applyProtection="false">
      <alignment horizontal="left" vertical="top" textRotation="0" wrapText="true" indent="0" shrinkToFit="false"/>
      <protection locked="true" hidden="false"/>
    </xf>
    <xf numFmtId="164" fontId="0" fillId="0" borderId="0" xfId="0" applyFont="true" applyBorder="false" applyAlignment="true" applyProtection="false">
      <alignment horizontal="right" vertical="center" textRotation="0" wrapText="false" indent="0" shrinkToFit="false"/>
      <protection locked="true" hidden="false"/>
    </xf>
    <xf numFmtId="164" fontId="0" fillId="0" borderId="0" xfId="0" applyFont="false" applyBorder="false" applyAlignment="true" applyProtection="false">
      <alignment horizontal="right" vertical="center" textRotation="0" wrapText="false" indent="0" shrinkToFit="false"/>
      <protection locked="true" hidden="false"/>
    </xf>
    <xf numFmtId="164" fontId="10" fillId="0" borderId="8" xfId="0" applyFont="true" applyBorder="true" applyAlignment="false" applyProtection="false">
      <alignment horizontal="general" vertical="bottom" textRotation="0" wrapText="false" indent="0" shrinkToFit="false"/>
      <protection locked="true" hidden="false"/>
    </xf>
    <xf numFmtId="164" fontId="10" fillId="0" borderId="11" xfId="0" applyFont="true" applyBorder="true" applyAlignment="false" applyProtection="false">
      <alignment horizontal="general" vertical="bottom" textRotation="0" wrapText="false" indent="0" shrinkToFit="false"/>
      <protection locked="true" hidden="false"/>
    </xf>
    <xf numFmtId="164" fontId="10" fillId="0" borderId="8" xfId="0" applyFont="true" applyBorder="true" applyAlignment="true" applyProtection="false">
      <alignment horizontal="center" vertical="bottom" textRotation="0" wrapText="false" indent="0" shrinkToFit="false"/>
      <protection locked="true" hidden="false"/>
    </xf>
    <xf numFmtId="164" fontId="10" fillId="0" borderId="4" xfId="0" applyFont="true" applyBorder="true" applyAlignment="true" applyProtection="false">
      <alignment horizontal="center" vertical="bottom" textRotation="0" wrapText="false" indent="0" shrinkToFit="false"/>
      <protection locked="true" hidden="false"/>
    </xf>
    <xf numFmtId="164" fontId="10" fillId="0" borderId="13" xfId="0" applyFont="true" applyBorder="true" applyAlignment="true" applyProtection="false">
      <alignment horizontal="center" vertical="bottom" textRotation="0" wrapText="false" indent="0" shrinkToFit="false"/>
      <protection locked="true" hidden="false"/>
    </xf>
    <xf numFmtId="164" fontId="0" fillId="11" borderId="0" xfId="0" applyFont="false" applyBorder="false" applyAlignment="false" applyProtection="false">
      <alignment horizontal="general" vertical="bottom" textRotation="0" wrapText="false" indent="0" shrinkToFit="false"/>
      <protection locked="true" hidden="false"/>
    </xf>
    <xf numFmtId="164" fontId="18" fillId="11" borderId="0" xfId="0" applyFont="true" applyBorder="false" applyAlignment="true" applyProtection="false">
      <alignment horizontal="right" vertical="bottom" textRotation="0" wrapText="false" indent="0" shrinkToFit="false"/>
      <protection locked="true" hidden="false"/>
    </xf>
    <xf numFmtId="178" fontId="18" fillId="11" borderId="8" xfId="0" applyFont="true" applyBorder="true" applyAlignment="false" applyProtection="false">
      <alignment horizontal="general" vertical="bottom" textRotation="0" wrapText="false" indent="0" shrinkToFit="false"/>
      <protection locked="true" hidden="false"/>
    </xf>
    <xf numFmtId="178" fontId="18" fillId="11" borderId="12" xfId="0" applyFont="true" applyBorder="tru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50" fillId="12" borderId="8" xfId="0" applyFont="true" applyBorder="true" applyAlignment="true" applyProtection="false">
      <alignment horizontal="center" vertical="center" textRotation="0" wrapText="false" indent="0" shrinkToFit="false"/>
      <protection locked="true" hidden="false"/>
    </xf>
    <xf numFmtId="164" fontId="50" fillId="12" borderId="11" xfId="0" applyFont="true" applyBorder="true" applyAlignment="true" applyProtection="false">
      <alignment horizontal="left" vertical="center" textRotation="0" wrapText="false" indent="0" shrinkToFit="false"/>
      <protection locked="true" hidden="false"/>
    </xf>
    <xf numFmtId="178" fontId="0" fillId="12" borderId="8" xfId="15" applyFont="true" applyBorder="true" applyAlignment="true" applyProtection="true">
      <alignment horizontal="left" vertical="center" textRotation="0" wrapText="false" indent="0" shrinkToFit="true"/>
      <protection locked="true" hidden="false"/>
    </xf>
    <xf numFmtId="178" fontId="0" fillId="12" borderId="2" xfId="15" applyFont="true" applyBorder="true" applyAlignment="true" applyProtection="true">
      <alignment horizontal="general" vertical="bottom" textRotation="0" wrapText="false" indent="0" shrinkToFit="false"/>
      <protection locked="true" hidden="false"/>
    </xf>
    <xf numFmtId="178" fontId="0" fillId="11" borderId="8" xfId="15" applyFont="true" applyBorder="true" applyAlignment="true" applyProtection="true">
      <alignment horizontal="left" vertical="center" textRotation="0" wrapText="false" indent="0" shrinkToFit="true"/>
      <protection locked="true" hidden="false"/>
    </xf>
    <xf numFmtId="164" fontId="0" fillId="11" borderId="11" xfId="0" applyFont="false" applyBorder="true" applyAlignment="false" applyProtection="false">
      <alignment horizontal="general" vertical="bottom" textRotation="0" wrapText="false" indent="0" shrinkToFit="false"/>
      <protection locked="true" hidden="false"/>
    </xf>
    <xf numFmtId="164" fontId="0" fillId="11" borderId="43" xfId="0" applyFont="false" applyBorder="true" applyAlignment="false" applyProtection="false">
      <alignment horizontal="general" vertical="bottom" textRotation="0" wrapText="false" indent="0" shrinkToFit="false"/>
      <protection locked="true" hidden="false"/>
    </xf>
    <xf numFmtId="164" fontId="0" fillId="11" borderId="8" xfId="0" applyFont="false" applyBorder="true" applyAlignment="true" applyProtection="false">
      <alignment horizontal="center" vertical="bottom" textRotation="0" wrapText="false" indent="0" shrinkToFit="false"/>
      <protection locked="true" hidden="false"/>
    </xf>
    <xf numFmtId="164" fontId="0" fillId="11" borderId="12" xfId="0" applyFont="false" applyBorder="true" applyAlignment="false" applyProtection="false">
      <alignment horizontal="general" vertical="bottom" textRotation="0" wrapText="false" indent="0" shrinkToFit="false"/>
      <protection locked="true" hidden="false"/>
    </xf>
    <xf numFmtId="174" fontId="0" fillId="0" borderId="3" xfId="0" applyFont="false" applyBorder="true" applyAlignment="false" applyProtection="false">
      <alignment horizontal="general" vertical="bottom" textRotation="0" wrapText="false" indent="0" shrinkToFit="false"/>
      <protection locked="true" hidden="false"/>
    </xf>
    <xf numFmtId="170" fontId="0" fillId="0" borderId="0" xfId="19" applyFont="true" applyBorder="true" applyAlignment="true" applyProtection="true">
      <alignment horizontal="general" vertical="bottom" textRotation="0" wrapText="false" indent="0" shrinkToFit="false"/>
      <protection locked="true" hidden="false"/>
    </xf>
    <xf numFmtId="164" fontId="18" fillId="0" borderId="0" xfId="22" applyFont="true" applyBorder="false" applyAlignment="true" applyProtection="false">
      <alignment horizontal="general" vertical="top" textRotation="0" wrapText="false" indent="0" shrinkToFit="false"/>
      <protection locked="true" hidden="false"/>
    </xf>
    <xf numFmtId="175" fontId="0" fillId="0" borderId="3" xfId="0" applyFont="false" applyBorder="true" applyAlignment="true" applyProtection="false">
      <alignment horizontal="left" vertical="bottom" textRotation="0" wrapText="false" indent="0" shrinkToFit="false"/>
      <protection locked="true" hidden="false"/>
    </xf>
    <xf numFmtId="164" fontId="20" fillId="0" borderId="0" xfId="0" applyFont="true" applyBorder="true" applyAlignment="true" applyProtection="false">
      <alignment horizontal="left" vertical="center" textRotation="0" wrapText="false" indent="10" shrinkToFit="false"/>
      <protection locked="true" hidden="false"/>
    </xf>
    <xf numFmtId="164" fontId="20" fillId="0" borderId="0" xfId="0" applyFont="true" applyBorder="false" applyAlignment="true" applyProtection="false">
      <alignment horizontal="left" vertical="center" textRotation="0" wrapText="false" indent="10" shrinkToFit="false"/>
      <protection locked="true" hidden="false"/>
    </xf>
    <xf numFmtId="164" fontId="20" fillId="0" borderId="0" xfId="0" applyFont="true" applyBorder="false" applyAlignment="true" applyProtection="false">
      <alignment horizontal="center" vertical="center" textRotation="0" wrapText="false" indent="0" shrinkToFit="false"/>
      <protection locked="true" hidden="false"/>
    </xf>
    <xf numFmtId="164" fontId="39" fillId="0" borderId="0" xfId="0" applyFont="true" applyBorder="true" applyAlignment="true" applyProtection="false">
      <alignment horizontal="left" vertical="center" textRotation="0" wrapText="false" indent="10" shrinkToFit="false"/>
      <protection locked="true" hidden="false"/>
    </xf>
    <xf numFmtId="164" fontId="39" fillId="0" borderId="0" xfId="0" applyFont="true" applyBorder="false" applyAlignment="true" applyProtection="false">
      <alignment horizontal="left" vertical="center" textRotation="0" wrapText="false" indent="10" shrinkToFit="false"/>
      <protection locked="true" hidden="false"/>
    </xf>
    <xf numFmtId="164" fontId="39" fillId="0" borderId="0" xfId="0" applyFont="true" applyBorder="false" applyAlignment="true" applyProtection="false">
      <alignment horizontal="center" vertical="center" textRotation="0" wrapText="false" indent="0" shrinkToFit="false"/>
      <protection locked="true" hidden="false"/>
    </xf>
    <xf numFmtId="179" fontId="0" fillId="0" borderId="0" xfId="0" applyFont="false" applyBorder="false" applyAlignment="false" applyProtection="false">
      <alignment horizontal="general" vertical="bottom" textRotation="0" wrapText="false" indent="0" shrinkToFit="false"/>
      <protection locked="true" hidden="false"/>
    </xf>
    <xf numFmtId="164" fontId="18" fillId="0" borderId="9" xfId="25" applyFont="true" applyBorder="true" applyAlignment="true" applyProtection="false">
      <alignment horizontal="general" vertical="top" textRotation="0" wrapText="false" indent="0" shrinkToFit="false"/>
      <protection locked="true" hidden="false"/>
    </xf>
    <xf numFmtId="164" fontId="18" fillId="0" borderId="0" xfId="25" applyFont="true" applyBorder="false" applyAlignment="true" applyProtection="false">
      <alignment horizontal="general" vertical="top" textRotation="0" wrapText="false" indent="0" shrinkToFit="false"/>
      <protection locked="true" hidden="false"/>
    </xf>
    <xf numFmtId="164" fontId="18" fillId="0" borderId="1" xfId="25" applyFont="true" applyBorder="true" applyAlignment="true" applyProtection="false">
      <alignment horizontal="general" vertical="top" textRotation="0" wrapText="false" indent="0" shrinkToFit="false"/>
      <protection locked="true" hidden="false"/>
    </xf>
    <xf numFmtId="164" fontId="18" fillId="0" borderId="31" xfId="0" applyFont="true" applyBorder="true" applyAlignment="true" applyProtection="false">
      <alignment horizontal="center" vertical="bottom" textRotation="0" wrapText="false" indent="0" shrinkToFit="false"/>
      <protection locked="true" hidden="false"/>
    </xf>
    <xf numFmtId="164" fontId="0" fillId="0" borderId="10" xfId="22" applyFont="true" applyBorder="true" applyAlignment="true" applyProtection="false">
      <alignment horizontal="general" vertical="top" textRotation="0" wrapText="false" indent="0" shrinkToFit="false"/>
      <protection locked="true" hidden="false"/>
    </xf>
    <xf numFmtId="164" fontId="0" fillId="0" borderId="3" xfId="22" applyFont="true" applyBorder="true" applyAlignment="true" applyProtection="false">
      <alignment horizontal="general" vertical="top" textRotation="0" wrapText="true" indent="0" shrinkToFit="false"/>
      <protection locked="true" hidden="false"/>
    </xf>
    <xf numFmtId="164" fontId="25" fillId="0" borderId="0" xfId="0" applyFont="true" applyBorder="false" applyAlignment="true" applyProtection="false">
      <alignment horizontal="center" vertical="center" textRotation="0" wrapText="false" indent="0" shrinkToFit="false"/>
      <protection locked="true" hidden="false"/>
    </xf>
    <xf numFmtId="164" fontId="24" fillId="0" borderId="0" xfId="0" applyFont="true" applyBorder="false" applyAlignment="true" applyProtection="false">
      <alignment horizontal="right" vertical="center" textRotation="0" wrapText="false" indent="0" shrinkToFit="false"/>
      <protection locked="true" hidden="false"/>
    </xf>
    <xf numFmtId="164" fontId="26" fillId="0" borderId="0" xfId="0" applyFont="true" applyBorder="false" applyAlignment="true" applyProtection="false">
      <alignment horizontal="center" vertical="bottom" textRotation="0" wrapText="false" indent="0" shrinkToFit="false"/>
      <protection locked="true" hidden="false"/>
    </xf>
    <xf numFmtId="164" fontId="26" fillId="0" borderId="31" xfId="0" applyFont="true" applyBorder="true" applyAlignment="true" applyProtection="false">
      <alignment horizontal="center" vertical="bottom" textRotation="0" wrapText="false" indent="0" shrinkToFit="false"/>
      <protection locked="true" hidden="false"/>
    </xf>
    <xf numFmtId="173" fontId="31" fillId="0" borderId="0" xfId="0" applyFont="true" applyBorder="false" applyAlignment="true" applyProtection="false">
      <alignment horizontal="center" vertical="bottom" textRotation="90" wrapText="false" indent="0" shrinkToFit="false"/>
      <protection locked="true" hidden="false"/>
    </xf>
    <xf numFmtId="164" fontId="30" fillId="0" borderId="3" xfId="0" applyFont="true" applyBorder="true" applyAlignment="true" applyProtection="false">
      <alignment horizontal="general" vertical="center" textRotation="0" wrapText="true" indent="0" shrinkToFit="false"/>
      <protection locked="true" hidden="false"/>
    </xf>
    <xf numFmtId="164" fontId="24" fillId="0" borderId="3" xfId="0" applyFont="true" applyBorder="true" applyAlignment="true" applyProtection="false">
      <alignment horizontal="center" vertical="center" textRotation="0" wrapText="true" indent="0" shrinkToFit="false"/>
      <protection locked="true" hidden="false"/>
    </xf>
    <xf numFmtId="173" fontId="31" fillId="0" borderId="0" xfId="0" applyFont="true" applyBorder="false" applyAlignment="true" applyProtection="false">
      <alignment horizontal="left" vertical="bottom" textRotation="90" wrapText="true" indent="0" shrinkToFit="false"/>
      <protection locked="true" hidden="false"/>
    </xf>
    <xf numFmtId="164" fontId="18" fillId="0" borderId="3" xfId="0" applyFont="true" applyBorder="true" applyAlignment="true" applyProtection="false">
      <alignment horizontal="center" vertical="center" textRotation="0" wrapText="true" indent="0" shrinkToFit="false"/>
      <protection locked="true" hidden="false"/>
    </xf>
    <xf numFmtId="164" fontId="18" fillId="0" borderId="3" xfId="0" applyFont="true" applyBorder="true" applyAlignment="true" applyProtection="false">
      <alignment horizontal="right" vertical="center" textRotation="0" wrapText="true" indent="0" shrinkToFit="false"/>
      <protection locked="true" hidden="false"/>
    </xf>
    <xf numFmtId="164" fontId="0" fillId="4" borderId="47" xfId="0" applyFont="false" applyBorder="true" applyAlignment="true" applyProtection="true">
      <alignment horizontal="center" vertical="bottom" textRotation="90" wrapText="true" indent="0" shrinkToFit="false"/>
      <protection locked="false" hidden="false"/>
    </xf>
    <xf numFmtId="164" fontId="0" fillId="4" borderId="48" xfId="0" applyFont="true" applyBorder="true" applyAlignment="true" applyProtection="true">
      <alignment horizontal="center" vertical="bottom" textRotation="90" wrapText="true" indent="0" shrinkToFit="false"/>
      <protection locked="false" hidden="false"/>
    </xf>
    <xf numFmtId="164" fontId="0" fillId="4" borderId="49" xfId="0" applyFont="false" applyBorder="true" applyAlignment="true" applyProtection="true">
      <alignment horizontal="center" vertical="bottom" textRotation="90" wrapText="true" indent="0" shrinkToFit="false"/>
      <protection locked="false" hidden="false"/>
    </xf>
    <xf numFmtId="164" fontId="0" fillId="0" borderId="48" xfId="0" applyFont="false" applyBorder="true" applyAlignment="true" applyProtection="false">
      <alignment horizontal="center" vertical="bottom" textRotation="90" wrapText="true" indent="0" shrinkToFit="false"/>
      <protection locked="true" hidden="false"/>
    </xf>
    <xf numFmtId="164" fontId="0" fillId="0" borderId="47" xfId="0" applyFont="false" applyBorder="true" applyAlignment="true" applyProtection="false">
      <alignment horizontal="center" vertical="bottom" textRotation="90" wrapText="true" indent="0" shrinkToFit="false"/>
      <protection locked="true" hidden="false"/>
    </xf>
    <xf numFmtId="164" fontId="0" fillId="0" borderId="49" xfId="0" applyFont="false" applyBorder="true" applyAlignment="true" applyProtection="false">
      <alignment horizontal="center" vertical="bottom" textRotation="90" wrapText="true" indent="0" shrinkToFit="false"/>
      <protection locked="true" hidden="false"/>
    </xf>
    <xf numFmtId="164" fontId="0"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top" textRotation="0" wrapText="false" indent="0" shrinkToFit="false"/>
      <protection locked="true" hidden="false"/>
    </xf>
    <xf numFmtId="164" fontId="18" fillId="0" borderId="50" xfId="0" applyFont="true" applyBorder="true" applyAlignment="true" applyProtection="false">
      <alignment horizontal="center" vertical="center" textRotation="0" wrapText="true" indent="0" shrinkToFit="false"/>
      <protection locked="true" hidden="false"/>
    </xf>
    <xf numFmtId="164" fontId="18" fillId="0" borderId="48" xfId="0" applyFont="true" applyBorder="true" applyAlignment="true" applyProtection="false">
      <alignment horizontal="center" vertical="center" textRotation="0" wrapText="true" indent="0" shrinkToFit="false"/>
      <protection locked="true" hidden="false"/>
    </xf>
    <xf numFmtId="164" fontId="18" fillId="0" borderId="47" xfId="0" applyFont="true" applyBorder="true" applyAlignment="true" applyProtection="false">
      <alignment horizontal="center" vertical="center" textRotation="0" wrapText="true" indent="0" shrinkToFit="false"/>
      <protection locked="true" hidden="false"/>
    </xf>
    <xf numFmtId="164" fontId="18" fillId="0" borderId="49" xfId="0" applyFont="true" applyBorder="true" applyAlignment="true" applyProtection="false">
      <alignment horizontal="center" vertical="center" textRotation="0" wrapText="true" indent="0" shrinkToFit="false"/>
      <protection locked="true" hidden="false"/>
    </xf>
    <xf numFmtId="164" fontId="0" fillId="0" borderId="38" xfId="0" applyFont="false" applyBorder="true" applyAlignment="true" applyProtection="false">
      <alignment horizontal="left" vertical="center" textRotation="0" wrapText="true" indent="0" shrinkToFit="false"/>
      <protection locked="true" hidden="false"/>
    </xf>
    <xf numFmtId="164" fontId="0" fillId="0" borderId="38" xfId="0" applyFont="false" applyBorder="true" applyAlignment="true" applyProtection="false">
      <alignment horizontal="center" vertical="center" textRotation="0" wrapText="true" indent="0" shrinkToFit="false"/>
      <protection locked="true" hidden="false"/>
    </xf>
    <xf numFmtId="168" fontId="0" fillId="4" borderId="39" xfId="15" applyFont="true" applyBorder="true" applyAlignment="true" applyProtection="true">
      <alignment horizontal="left" vertical="center" textRotation="0" wrapText="true" indent="0" shrinkToFit="true"/>
      <protection locked="false" hidden="false"/>
    </xf>
    <xf numFmtId="164" fontId="53" fillId="0" borderId="0" xfId="0" applyFont="true" applyBorder="false" applyAlignment="true" applyProtection="false">
      <alignment horizontal="general" vertical="center" textRotation="0" wrapText="false" indent="0" shrinkToFit="false"/>
      <protection locked="true" hidden="false"/>
    </xf>
    <xf numFmtId="164" fontId="0" fillId="5" borderId="8" xfId="15" applyFont="true" applyBorder="true" applyAlignment="true" applyProtection="true">
      <alignment horizontal="left" vertical="center" textRotation="0" wrapText="false" indent="0" shrinkToFit="false"/>
      <protection locked="false" hidden="false"/>
    </xf>
    <xf numFmtId="164" fontId="15" fillId="0" borderId="0" xfId="0" applyFont="true" applyBorder="false" applyAlignment="true" applyProtection="false">
      <alignment horizontal="center" vertical="bottom" textRotation="0" wrapText="false" indent="0" shrinkToFit="false"/>
      <protection locked="true" hidden="false"/>
    </xf>
    <xf numFmtId="164" fontId="47" fillId="0" borderId="33" xfId="15" applyFont="true" applyBorder="true" applyAlignment="true" applyProtection="true">
      <alignment horizontal="center" vertical="center" textRotation="0" wrapText="true" indent="0" shrinkToFit="true"/>
      <protection locked="true" hidden="false"/>
    </xf>
    <xf numFmtId="164" fontId="47" fillId="0" borderId="40" xfId="15" applyFont="true" applyBorder="true" applyAlignment="true" applyProtection="true">
      <alignment horizontal="general" vertical="center" textRotation="0" wrapText="true" indent="0" shrinkToFit="true"/>
      <protection locked="true" hidden="false"/>
    </xf>
    <xf numFmtId="178" fontId="0" fillId="4" borderId="37" xfId="15" applyFont="true" applyBorder="true" applyAlignment="true" applyProtection="true">
      <alignment horizontal="general" vertical="center" textRotation="0" wrapText="false" indent="0" shrinkToFit="true"/>
      <protection locked="false" hidden="false"/>
    </xf>
    <xf numFmtId="178" fontId="0" fillId="4" borderId="38" xfId="15" applyFont="true" applyBorder="true" applyAlignment="true" applyProtection="true">
      <alignment horizontal="general" vertical="center" textRotation="0" wrapText="false" indent="0" shrinkToFit="true"/>
      <protection locked="false" hidden="false"/>
    </xf>
    <xf numFmtId="178" fontId="0" fillId="4" borderId="39" xfId="15" applyFont="true" applyBorder="true" applyAlignment="true" applyProtection="true">
      <alignment horizontal="general" vertical="center" textRotation="0" wrapText="false" indent="0" shrinkToFit="true"/>
      <protection locked="false" hidden="false"/>
    </xf>
    <xf numFmtId="178" fontId="0" fillId="0" borderId="48" xfId="15" applyFont="true" applyBorder="true" applyAlignment="true" applyProtection="true">
      <alignment horizontal="general" vertical="center" textRotation="0" wrapText="false" indent="0" shrinkToFit="true"/>
      <protection locked="true" hidden="false"/>
    </xf>
    <xf numFmtId="173" fontId="0" fillId="0" borderId="51" xfId="15" applyFont="true" applyBorder="true" applyAlignment="true" applyProtection="true">
      <alignment horizontal="center" vertical="center" textRotation="0" wrapText="false" indent="0" shrinkToFit="true"/>
      <protection locked="true" hidden="false"/>
    </xf>
    <xf numFmtId="173" fontId="0" fillId="0" borderId="52" xfId="15" applyFont="true" applyBorder="true" applyAlignment="true" applyProtection="true">
      <alignment horizontal="center" vertical="center" textRotation="0" wrapText="false" indent="0" shrinkToFit="true"/>
      <protection locked="true" hidden="false"/>
    </xf>
    <xf numFmtId="164" fontId="18" fillId="8" borderId="8" xfId="0" applyFont="true" applyBorder="true" applyAlignment="true" applyProtection="false">
      <alignment horizontal="left" vertical="center" textRotation="0" wrapText="true" indent="0" shrinkToFit="false"/>
      <protection locked="true" hidden="false"/>
    </xf>
    <xf numFmtId="168" fontId="18" fillId="8" borderId="8" xfId="0" applyFont="true" applyBorder="true" applyAlignment="true" applyProtection="false">
      <alignment horizontal="left" vertical="center" textRotation="0" wrapText="false" indent="0" shrinkToFit="false"/>
      <protection locked="true" hidden="false"/>
    </xf>
    <xf numFmtId="164" fontId="18" fillId="8" borderId="8" xfId="0" applyFont="true" applyBorder="true" applyAlignment="true" applyProtection="false">
      <alignment horizontal="left" vertical="center" textRotation="0" wrapText="false" indent="0" shrinkToFit="false"/>
      <protection locked="true" hidden="false"/>
    </xf>
    <xf numFmtId="164" fontId="54" fillId="8" borderId="8" xfId="0" applyFont="true" applyBorder="true" applyAlignment="true" applyProtection="false">
      <alignment horizontal="center" vertical="center" textRotation="0" wrapText="false" indent="0" shrinkToFit="false"/>
      <protection locked="true" hidden="false"/>
    </xf>
    <xf numFmtId="164" fontId="18" fillId="8" borderId="8" xfId="0" applyFont="true" applyBorder="true" applyAlignment="true" applyProtection="false">
      <alignment horizontal="right" vertical="center" textRotation="0" wrapText="false" indent="0" shrinkToFit="false"/>
      <protection locked="true" hidden="false"/>
    </xf>
    <xf numFmtId="169" fontId="18" fillId="8" borderId="53" xfId="0" applyFont="true" applyBorder="true" applyAlignment="true" applyProtection="false">
      <alignment horizontal="right" vertical="center" textRotation="0" wrapText="false" indent="0" shrinkToFit="true"/>
      <protection locked="true" hidden="false"/>
    </xf>
    <xf numFmtId="169" fontId="18" fillId="8" borderId="54" xfId="0" applyFont="true" applyBorder="true" applyAlignment="true" applyProtection="false">
      <alignment horizontal="right" vertical="center" textRotation="0" wrapText="false" indent="0" shrinkToFit="true"/>
      <protection locked="true" hidden="false"/>
    </xf>
    <xf numFmtId="169" fontId="18" fillId="8" borderId="55" xfId="0" applyFont="true" applyBorder="true" applyAlignment="true" applyProtection="false">
      <alignment horizontal="right" vertical="center" textRotation="0" wrapText="false" indent="0" shrinkToFit="true"/>
      <protection locked="true" hidden="false"/>
    </xf>
    <xf numFmtId="169" fontId="18" fillId="8" borderId="48" xfId="0" applyFont="true" applyBorder="true" applyAlignment="true" applyProtection="false">
      <alignment horizontal="right" vertical="center" textRotation="0" wrapText="false" indent="0" shrinkToFit="true"/>
      <protection locked="true" hidden="false"/>
    </xf>
    <xf numFmtId="164" fontId="18" fillId="8" borderId="48" xfId="0" applyFont="true" applyBorder="true" applyAlignment="true" applyProtection="false">
      <alignment horizontal="right" vertical="center" textRotation="0" wrapText="false" indent="0" shrinkToFit="true"/>
      <protection locked="true" hidden="false"/>
    </xf>
    <xf numFmtId="164" fontId="15" fillId="2" borderId="11" xfId="0" applyFont="true" applyBorder="true" applyAlignment="false" applyProtection="false">
      <alignment horizontal="general" vertical="bottom" textRotation="0" wrapText="false" indent="0" shrinkToFit="false"/>
      <protection locked="true" hidden="false"/>
    </xf>
    <xf numFmtId="164" fontId="0" fillId="2" borderId="13" xfId="0" applyFont="false" applyBorder="true" applyAlignment="true" applyProtection="false">
      <alignment horizontal="left" vertical="bottom" textRotation="0" wrapText="false" indent="0" shrinkToFit="false"/>
      <protection locked="true" hidden="false"/>
    </xf>
    <xf numFmtId="164" fontId="0" fillId="2" borderId="8" xfId="0" applyFont="false" applyBorder="true" applyAlignment="true" applyProtection="false">
      <alignment horizontal="center" vertical="bottom" textRotation="0" wrapText="false" indent="0" shrinkToFit="false"/>
      <protection locked="true" hidden="false"/>
    </xf>
    <xf numFmtId="164" fontId="0" fillId="2" borderId="8" xfId="0" applyFont="false" applyBorder="true" applyAlignment="false" applyProtection="false">
      <alignment horizontal="general" vertical="bottom" textRotation="0" wrapText="false" indent="0" shrinkToFit="false"/>
      <protection locked="true" hidden="false"/>
    </xf>
    <xf numFmtId="164" fontId="0" fillId="0" borderId="43" xfId="0" applyFont="false" applyBorder="true" applyAlignment="false" applyProtection="false">
      <alignment horizontal="general" vertical="bottom" textRotation="0" wrapText="false" indent="0" shrinkToFit="false"/>
      <protection locked="true" hidden="false"/>
    </xf>
    <xf numFmtId="164" fontId="0" fillId="13" borderId="11" xfId="0" applyFont="false" applyBorder="true" applyAlignment="false" applyProtection="false">
      <alignment horizontal="general" vertical="bottom" textRotation="0" wrapText="false" indent="0" shrinkToFit="false"/>
      <protection locked="true" hidden="false"/>
    </xf>
    <xf numFmtId="164" fontId="0" fillId="13" borderId="43" xfId="0" applyFont="false" applyBorder="true" applyAlignment="false" applyProtection="false">
      <alignment horizontal="general" vertical="bottom" textRotation="0" wrapText="false" indent="0" shrinkToFit="false"/>
      <protection locked="true" hidden="false"/>
    </xf>
    <xf numFmtId="164" fontId="0" fillId="13" borderId="12" xfId="0" applyFont="false" applyBorder="true" applyAlignment="false" applyProtection="false">
      <alignment horizontal="general" vertical="bottom" textRotation="0" wrapText="false" indent="0" shrinkToFit="false"/>
      <protection locked="true" hidden="false"/>
    </xf>
    <xf numFmtId="164" fontId="0" fillId="0" borderId="3" xfId="0" applyFont="false" applyBorder="true" applyAlignment="true" applyProtection="false">
      <alignment horizontal="center" vertical="bottom" textRotation="0" wrapText="false" indent="0" shrinkToFit="false"/>
      <protection locked="true" hidden="false"/>
    </xf>
    <xf numFmtId="164" fontId="0" fillId="0" borderId="38" xfId="0" applyFont="false" applyBorder="true" applyAlignment="true" applyProtection="false">
      <alignment horizontal="center" vertical="bottom" textRotation="0" wrapText="false" indent="0" shrinkToFit="false"/>
      <protection locked="true" hidden="false"/>
    </xf>
    <xf numFmtId="164" fontId="0" fillId="0" borderId="38" xfId="0" applyFont="false" applyBorder="true" applyAlignment="true" applyProtection="false">
      <alignment horizontal="left" vertical="bottom" textRotation="0" wrapText="false" indent="0" shrinkToFit="false"/>
      <protection locked="true" hidden="false"/>
    </xf>
    <xf numFmtId="164" fontId="55" fillId="0" borderId="0" xfId="0" applyFont="true" applyBorder="false" applyAlignment="false" applyProtection="false">
      <alignment horizontal="general" vertical="bottom" textRotation="0" wrapText="false" indent="0" shrinkToFit="false"/>
      <protection locked="true" hidden="false"/>
    </xf>
    <xf numFmtId="173" fontId="0" fillId="4" borderId="38" xfId="0" applyFont="false" applyBorder="true" applyAlignment="true" applyProtection="true">
      <alignment horizontal="center" vertical="bottom" textRotation="0" wrapText="false" indent="0" shrinkToFit="false"/>
      <protection locked="false" hidden="false"/>
    </xf>
    <xf numFmtId="173" fontId="0" fillId="4" borderId="38" xfId="0" applyFont="false" applyBorder="true" applyAlignment="true" applyProtection="true">
      <alignment horizontal="center" vertical="center" textRotation="0" wrapText="false" indent="0" shrinkToFit="false"/>
      <protection locked="false" hidden="false"/>
    </xf>
    <xf numFmtId="164" fontId="0" fillId="0" borderId="13" xfId="0" applyFont="true" applyBorder="true" applyAlignment="true" applyProtection="false">
      <alignment horizontal="center" vertical="bottom" textRotation="0" wrapText="true" indent="0" shrinkToFit="false"/>
      <protection locked="true" hidden="false"/>
    </xf>
    <xf numFmtId="164" fontId="56" fillId="0" borderId="0" xfId="0" applyFont="true" applyBorder="false" applyAlignment="true" applyProtection="false">
      <alignment horizontal="center" vertical="bottom" textRotation="0" wrapText="true" indent="0" shrinkToFit="false"/>
      <protection locked="true" hidden="false"/>
    </xf>
    <xf numFmtId="167" fontId="0" fillId="0" borderId="1" xfId="28" applyFont="true" applyBorder="true" applyAlignment="true" applyProtection="true">
      <alignment horizontal="center" vertical="bottom" textRotation="0" wrapText="false" indent="0" shrinkToFit="false"/>
      <protection locked="true" hidden="false"/>
    </xf>
    <xf numFmtId="164" fontId="50" fillId="0" borderId="0" xfId="23" applyFont="true" applyBorder="false" applyAlignment="false" applyProtection="false">
      <alignment horizontal="general" vertical="bottom" textRotation="0" wrapText="false" indent="0" shrinkToFit="false"/>
      <protection locked="true" hidden="false"/>
    </xf>
    <xf numFmtId="164" fontId="56" fillId="0" borderId="1" xfId="0" applyFont="true" applyBorder="true" applyAlignment="true" applyProtection="false">
      <alignment horizontal="center" vertical="bottom" textRotation="0" wrapText="true" indent="0" shrinkToFit="false"/>
      <protection locked="true" hidden="false"/>
    </xf>
    <xf numFmtId="164" fontId="57" fillId="0" borderId="0" xfId="0" applyFont="true" applyBorder="false" applyAlignment="true" applyProtection="false">
      <alignment horizontal="left" vertical="bottom"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80" fontId="56" fillId="2" borderId="56" xfId="0" applyFont="true" applyBorder="true" applyAlignment="true" applyProtection="false">
      <alignment horizontal="center" vertical="bottom" textRotation="90" wrapText="true" indent="0" shrinkToFit="false"/>
      <protection locked="true" hidden="false"/>
    </xf>
    <xf numFmtId="164" fontId="18" fillId="2" borderId="56" xfId="0" applyFont="true" applyBorder="true" applyAlignment="true" applyProtection="false">
      <alignment horizontal="center" vertical="bottom" textRotation="0" wrapText="true" indent="0" shrinkToFit="false"/>
      <protection locked="true" hidden="false"/>
    </xf>
    <xf numFmtId="164" fontId="18" fillId="2" borderId="56"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8" fillId="2" borderId="57" xfId="0" applyFont="true" applyBorder="true" applyAlignment="false" applyProtection="false">
      <alignment horizontal="general" vertical="bottom" textRotation="0" wrapText="false" indent="0" shrinkToFit="false"/>
      <protection locked="true" hidden="false"/>
    </xf>
    <xf numFmtId="164" fontId="18" fillId="2" borderId="58" xfId="0" applyFont="true" applyBorder="true" applyAlignment="false" applyProtection="false">
      <alignment horizontal="general" vertical="bottom" textRotation="0" wrapText="false" indent="0" shrinkToFit="false"/>
      <protection locked="true" hidden="false"/>
    </xf>
    <xf numFmtId="164" fontId="30" fillId="2" borderId="57" xfId="0" applyFont="true" applyBorder="true" applyAlignment="false" applyProtection="false">
      <alignment horizontal="general" vertical="bottom" textRotation="0" wrapText="false" indent="0" shrinkToFit="false"/>
      <protection locked="true" hidden="false"/>
    </xf>
    <xf numFmtId="164" fontId="18" fillId="2" borderId="59" xfId="0" applyFont="true" applyBorder="true" applyAlignment="false" applyProtection="false">
      <alignment horizontal="general" vertical="bottom" textRotation="0" wrapText="false" indent="0" shrinkToFit="false"/>
      <protection locked="true" hidden="false"/>
    </xf>
    <xf numFmtId="164" fontId="0" fillId="11" borderId="38" xfId="0" applyFont="false" applyBorder="true" applyAlignment="true" applyProtection="false">
      <alignment horizontal="center" vertical="bottom" textRotation="0" wrapText="false" indent="0" shrinkToFit="false"/>
      <protection locked="true" hidden="false"/>
    </xf>
    <xf numFmtId="164" fontId="0" fillId="11" borderId="38" xfId="0" applyFont="false" applyBorder="true" applyAlignment="false" applyProtection="false">
      <alignment horizontal="general" vertical="bottom" textRotation="0" wrapText="false" indent="0" shrinkToFit="false"/>
      <protection locked="true" hidden="false"/>
    </xf>
    <xf numFmtId="164" fontId="0" fillId="2" borderId="60" xfId="0" applyFont="false" applyBorder="true" applyAlignment="false" applyProtection="false">
      <alignment horizontal="general" vertical="bottom" textRotation="0" wrapText="false" indent="0" shrinkToFit="false"/>
      <protection locked="true" hidden="false"/>
    </xf>
    <xf numFmtId="164" fontId="0" fillId="2" borderId="61" xfId="0" applyFont="false" applyBorder="true" applyAlignment="false" applyProtection="false">
      <alignment horizontal="general" vertical="bottom" textRotation="0" wrapText="false" indent="0" shrinkToFit="false"/>
      <protection locked="true" hidden="false"/>
    </xf>
    <xf numFmtId="164" fontId="0" fillId="2" borderId="62" xfId="0" applyFont="false" applyBorder="true" applyAlignment="false" applyProtection="false">
      <alignment horizontal="general" vertical="bottom" textRotation="0" wrapText="false" indent="0" shrinkToFit="false"/>
      <protection locked="true" hidden="false"/>
    </xf>
    <xf numFmtId="164" fontId="50" fillId="2" borderId="11" xfId="23" applyFont="true" applyBorder="true" applyAlignment="true" applyProtection="false">
      <alignment horizontal="center" vertical="bottom" textRotation="0" wrapText="false" indent="0" shrinkToFit="false"/>
      <protection locked="true" hidden="false"/>
    </xf>
    <xf numFmtId="164" fontId="50" fillId="2" borderId="12" xfId="23" applyFont="true" applyBorder="true" applyAlignment="true" applyProtection="false">
      <alignment horizontal="center" vertical="bottom" textRotation="0" wrapText="false" indent="0" shrinkToFit="false"/>
      <protection locked="true" hidden="false"/>
    </xf>
    <xf numFmtId="164" fontId="58" fillId="0" borderId="0" xfId="0" applyFont="true" applyBorder="false" applyAlignment="false" applyProtection="false">
      <alignment horizontal="general" vertical="bottom" textRotation="0" wrapText="false" indent="0" shrinkToFit="false"/>
      <protection locked="true" hidden="false"/>
    </xf>
    <xf numFmtId="164" fontId="50" fillId="14" borderId="8" xfId="23" applyFont="true" applyBorder="true" applyAlignment="true" applyProtection="false">
      <alignment horizontal="center" vertical="bottom" textRotation="0" wrapText="false" indent="0" shrinkToFit="false"/>
      <protection locked="true" hidden="false"/>
    </xf>
    <xf numFmtId="164" fontId="50" fillId="2" borderId="43" xfId="23" applyFont="true" applyBorder="true" applyAlignment="true" applyProtection="false">
      <alignment horizontal="center" vertical="bottom" textRotation="0" wrapText="false" indent="0" shrinkToFit="false"/>
      <protection locked="true" hidden="false"/>
    </xf>
    <xf numFmtId="164" fontId="10" fillId="2" borderId="63" xfId="0" applyFont="true" applyBorder="true" applyAlignment="true" applyProtection="false">
      <alignment horizontal="center" vertical="center" textRotation="0" wrapText="false" indent="0" shrinkToFit="false"/>
      <protection locked="true" hidden="false"/>
    </xf>
    <xf numFmtId="181" fontId="51" fillId="2" borderId="8" xfId="19" applyFont="true" applyBorder="true" applyAlignment="true" applyProtection="true">
      <alignment horizontal="center" vertical="bottom" textRotation="0" wrapText="false" indent="0" shrinkToFit="false"/>
      <protection locked="true" hidden="false"/>
    </xf>
    <xf numFmtId="164" fontId="10" fillId="0" borderId="58" xfId="0" applyFont="true" applyBorder="true" applyAlignment="true" applyProtection="false">
      <alignment horizontal="right" vertical="center" textRotation="0" wrapText="false" indent="0" shrinkToFit="false"/>
      <protection locked="true" hidden="false"/>
    </xf>
    <xf numFmtId="164" fontId="51" fillId="12" borderId="11" xfId="0" applyFont="true" applyBorder="true" applyAlignment="true" applyProtection="false">
      <alignment horizontal="center" vertical="bottom" textRotation="0" wrapText="false" indent="0" shrinkToFit="false"/>
      <protection locked="true" hidden="false"/>
    </xf>
    <xf numFmtId="170" fontId="50" fillId="12" borderId="8" xfId="19" applyFont="true" applyBorder="true" applyAlignment="true" applyProtection="true">
      <alignment horizontal="center" vertical="bottom" textRotation="0" wrapText="false" indent="0" shrinkToFit="false"/>
      <protection locked="true" hidden="false"/>
    </xf>
    <xf numFmtId="164" fontId="51" fillId="0" borderId="11" xfId="0" applyFont="true" applyBorder="true" applyAlignment="true" applyProtection="false">
      <alignment horizontal="center" vertical="bottom" textRotation="0" wrapText="false" indent="0" shrinkToFit="false"/>
      <protection locked="true" hidden="false"/>
    </xf>
    <xf numFmtId="182" fontId="50" fillId="0" borderId="8" xfId="15" applyFont="true" applyBorder="true" applyAlignment="true" applyProtection="true">
      <alignment horizontal="center" vertical="bottom" textRotation="0" wrapText="false" indent="0" shrinkToFit="true"/>
      <protection locked="true" hidden="false"/>
    </xf>
    <xf numFmtId="164" fontId="10" fillId="0" borderId="64" xfId="0" applyFont="true" applyBorder="true" applyAlignment="true" applyProtection="false">
      <alignment horizontal="right" vertical="center" textRotation="0" wrapText="false" indent="0" shrinkToFit="false"/>
      <protection locked="true" hidden="false"/>
    </xf>
    <xf numFmtId="178" fontId="0" fillId="0" borderId="8" xfId="15" applyFont="true" applyBorder="true" applyAlignment="true" applyProtection="true">
      <alignment horizontal="center" vertical="bottom" textRotation="0" wrapText="false" indent="0" shrinkToFit="true"/>
      <protection locked="true" hidden="false"/>
    </xf>
    <xf numFmtId="164" fontId="10" fillId="12" borderId="64" xfId="0" applyFont="true" applyBorder="true" applyAlignment="true" applyProtection="false">
      <alignment horizontal="right" vertical="center" textRotation="0" wrapText="false" indent="0" shrinkToFit="false"/>
      <protection locked="true" hidden="false"/>
    </xf>
    <xf numFmtId="164" fontId="0" fillId="0" borderId="65" xfId="0" applyFont="false" applyBorder="true" applyAlignment="false" applyProtection="false">
      <alignment horizontal="general" vertical="bottom" textRotation="0" wrapText="false" indent="0" shrinkToFit="false"/>
      <protection locked="true" hidden="false"/>
    </xf>
    <xf numFmtId="170" fontId="0" fillId="12" borderId="8" xfId="19" applyFont="true" applyBorder="true" applyAlignment="true" applyProtection="true">
      <alignment horizontal="center" vertical="bottom" textRotation="0" wrapText="false" indent="0" shrinkToFit="true"/>
      <protection locked="true" hidden="false"/>
    </xf>
    <xf numFmtId="164" fontId="0" fillId="0" borderId="66" xfId="0" applyFont="false" applyBorder="true" applyAlignment="false" applyProtection="false">
      <alignment horizontal="general" vertical="bottom" textRotation="0" wrapText="false" indent="0" shrinkToFit="false"/>
      <protection locked="true" hidden="false"/>
    </xf>
    <xf numFmtId="167" fontId="30" fillId="0" borderId="0" xfId="28" applyFont="true" applyBorder="true" applyAlignment="true" applyProtection="true">
      <alignment horizontal="right" vertical="bottom" textRotation="0" wrapText="false" indent="0" shrinkToFit="false"/>
      <protection locked="true" hidden="false"/>
    </xf>
    <xf numFmtId="164" fontId="59" fillId="0" borderId="0" xfId="23" applyFont="true" applyBorder="false" applyAlignment="false" applyProtection="false">
      <alignment horizontal="general" vertical="bottom" textRotation="0" wrapText="false" indent="0" shrinkToFit="false"/>
      <protection locked="true" hidden="false"/>
    </xf>
    <xf numFmtId="174" fontId="0" fillId="0" borderId="0" xfId="0" applyFont="false" applyBorder="false" applyAlignment="true" applyProtection="false">
      <alignment horizontal="left" vertical="bottom" textRotation="0" wrapText="false" indent="0" shrinkToFit="false"/>
      <protection locked="true" hidden="false"/>
    </xf>
    <xf numFmtId="164" fontId="50" fillId="0" borderId="0" xfId="23" applyFont="true" applyBorder="false" applyAlignment="true" applyProtection="false">
      <alignment horizontal="center" vertical="bottom" textRotation="0" wrapText="false" indent="0" shrinkToFit="false"/>
      <protection locked="true" hidden="false"/>
    </xf>
    <xf numFmtId="167" fontId="0" fillId="0" borderId="0" xfId="28" applyFont="true" applyBorder="true" applyAlignment="true" applyProtection="true">
      <alignment horizontal="center" vertical="bottom" textRotation="0" wrapText="false" indent="0" shrinkToFit="false"/>
      <protection locked="true" hidden="false"/>
    </xf>
    <xf numFmtId="175" fontId="60" fillId="0" borderId="3" xfId="0" applyFont="true" applyBorder="true" applyAlignment="true" applyProtection="false">
      <alignment horizontal="left" vertical="bottom" textRotation="0" wrapText="false" indent="0" shrinkToFit="false"/>
      <protection locked="true" hidden="false"/>
    </xf>
    <xf numFmtId="170" fontId="15" fillId="0" borderId="67" xfId="26" applyFont="true" applyBorder="true" applyAlignment="true" applyProtection="true">
      <alignment horizontal="center" vertical="bottom" textRotation="0" wrapText="false" indent="0" shrinkToFit="false"/>
      <protection locked="true" hidden="false"/>
    </xf>
    <xf numFmtId="170" fontId="50" fillId="0" borderId="31" xfId="23" applyFont="true" applyBorder="true" applyAlignment="true" applyProtection="false">
      <alignment horizontal="center" vertical="bottom" textRotation="0" wrapText="false" indent="0" shrinkToFit="false"/>
      <protection locked="true" hidden="false"/>
    </xf>
    <xf numFmtId="183" fontId="50" fillId="0" borderId="68" xfId="23" applyFont="true" applyBorder="true" applyAlignment="true" applyProtection="false">
      <alignment horizontal="left" vertical="bottom" textRotation="0" wrapText="false" indent="0" shrinkToFit="false"/>
      <protection locked="true" hidden="false"/>
    </xf>
    <xf numFmtId="170" fontId="50" fillId="0" borderId="69" xfId="23" applyFont="true" applyBorder="true" applyAlignment="true" applyProtection="false">
      <alignment horizontal="left" vertical="bottom" textRotation="0" wrapText="false" indent="0" shrinkToFit="false"/>
      <protection locked="true" hidden="false"/>
    </xf>
    <xf numFmtId="173" fontId="50" fillId="0" borderId="69" xfId="23" applyFont="true" applyBorder="true" applyAlignment="true" applyProtection="false">
      <alignment horizontal="center" vertical="bottom" textRotation="0" wrapText="false" indent="0" shrinkToFit="false"/>
      <protection locked="true" hidden="false"/>
    </xf>
    <xf numFmtId="164" fontId="50" fillId="0" borderId="69" xfId="23" applyFont="true" applyBorder="true" applyAlignment="true" applyProtection="false">
      <alignment horizontal="center" vertical="bottom" textRotation="0" wrapText="false" indent="0" shrinkToFit="false"/>
      <protection locked="true" hidden="false"/>
    </xf>
    <xf numFmtId="184" fontId="0" fillId="0" borderId="70" xfId="15" applyFont="true" applyBorder="true" applyAlignment="true" applyProtection="true">
      <alignment horizontal="right" vertical="bottom" textRotation="0" wrapText="false" indent="0" shrinkToFit="true"/>
      <protection locked="true" hidden="false"/>
    </xf>
    <xf numFmtId="184" fontId="0" fillId="0" borderId="31" xfId="15" applyFont="true" applyBorder="true" applyAlignment="true" applyProtection="true">
      <alignment horizontal="center" vertical="center" textRotation="0" wrapText="false" indent="0" shrinkToFit="false"/>
      <protection locked="true" hidden="false"/>
    </xf>
    <xf numFmtId="164" fontId="50" fillId="0" borderId="9" xfId="23" applyFont="true" applyBorder="true" applyAlignment="false" applyProtection="false">
      <alignment horizontal="general" vertical="bottom" textRotation="0" wrapText="false" indent="0" shrinkToFit="false"/>
      <protection locked="true" hidden="false"/>
    </xf>
    <xf numFmtId="170" fontId="12" fillId="0" borderId="71" xfId="26" applyFont="true" applyBorder="true" applyAlignment="true" applyProtection="true">
      <alignment horizontal="center" vertical="bottom" textRotation="0" wrapText="false" indent="0" shrinkToFit="false"/>
      <protection locked="false" hidden="false"/>
    </xf>
    <xf numFmtId="164" fontId="50" fillId="0" borderId="30" xfId="23" applyFont="true" applyBorder="true" applyAlignment="true" applyProtection="false">
      <alignment horizontal="center" vertical="bottom" textRotation="0" wrapText="false" indent="0" shrinkToFit="false"/>
      <protection locked="true" hidden="false"/>
    </xf>
    <xf numFmtId="164" fontId="50" fillId="0" borderId="72" xfId="23" applyFont="true" applyBorder="true" applyAlignment="false" applyProtection="false">
      <alignment horizontal="general" vertical="bottom" textRotation="0" wrapText="false" indent="0" shrinkToFit="false"/>
      <protection locked="true" hidden="false"/>
    </xf>
    <xf numFmtId="164" fontId="26" fillId="0" borderId="72" xfId="23" applyFont="true" applyBorder="true" applyAlignment="false" applyProtection="false">
      <alignment horizontal="general" vertical="bottom" textRotation="0" wrapText="false" indent="0" shrinkToFit="false"/>
      <protection locked="true" hidden="false"/>
    </xf>
    <xf numFmtId="164" fontId="50" fillId="0" borderId="72" xfId="23" applyFont="true" applyBorder="true" applyAlignment="true" applyProtection="false">
      <alignment horizontal="center" vertical="bottom" textRotation="0" wrapText="false" indent="0" shrinkToFit="false"/>
      <protection locked="true" hidden="false"/>
    </xf>
    <xf numFmtId="167" fontId="0" fillId="0" borderId="72" xfId="28" applyFont="true" applyBorder="true" applyAlignment="true" applyProtection="true">
      <alignment horizontal="right" vertical="bottom" textRotation="0" wrapText="false" indent="0" shrinkToFit="true"/>
      <protection locked="true" hidden="false"/>
    </xf>
    <xf numFmtId="184" fontId="0" fillId="0" borderId="30" xfId="15" applyFont="true" applyBorder="true" applyAlignment="true" applyProtection="true">
      <alignment horizontal="center" vertical="center" textRotation="0" wrapText="false" indent="0" shrinkToFit="false"/>
      <protection locked="true" hidden="false"/>
    </xf>
    <xf numFmtId="164" fontId="50" fillId="0" borderId="73" xfId="23" applyFont="true" applyBorder="true" applyAlignment="true" applyProtection="false">
      <alignment horizontal="center" vertical="bottom" textRotation="0" wrapText="false" indent="0" shrinkToFit="false"/>
      <protection locked="true" hidden="false"/>
    </xf>
    <xf numFmtId="167" fontId="61" fillId="0" borderId="74" xfId="28" applyFont="true" applyBorder="true" applyAlignment="true" applyProtection="true">
      <alignment horizontal="center" vertical="bottom" textRotation="0" wrapText="false" indent="0" shrinkToFit="false"/>
      <protection locked="true" hidden="false"/>
    </xf>
    <xf numFmtId="164" fontId="50" fillId="0" borderId="13" xfId="23" applyFont="true" applyBorder="true" applyAlignment="true" applyProtection="false">
      <alignment horizontal="center" vertical="bottom" textRotation="0" wrapText="false" indent="0" shrinkToFit="false"/>
      <protection locked="true" hidden="false"/>
    </xf>
    <xf numFmtId="167" fontId="61" fillId="0" borderId="0" xfId="28" applyFont="true" applyBorder="true" applyAlignment="true" applyProtection="true">
      <alignment horizontal="center" vertical="bottom" textRotation="0" wrapText="false" indent="0" shrinkToFit="false"/>
      <protection locked="true" hidden="false"/>
    </xf>
    <xf numFmtId="167" fontId="0" fillId="0" borderId="13" xfId="28" applyFont="true" applyBorder="true" applyAlignment="true" applyProtection="true">
      <alignment horizontal="center" vertical="bottom" textRotation="0" wrapText="false" indent="0" shrinkToFit="false"/>
      <protection locked="true" hidden="false"/>
    </xf>
    <xf numFmtId="167" fontId="20" fillId="0" borderId="0" xfId="28" applyFont="true" applyBorder="true" applyAlignment="true" applyProtection="true">
      <alignment horizontal="left" vertical="bottom" textRotation="0" wrapText="false" indent="0" shrinkToFit="false"/>
      <protection locked="true" hidden="false"/>
    </xf>
    <xf numFmtId="164" fontId="29" fillId="0" borderId="0" xfId="0" applyFont="true" applyBorder="false" applyAlignment="true" applyProtection="false">
      <alignment horizontal="center" vertical="bottom" textRotation="90" wrapText="false" indent="0" shrinkToFit="false"/>
      <protection locked="true" hidden="false"/>
    </xf>
    <xf numFmtId="164" fontId="50" fillId="0" borderId="0" xfId="23" applyFont="true" applyBorder="true" applyAlignment="true" applyProtection="false">
      <alignment horizontal="center" vertical="bottom" textRotation="0" wrapText="true" indent="0" shrinkToFit="false"/>
      <protection locked="true" hidden="false"/>
    </xf>
    <xf numFmtId="164" fontId="50" fillId="0" borderId="1" xfId="23" applyFont="true" applyBorder="true" applyAlignment="false" applyProtection="false">
      <alignment horizontal="general" vertical="bottom" textRotation="0" wrapText="false" indent="0" shrinkToFit="false"/>
      <protection locked="true" hidden="false"/>
    </xf>
    <xf numFmtId="164" fontId="18" fillId="0" borderId="9" xfId="28" applyFont="true" applyBorder="true" applyAlignment="true" applyProtection="true">
      <alignment horizontal="left" vertical="bottom" textRotation="0" wrapText="false" indent="0" shrinkToFit="false"/>
      <protection locked="true" hidden="false"/>
    </xf>
    <xf numFmtId="167" fontId="18" fillId="0" borderId="9" xfId="28" applyFont="true" applyBorder="true" applyAlignment="true" applyProtection="true">
      <alignment horizontal="left" vertical="bottom" textRotation="0" wrapText="false" indent="0" shrinkToFit="false"/>
      <protection locked="true" hidden="false"/>
    </xf>
    <xf numFmtId="164" fontId="51" fillId="0" borderId="30" xfId="23" applyFont="true" applyBorder="true" applyAlignment="true" applyProtection="false">
      <alignment horizontal="center" vertical="bottom" textRotation="0" wrapText="false" indent="0" shrinkToFit="false"/>
      <protection locked="true" hidden="false"/>
    </xf>
    <xf numFmtId="164" fontId="50" fillId="0" borderId="10" xfId="23" applyFont="true" applyBorder="true" applyAlignment="false" applyProtection="false">
      <alignment horizontal="general" vertical="bottom" textRotation="0" wrapText="false" indent="0" shrinkToFit="false"/>
      <protection locked="true" hidden="false"/>
    </xf>
    <xf numFmtId="167" fontId="0" fillId="0" borderId="13" xfId="28" applyFont="true" applyBorder="true" applyAlignment="true" applyProtection="true">
      <alignment horizontal="left" vertical="bottom" textRotation="0" wrapText="false" indent="0" shrinkToFit="false"/>
      <protection locked="true" hidden="false"/>
    </xf>
    <xf numFmtId="164" fontId="50" fillId="0" borderId="10" xfId="23" applyFont="true" applyBorder="true" applyAlignment="true" applyProtection="false">
      <alignment horizontal="left" vertical="bottom" textRotation="0" wrapText="false" indent="0" shrinkToFit="false"/>
      <protection locked="true" hidden="false"/>
    </xf>
    <xf numFmtId="164" fontId="50" fillId="0" borderId="31" xfId="23" applyFont="true" applyBorder="true" applyAlignment="true" applyProtection="false">
      <alignment horizontal="center" vertical="bottom" textRotation="0" wrapText="false" indent="0" shrinkToFit="false"/>
      <protection locked="true" hidden="false"/>
    </xf>
    <xf numFmtId="164" fontId="50" fillId="5" borderId="8" xfId="23" applyFont="true" applyBorder="true" applyAlignment="true" applyProtection="true">
      <alignment horizontal="center" vertical="bottom" textRotation="0" wrapText="false" indent="0" shrinkToFit="false"/>
      <protection locked="false" hidden="false"/>
    </xf>
    <xf numFmtId="164" fontId="30" fillId="0" borderId="3" xfId="23" applyFont="true" applyBorder="true" applyAlignment="true" applyProtection="false">
      <alignment horizontal="center" vertical="center" textRotation="0" wrapText="true" indent="0" shrinkToFit="false"/>
      <protection locked="true" hidden="false"/>
    </xf>
    <xf numFmtId="164" fontId="50" fillId="0" borderId="3" xfId="23" applyFont="true" applyBorder="true" applyAlignment="false" applyProtection="false">
      <alignment horizontal="general" vertical="bottom" textRotation="0" wrapText="false" indent="0" shrinkToFit="false"/>
      <protection locked="true" hidden="false"/>
    </xf>
    <xf numFmtId="164" fontId="51" fillId="0" borderId="50" xfId="23" applyFont="true" applyBorder="true" applyAlignment="true" applyProtection="false">
      <alignment horizontal="center" vertical="bottom" textRotation="0" wrapText="false" indent="0" shrinkToFit="false"/>
      <protection locked="true" hidden="false"/>
    </xf>
    <xf numFmtId="164" fontId="50" fillId="0" borderId="8" xfId="23" applyFont="true" applyBorder="true" applyAlignment="true" applyProtection="false">
      <alignment horizontal="center" vertical="bottom" textRotation="0" wrapText="true" indent="0" shrinkToFit="false"/>
      <protection locked="true" hidden="false"/>
    </xf>
    <xf numFmtId="164" fontId="51" fillId="0" borderId="11" xfId="23" applyFont="true" applyBorder="true" applyAlignment="true" applyProtection="false">
      <alignment horizontal="center" vertical="center" textRotation="0" wrapText="true" indent="0" shrinkToFit="false"/>
      <protection locked="true" hidden="false"/>
    </xf>
    <xf numFmtId="164" fontId="51" fillId="0" borderId="43" xfId="23" applyFont="true" applyBorder="true" applyAlignment="true" applyProtection="false">
      <alignment horizontal="left" vertical="center" textRotation="0" wrapText="true" indent="0" shrinkToFit="false"/>
      <protection locked="true" hidden="false"/>
    </xf>
    <xf numFmtId="164" fontId="51" fillId="0" borderId="5" xfId="23" applyFont="true" applyBorder="true" applyAlignment="true" applyProtection="false">
      <alignment horizontal="left" vertical="center" textRotation="0" wrapText="true" indent="0" shrinkToFit="false"/>
      <protection locked="true" hidden="false"/>
    </xf>
    <xf numFmtId="164" fontId="50" fillId="0" borderId="5" xfId="23" applyFont="true" applyBorder="true" applyAlignment="true" applyProtection="false">
      <alignment horizontal="center" vertical="center" textRotation="0" wrapText="false" indent="0" shrinkToFit="false"/>
      <protection locked="true" hidden="false"/>
    </xf>
    <xf numFmtId="167" fontId="18" fillId="0" borderId="12" xfId="28" applyFont="true" applyBorder="true" applyAlignment="true" applyProtection="true">
      <alignment horizontal="center" vertical="center" textRotation="0" wrapText="true" indent="0" shrinkToFit="false"/>
      <protection locked="true" hidden="false"/>
    </xf>
    <xf numFmtId="184" fontId="18" fillId="0" borderId="8" xfId="15" applyFont="true" applyBorder="true" applyAlignment="true" applyProtection="true">
      <alignment horizontal="center" vertical="center" textRotation="0" wrapText="false" indent="0" shrinkToFit="false"/>
      <protection locked="true" hidden="false"/>
    </xf>
    <xf numFmtId="164" fontId="51" fillId="0" borderId="34" xfId="23" applyFont="true" applyBorder="true" applyAlignment="true" applyProtection="true">
      <alignment horizontal="center" vertical="bottom" textRotation="0" wrapText="false" indent="0" shrinkToFit="false"/>
      <protection locked="false" hidden="false"/>
    </xf>
    <xf numFmtId="164" fontId="51" fillId="0" borderId="75" xfId="23" applyFont="true" applyBorder="true" applyAlignment="true" applyProtection="false">
      <alignment horizontal="center" vertical="bottom" textRotation="0" wrapText="false" indent="0" shrinkToFit="false"/>
      <protection locked="true" hidden="false"/>
    </xf>
    <xf numFmtId="164" fontId="50" fillId="0" borderId="0" xfId="23" applyFont="true" applyBorder="false" applyAlignment="true" applyProtection="false">
      <alignment horizontal="center" vertical="bottom" textRotation="0" wrapText="true" indent="0" shrinkToFit="false"/>
      <protection locked="true" hidden="false"/>
    </xf>
    <xf numFmtId="185" fontId="51" fillId="0" borderId="53" xfId="23" applyFont="true" applyBorder="true" applyAlignment="true" applyProtection="false">
      <alignment horizontal="center" vertical="bottom" textRotation="0" wrapText="false" indent="0" shrinkToFit="false"/>
      <protection locked="true" hidden="false"/>
    </xf>
    <xf numFmtId="164" fontId="51" fillId="0" borderId="3" xfId="23" applyFont="true" applyBorder="true" applyAlignment="true" applyProtection="false">
      <alignment horizontal="left" vertical="center" textRotation="0" wrapText="true" indent="0" shrinkToFit="false"/>
      <protection locked="true" hidden="false"/>
    </xf>
    <xf numFmtId="164" fontId="50" fillId="0" borderId="3" xfId="23" applyFont="true" applyBorder="true" applyAlignment="true" applyProtection="false">
      <alignment horizontal="center" vertical="center" textRotation="0" wrapText="false" indent="0" shrinkToFit="false"/>
      <protection locked="true" hidden="false"/>
    </xf>
    <xf numFmtId="164" fontId="50" fillId="0" borderId="3" xfId="23" applyFont="true" applyBorder="true" applyAlignment="true" applyProtection="false">
      <alignment horizontal="center" vertical="center" textRotation="0" wrapText="true" indent="0" shrinkToFit="false"/>
      <protection locked="true" hidden="false"/>
    </xf>
    <xf numFmtId="185" fontId="51" fillId="0" borderId="54" xfId="23" applyFont="true" applyBorder="true" applyAlignment="true" applyProtection="true">
      <alignment horizontal="center" vertical="bottom" textRotation="0" wrapText="false" indent="0" shrinkToFit="false"/>
      <protection locked="false" hidden="false"/>
    </xf>
    <xf numFmtId="185" fontId="51" fillId="0" borderId="76" xfId="23" applyFont="true" applyBorder="true" applyAlignment="true" applyProtection="false">
      <alignment horizontal="center" vertical="bottom" textRotation="0" wrapText="false" indent="0" shrinkToFit="false"/>
      <protection locked="true" hidden="false"/>
    </xf>
    <xf numFmtId="164" fontId="50" fillId="10" borderId="43" xfId="23" applyFont="true" applyBorder="true" applyAlignment="false" applyProtection="false">
      <alignment horizontal="general" vertical="bottom" textRotation="0" wrapText="false" indent="0" shrinkToFit="false"/>
      <protection locked="true" hidden="false"/>
    </xf>
    <xf numFmtId="164" fontId="50" fillId="9" borderId="8" xfId="23" applyFont="true" applyBorder="true" applyAlignment="true" applyProtection="false">
      <alignment horizontal="center" vertical="bottom" textRotation="0" wrapText="false" indent="0" shrinkToFit="false"/>
      <protection locked="true" hidden="false"/>
    </xf>
    <xf numFmtId="164" fontId="50" fillId="9" borderId="11" xfId="23" applyFont="true" applyBorder="true" applyAlignment="false" applyProtection="false">
      <alignment horizontal="general" vertical="bottom" textRotation="0" wrapText="false" indent="0" shrinkToFit="false"/>
      <protection locked="true" hidden="false"/>
    </xf>
    <xf numFmtId="164" fontId="50" fillId="9" borderId="43" xfId="23" applyFont="true" applyBorder="true" applyAlignment="false" applyProtection="false">
      <alignment horizontal="general" vertical="bottom" textRotation="0" wrapText="false" indent="0" shrinkToFit="false"/>
      <protection locked="true" hidden="false"/>
    </xf>
    <xf numFmtId="164" fontId="50" fillId="15" borderId="43" xfId="23" applyFont="true" applyBorder="true" applyAlignment="true" applyProtection="false">
      <alignment horizontal="center" vertical="bottom" textRotation="0" wrapText="false" indent="0" shrinkToFit="false"/>
      <protection locked="true" hidden="false"/>
    </xf>
    <xf numFmtId="167" fontId="0" fillId="9" borderId="43" xfId="28" applyFont="true" applyBorder="true" applyAlignment="true" applyProtection="true">
      <alignment horizontal="center" vertical="bottom" textRotation="0" wrapText="false" indent="0" shrinkToFit="false"/>
      <protection locked="true" hidden="false"/>
    </xf>
    <xf numFmtId="170" fontId="0" fillId="2" borderId="52" xfId="26" applyFont="true" applyBorder="true" applyAlignment="true" applyProtection="true">
      <alignment horizontal="general" vertical="bottom" textRotation="0" wrapText="false" indent="0" shrinkToFit="false"/>
      <protection locked="true" hidden="false"/>
    </xf>
    <xf numFmtId="164" fontId="62" fillId="0" borderId="4" xfId="23" applyFont="true" applyBorder="true" applyAlignment="true" applyProtection="false">
      <alignment horizontal="left" vertical="top" textRotation="0" wrapText="false" indent="0" shrinkToFit="false"/>
      <protection locked="true" hidden="false"/>
    </xf>
    <xf numFmtId="164" fontId="50" fillId="2" borderId="31" xfId="23" applyFont="true" applyBorder="true" applyAlignment="false" applyProtection="false">
      <alignment horizontal="general" vertical="bottom" textRotation="0" wrapText="false" indent="0" shrinkToFit="false"/>
      <protection locked="true" hidden="false"/>
    </xf>
    <xf numFmtId="167" fontId="18" fillId="0" borderId="0" xfId="28" applyFont="true" applyBorder="true" applyAlignment="true" applyProtection="true">
      <alignment horizontal="center" vertical="bottom" textRotation="0" wrapText="false" indent="0" shrinkToFit="true"/>
      <protection locked="true" hidden="false"/>
    </xf>
    <xf numFmtId="167" fontId="0" fillId="2" borderId="77" xfId="28" applyFont="true" applyBorder="true" applyAlignment="true" applyProtection="true">
      <alignment horizontal="center" vertical="bottom" textRotation="0" wrapText="false" indent="0" shrinkToFit="false"/>
      <protection locked="true" hidden="false"/>
    </xf>
    <xf numFmtId="167" fontId="0" fillId="2" borderId="78" xfId="28" applyFont="true" applyBorder="true" applyAlignment="true" applyProtection="true">
      <alignment horizontal="right" vertical="bottom" textRotation="0" wrapText="false" indent="0" shrinkToFit="false"/>
      <protection locked="true" hidden="false"/>
    </xf>
    <xf numFmtId="170" fontId="0" fillId="2" borderId="79" xfId="26" applyFont="true" applyBorder="true" applyAlignment="true" applyProtection="true">
      <alignment horizontal="general" vertical="bottom" textRotation="0" wrapText="false" indent="0" shrinkToFit="false"/>
      <protection locked="true" hidden="false"/>
    </xf>
    <xf numFmtId="178" fontId="0" fillId="0" borderId="38" xfId="15" applyFont="true" applyBorder="true" applyAlignment="true" applyProtection="true">
      <alignment horizontal="general" vertical="bottom" textRotation="0" wrapText="false" indent="0" shrinkToFit="true"/>
      <protection locked="true" hidden="false"/>
    </xf>
    <xf numFmtId="164" fontId="50" fillId="2" borderId="30" xfId="23" applyFont="true" applyBorder="true" applyAlignment="false" applyProtection="false">
      <alignment horizontal="general" vertical="bottom" textRotation="0" wrapText="false" indent="0" shrinkToFit="false"/>
      <protection locked="true" hidden="false"/>
    </xf>
    <xf numFmtId="167" fontId="0" fillId="0" borderId="36" xfId="28" applyFont="true" applyBorder="true" applyAlignment="true" applyProtection="true">
      <alignment horizontal="center" vertical="bottom" textRotation="0" wrapText="false" indent="0" shrinkToFit="false"/>
      <protection locked="true" hidden="false"/>
    </xf>
    <xf numFmtId="167" fontId="0" fillId="0" borderId="80" xfId="28" applyFont="true" applyBorder="true" applyAlignment="true" applyProtection="true">
      <alignment horizontal="right" vertical="bottom" textRotation="0" wrapText="false" indent="0" shrinkToFit="false"/>
      <protection locked="true" hidden="false"/>
    </xf>
    <xf numFmtId="178" fontId="0" fillId="2" borderId="38" xfId="15" applyFont="true" applyBorder="true" applyAlignment="true" applyProtection="true">
      <alignment horizontal="general" vertical="bottom" textRotation="0" wrapText="false" indent="0" shrinkToFit="true"/>
      <protection locked="true" hidden="false"/>
    </xf>
    <xf numFmtId="164" fontId="51" fillId="0" borderId="0" xfId="23" applyFont="true" applyBorder="false" applyAlignment="true" applyProtection="false">
      <alignment horizontal="left" vertical="bottom" textRotation="0" wrapText="false" indent="0" shrinkToFit="false"/>
      <protection locked="true" hidden="false"/>
    </xf>
    <xf numFmtId="164" fontId="50" fillId="2" borderId="30" xfId="23" applyFont="true" applyBorder="true" applyAlignment="true" applyProtection="false">
      <alignment horizontal="center" vertical="bottom" textRotation="0" wrapText="false" indent="0" shrinkToFit="false"/>
      <protection locked="true" hidden="false"/>
    </xf>
    <xf numFmtId="167" fontId="0" fillId="2" borderId="36" xfId="28" applyFont="true" applyBorder="true" applyAlignment="true" applyProtection="true">
      <alignment horizontal="center" vertical="bottom" textRotation="0" wrapText="false" indent="0" shrinkToFit="false"/>
      <protection locked="true" hidden="false"/>
    </xf>
    <xf numFmtId="167" fontId="0" fillId="2" borderId="80" xfId="28" applyFont="true" applyBorder="true" applyAlignment="true" applyProtection="true">
      <alignment horizontal="right" vertical="bottom" textRotation="0" wrapText="false" indent="0" shrinkToFit="false"/>
      <protection locked="true" hidden="false"/>
    </xf>
    <xf numFmtId="178" fontId="0" fillId="0" borderId="41" xfId="15" applyFont="true" applyBorder="true" applyAlignment="true" applyProtection="true">
      <alignment horizontal="general" vertical="bottom" textRotation="0" wrapText="false" indent="0" shrinkToFit="true"/>
      <protection locked="true" hidden="false"/>
    </xf>
    <xf numFmtId="167" fontId="0" fillId="0" borderId="68" xfId="28" applyFont="true" applyBorder="true" applyAlignment="true" applyProtection="true">
      <alignment horizontal="center" vertical="bottom" textRotation="0" wrapText="false" indent="0" shrinkToFit="false"/>
      <protection locked="true" hidden="false"/>
    </xf>
    <xf numFmtId="167" fontId="0" fillId="0" borderId="70" xfId="28" applyFont="true" applyBorder="true" applyAlignment="true" applyProtection="true">
      <alignment horizontal="right" vertical="bottom" textRotation="0" wrapText="false" indent="0" shrinkToFit="false"/>
      <protection locked="true" hidden="false"/>
    </xf>
    <xf numFmtId="167" fontId="18" fillId="2" borderId="46" xfId="28" applyFont="true" applyBorder="true" applyAlignment="true" applyProtection="true">
      <alignment horizontal="general" vertical="bottom" textRotation="0" wrapText="false" indent="0" shrinkToFit="true"/>
      <protection locked="true" hidden="false"/>
    </xf>
    <xf numFmtId="186" fontId="50" fillId="0" borderId="0" xfId="23" applyFont="true" applyBorder="false" applyAlignment="true" applyProtection="false">
      <alignment horizontal="center" vertical="bottom" textRotation="0" wrapText="false" indent="0" shrinkToFit="false"/>
      <protection locked="true" hidden="false"/>
    </xf>
    <xf numFmtId="164" fontId="50" fillId="2" borderId="13" xfId="23" applyFont="true" applyBorder="true" applyAlignment="false" applyProtection="false">
      <alignment horizontal="general" vertical="bottom" textRotation="0" wrapText="false" indent="0" shrinkToFit="false"/>
      <protection locked="true" hidden="false"/>
    </xf>
    <xf numFmtId="167" fontId="18" fillId="2" borderId="81" xfId="28" applyFont="true" applyBorder="true" applyAlignment="true" applyProtection="true">
      <alignment horizontal="center" vertical="bottom" textRotation="0" wrapText="false" indent="0" shrinkToFit="false"/>
      <protection locked="true" hidden="false"/>
    </xf>
    <xf numFmtId="167" fontId="18" fillId="2" borderId="82" xfId="28" applyFont="true" applyBorder="true" applyAlignment="true" applyProtection="true">
      <alignment horizontal="right" vertical="bottom" textRotation="0" wrapText="false" indent="0" shrinkToFit="false"/>
      <protection locked="true" hidden="false"/>
    </xf>
    <xf numFmtId="178" fontId="18" fillId="2" borderId="83" xfId="15" applyFont="true" applyBorder="true" applyAlignment="true" applyProtection="true">
      <alignment horizontal="general" vertical="bottom" textRotation="0" wrapText="false" indent="0" shrinkToFit="true"/>
      <protection locked="true" hidden="false"/>
    </xf>
    <xf numFmtId="167" fontId="18" fillId="2" borderId="60" xfId="28" applyFont="true" applyBorder="true" applyAlignment="true" applyProtection="true">
      <alignment horizontal="right" vertical="bottom" textRotation="0" wrapText="false" indent="0" shrinkToFit="false"/>
      <protection locked="true" hidden="false"/>
    </xf>
    <xf numFmtId="178" fontId="18" fillId="2" borderId="69" xfId="15" applyFont="true" applyBorder="true" applyAlignment="true" applyProtection="true">
      <alignment horizontal="general" vertical="bottom" textRotation="0" wrapText="false" indent="0" shrinkToFit="true"/>
      <protection locked="true" hidden="false"/>
    </xf>
    <xf numFmtId="170" fontId="0" fillId="0" borderId="84" xfId="19" applyFont="true" applyBorder="true" applyAlignment="true" applyProtection="true">
      <alignment horizontal="general" vertical="bottom" textRotation="0" wrapText="false" indent="0" shrinkToFit="true"/>
      <protection locked="true" hidden="false"/>
    </xf>
    <xf numFmtId="164" fontId="0" fillId="5" borderId="6" xfId="0" applyFont="false" applyBorder="true" applyAlignment="true" applyProtection="true">
      <alignment horizontal="left" vertical="center" textRotation="0" wrapText="false" indent="0" shrinkToFit="false"/>
      <protection locked="false" hidden="false"/>
    </xf>
    <xf numFmtId="167" fontId="0" fillId="0" borderId="81" xfId="28" applyFont="true" applyBorder="true" applyAlignment="true" applyProtection="true">
      <alignment horizontal="center" vertical="bottom" textRotation="0" wrapText="false" indent="0" shrinkToFit="false"/>
      <protection locked="true" hidden="false"/>
    </xf>
    <xf numFmtId="167" fontId="0" fillId="0" borderId="85" xfId="28" applyFont="true" applyBorder="true" applyAlignment="true" applyProtection="true">
      <alignment horizontal="right" vertical="bottom" textRotation="0" wrapText="false" indent="0" shrinkToFit="false"/>
      <protection locked="true" hidden="false"/>
    </xf>
    <xf numFmtId="164" fontId="50" fillId="0" borderId="3" xfId="23" applyFont="true" applyBorder="true" applyAlignment="true" applyProtection="false">
      <alignment horizontal="center" vertical="bottom" textRotation="0" wrapText="false" indent="0" shrinkToFit="false"/>
      <protection locked="true" hidden="false"/>
    </xf>
    <xf numFmtId="167" fontId="0" fillId="0" borderId="3" xfId="28" applyFont="true" applyBorder="true" applyAlignment="true" applyProtection="true">
      <alignment horizontal="center" vertical="bottom" textRotation="0" wrapText="false" indent="0" shrinkToFit="false"/>
      <protection locked="true" hidden="false"/>
    </xf>
    <xf numFmtId="164" fontId="18" fillId="0" borderId="0" xfId="0" applyFont="true" applyBorder="false" applyAlignment="true" applyProtection="false">
      <alignment horizontal="center" vertical="bottom" textRotation="0" wrapText="true" indent="0" shrinkToFit="false"/>
      <protection locked="true" hidden="false"/>
    </xf>
    <xf numFmtId="164" fontId="20" fillId="0" borderId="0" xfId="0" applyFont="true" applyBorder="false" applyAlignment="true" applyProtection="false">
      <alignment horizontal="left" vertical="center" textRotation="0" wrapText="false" indent="2" shrinkToFit="false"/>
      <protection locked="true" hidden="false"/>
    </xf>
    <xf numFmtId="169" fontId="18" fillId="0" borderId="9" xfId="0" applyFont="true" applyBorder="true" applyAlignment="true" applyProtection="false">
      <alignment horizontal="left" vertical="bottom" textRotation="0" wrapText="false" indent="0" shrinkToFit="false"/>
      <protection locked="true" hidden="false"/>
    </xf>
    <xf numFmtId="164" fontId="18" fillId="0" borderId="30" xfId="25" applyFont="true" applyBorder="true" applyAlignment="true" applyProtection="false">
      <alignment horizontal="center" vertical="bottom" textRotation="0" wrapText="false" indent="0" shrinkToFit="false"/>
      <protection locked="true" hidden="false"/>
    </xf>
    <xf numFmtId="170" fontId="0" fillId="0" borderId="8" xfId="0" applyFont="false" applyBorder="true" applyAlignment="true" applyProtection="false">
      <alignment horizontal="center" vertical="center" textRotation="0" wrapText="true" indent="0" shrinkToFit="false"/>
      <protection locked="true" hidden="false"/>
    </xf>
    <xf numFmtId="168" fontId="0" fillId="0" borderId="10" xfId="0" applyFont="false" applyBorder="true" applyAlignment="true" applyProtection="false">
      <alignment horizontal="left" vertical="bottom" textRotation="0" wrapText="false" indent="0" shrinkToFit="false"/>
      <protection locked="true" hidden="false"/>
    </xf>
    <xf numFmtId="164" fontId="18" fillId="0" borderId="30" xfId="0" applyFont="true" applyBorder="tru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left" vertical="bottom" textRotation="0" wrapText="false" indent="1" shrinkToFit="false"/>
      <protection locked="true" hidden="false"/>
    </xf>
    <xf numFmtId="164" fontId="0" fillId="0" borderId="13" xfId="0" applyFont="false" applyBorder="true" applyAlignment="false" applyProtection="false">
      <alignment horizontal="general" vertical="bottom" textRotation="0" wrapText="false" indent="0" shrinkToFit="false"/>
      <protection locked="true" hidden="false"/>
    </xf>
    <xf numFmtId="169" fontId="0" fillId="0" borderId="13" xfId="22" applyFont="true" applyBorder="true" applyAlignment="true" applyProtection="false">
      <alignment horizontal="general" vertical="top" textRotation="0" wrapText="true" indent="0" shrinkToFit="false"/>
      <protection locked="true" hidden="false"/>
    </xf>
    <xf numFmtId="164" fontId="0" fillId="0" borderId="0" xfId="22" applyFont="true" applyBorder="false" applyAlignment="true" applyProtection="false">
      <alignment horizontal="general" vertical="top" textRotation="0" wrapText="true" indent="0" shrinkToFit="false"/>
      <protection locked="true" hidden="false"/>
    </xf>
    <xf numFmtId="164" fontId="30" fillId="0" borderId="0" xfId="0" applyFont="true" applyBorder="true" applyAlignment="true" applyProtection="false">
      <alignment horizontal="center" vertical="center" textRotation="0" wrapText="true" indent="0" shrinkToFit="false"/>
      <protection locked="true" hidden="false"/>
    </xf>
    <xf numFmtId="164" fontId="30" fillId="0" borderId="0" xfId="0" applyFont="true" applyBorder="false" applyAlignment="true" applyProtection="false">
      <alignment horizontal="center" vertical="bottom" textRotation="0" wrapText="true" indent="0" shrinkToFit="false"/>
      <protection locked="true" hidden="false"/>
    </xf>
    <xf numFmtId="164" fontId="30" fillId="0" borderId="1" xfId="0" applyFont="true" applyBorder="true" applyAlignment="true" applyProtection="false">
      <alignment horizontal="center" vertical="bottom" textRotation="0" wrapText="true" indent="0" shrinkToFit="false"/>
      <protection locked="true" hidden="false"/>
    </xf>
    <xf numFmtId="164" fontId="63" fillId="0" borderId="11" xfId="0" applyFont="true" applyBorder="true" applyAlignment="true" applyProtection="false">
      <alignment horizontal="center" vertical="center" textRotation="0" wrapText="true" indent="0" shrinkToFit="false"/>
      <protection locked="true" hidden="false"/>
    </xf>
    <xf numFmtId="164" fontId="47" fillId="0" borderId="31" xfId="0" applyFont="true" applyBorder="true" applyAlignment="true" applyProtection="false">
      <alignment horizontal="center"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true" indent="0" shrinkToFit="false"/>
      <protection locked="true" hidden="false"/>
    </xf>
    <xf numFmtId="164" fontId="18" fillId="0" borderId="0" xfId="0" applyFont="true" applyBorder="true" applyAlignment="true" applyProtection="false">
      <alignment horizontal="center" vertical="bottom" textRotation="0" wrapText="true" indent="0" shrinkToFit="false"/>
      <protection locked="true" hidden="false"/>
    </xf>
    <xf numFmtId="187" fontId="0" fillId="0" borderId="10" xfId="0" applyFont="false" applyBorder="true" applyAlignment="true" applyProtection="false">
      <alignment horizontal="center" vertical="center" textRotation="0" wrapText="false" indent="0" shrinkToFit="false"/>
      <protection locked="true" hidden="false"/>
    </xf>
    <xf numFmtId="187" fontId="0" fillId="0" borderId="13" xfId="0" applyFont="false" applyBorder="true" applyAlignment="true" applyProtection="false">
      <alignment horizontal="center" vertical="center" textRotation="0" wrapText="false" indent="0" shrinkToFit="false"/>
      <protection locked="true" hidden="false"/>
    </xf>
    <xf numFmtId="164" fontId="30" fillId="0" borderId="0" xfId="0" applyFont="true" applyBorder="false" applyAlignment="true" applyProtection="false">
      <alignment horizontal="left" vertical="bottom" textRotation="0" wrapText="false" indent="0" shrinkToFit="false"/>
      <protection locked="true" hidden="false"/>
    </xf>
    <xf numFmtId="188" fontId="0" fillId="0" borderId="0" xfId="0" applyFont="false" applyBorder="false" applyAlignment="false" applyProtection="false">
      <alignment horizontal="general" vertical="bottom" textRotation="0" wrapText="false" indent="0" shrinkToFit="false"/>
      <protection locked="true" hidden="false"/>
    </xf>
    <xf numFmtId="188" fontId="18" fillId="0" borderId="37" xfId="0" applyFont="true" applyBorder="true" applyAlignment="true" applyProtection="false">
      <alignment horizontal="center" vertical="center" textRotation="0" wrapText="false" indent="0" shrinkToFit="false"/>
      <protection locked="true" hidden="false"/>
    </xf>
    <xf numFmtId="168" fontId="0" fillId="5" borderId="38" xfId="0" applyFont="false" applyBorder="true" applyAlignment="true" applyProtection="true">
      <alignment horizontal="center" vertical="center" textRotation="0" wrapText="true" indent="0" shrinkToFit="false"/>
      <protection locked="false" hidden="false"/>
    </xf>
    <xf numFmtId="167" fontId="0" fillId="4" borderId="38" xfId="0" applyFont="false" applyBorder="true" applyAlignment="true" applyProtection="true">
      <alignment horizontal="center" vertical="center" textRotation="0" wrapText="false" indent="0" shrinkToFit="false"/>
      <protection locked="false" hidden="false"/>
    </xf>
    <xf numFmtId="164" fontId="0" fillId="0" borderId="38" xfId="0" applyFont="false" applyBorder="true" applyAlignment="true" applyProtection="false">
      <alignment horizontal="center" vertical="center" textRotation="0" wrapText="false" indent="0" shrinkToFit="false"/>
      <protection locked="true" hidden="false"/>
    </xf>
    <xf numFmtId="164" fontId="0" fillId="0" borderId="39" xfId="0" applyFont="false" applyBorder="true" applyAlignment="true" applyProtection="false">
      <alignment horizontal="center" vertical="center" textRotation="0" wrapText="true" indent="0" shrinkToFit="false"/>
      <protection locked="true" hidden="false"/>
    </xf>
    <xf numFmtId="187" fontId="0" fillId="0" borderId="36" xfId="0" applyFont="false" applyBorder="true" applyAlignment="true" applyProtection="false">
      <alignment horizontal="center" vertical="center" textRotation="0" wrapText="false" indent="0" shrinkToFit="false"/>
      <protection locked="true" hidden="false"/>
    </xf>
    <xf numFmtId="187" fontId="0" fillId="0" borderId="60" xfId="0" applyFont="false" applyBorder="true" applyAlignment="true" applyProtection="false">
      <alignment horizontal="center" vertical="center" textRotation="0" wrapText="false" indent="0" shrinkToFit="false"/>
      <protection locked="true" hidden="false"/>
    </xf>
    <xf numFmtId="187" fontId="0" fillId="0" borderId="80" xfId="0" applyFont="false" applyBorder="true" applyAlignment="true" applyProtection="false">
      <alignment horizontal="center" vertical="center" textRotation="0" wrapText="false" indent="0" shrinkToFit="false"/>
      <protection locked="true" hidden="false"/>
    </xf>
    <xf numFmtId="187" fontId="0" fillId="0" borderId="40" xfId="0" applyFont="false" applyBorder="true" applyAlignment="true" applyProtection="false">
      <alignment horizontal="center" vertical="center" textRotation="0" wrapText="false" indent="0" shrinkToFit="false"/>
      <protection locked="true" hidden="false"/>
    </xf>
    <xf numFmtId="189" fontId="30" fillId="0" borderId="0" xfId="0" applyFont="true" applyBorder="false" applyAlignment="false" applyProtection="false">
      <alignment horizontal="general" vertical="bottom" textRotation="0" wrapText="false" indent="0" shrinkToFit="false"/>
      <protection locked="true" hidden="false"/>
    </xf>
    <xf numFmtId="164" fontId="0" fillId="4" borderId="86" xfId="0" applyFont="false" applyBorder="true" applyAlignment="true" applyProtection="true">
      <alignment horizontal="left" vertical="center" textRotation="0" wrapText="true" indent="0" shrinkToFit="false"/>
      <protection locked="false" hidden="false"/>
    </xf>
    <xf numFmtId="164" fontId="64" fillId="0" borderId="0" xfId="0" applyFont="true" applyBorder="false" applyAlignment="false" applyProtection="false">
      <alignment horizontal="general" vertical="bottom" textRotation="0" wrapText="false" indent="0" shrinkToFit="false"/>
      <protection locked="true" hidden="false"/>
    </xf>
    <xf numFmtId="168" fontId="0" fillId="4" borderId="87" xfId="0" applyFont="false" applyBorder="true" applyAlignment="true" applyProtection="true">
      <alignment horizontal="center" vertical="center" textRotation="0" wrapText="true" indent="0" shrinkToFit="false"/>
      <protection locked="false" hidden="false"/>
    </xf>
    <xf numFmtId="187" fontId="0" fillId="4" borderId="87" xfId="0" applyFont="false" applyBorder="true" applyAlignment="true" applyProtection="true">
      <alignment horizontal="right" vertical="center" textRotation="0" wrapText="false" indent="0" shrinkToFit="false"/>
      <protection locked="false" hidden="false"/>
    </xf>
    <xf numFmtId="168" fontId="0" fillId="5" borderId="83" xfId="0" applyFont="true" applyBorder="true" applyAlignment="true" applyProtection="true">
      <alignment horizontal="center" vertical="center" textRotation="0" wrapText="false" indent="0" shrinkToFit="false"/>
      <protection locked="false" hidden="false"/>
    </xf>
    <xf numFmtId="187" fontId="0" fillId="4" borderId="41" xfId="0" applyFont="false" applyBorder="true" applyAlignment="true" applyProtection="true">
      <alignment horizontal="right" vertical="center" textRotation="0" wrapText="false" indent="0" shrinkToFit="false"/>
      <protection locked="false" hidden="false"/>
    </xf>
    <xf numFmtId="187" fontId="0" fillId="4" borderId="42" xfId="0" applyFont="false" applyBorder="true" applyAlignment="true" applyProtection="true">
      <alignment horizontal="right" vertical="center" textRotation="0" wrapText="false" indent="0" shrinkToFit="false"/>
      <protection locked="false" hidden="false"/>
    </xf>
    <xf numFmtId="169" fontId="0" fillId="0" borderId="0" xfId="17" applyFont="true" applyBorder="true" applyAlignment="true" applyProtection="true">
      <alignment horizontal="general"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8" fillId="0" borderId="11" xfId="0" applyFont="true" applyBorder="true" applyAlignment="true" applyProtection="false">
      <alignment horizontal="center" vertical="center" textRotation="0" wrapText="true" indent="0" shrinkToFit="false"/>
      <protection locked="true" hidden="false"/>
    </xf>
    <xf numFmtId="164" fontId="18" fillId="0" borderId="43" xfId="0" applyFont="true" applyBorder="true" applyAlignment="true" applyProtection="false">
      <alignment horizontal="center" vertical="center" textRotation="0" wrapText="true" indent="0" shrinkToFit="false"/>
      <protection locked="true" hidden="false"/>
    </xf>
    <xf numFmtId="164" fontId="18" fillId="0" borderId="12" xfId="0" applyFont="true" applyBorder="true" applyAlignment="true" applyProtection="false">
      <alignment horizontal="center" vertical="center" textRotation="0" wrapText="true" indent="0" shrinkToFit="false"/>
      <protection locked="true" hidden="false"/>
    </xf>
    <xf numFmtId="164" fontId="18" fillId="0" borderId="4" xfId="0" applyFont="true" applyBorder="true" applyAlignment="true" applyProtection="false">
      <alignment horizontal="center" vertical="center" textRotation="0" wrapText="true" indent="0" shrinkToFit="false"/>
      <protection locked="true" hidden="false"/>
    </xf>
    <xf numFmtId="164" fontId="0" fillId="2" borderId="7" xfId="0" applyFont="false" applyBorder="true" applyAlignment="false" applyProtection="false">
      <alignment horizontal="general" vertical="bottom" textRotation="0" wrapText="false" indent="0" shrinkToFit="false"/>
      <protection locked="true" hidden="false"/>
    </xf>
    <xf numFmtId="164" fontId="0" fillId="2" borderId="5" xfId="0" applyFont="false" applyBorder="true" applyAlignment="false" applyProtection="false">
      <alignment horizontal="general" vertical="bottom" textRotation="0" wrapText="false" indent="0" shrinkToFit="false"/>
      <protection locked="true" hidden="false"/>
    </xf>
    <xf numFmtId="164" fontId="18" fillId="2" borderId="12" xfId="0" applyFont="true" applyBorder="true" applyAlignment="true" applyProtection="false">
      <alignment horizontal="center" vertical="center" textRotation="0" wrapText="false" indent="0" shrinkToFit="false"/>
      <protection locked="true" hidden="false"/>
    </xf>
    <xf numFmtId="187" fontId="21" fillId="2" borderId="7" xfId="0" applyFont="true" applyBorder="true" applyAlignment="true" applyProtection="false">
      <alignment horizontal="center" vertical="center" textRotation="0" wrapText="false" indent="0" shrinkToFit="false"/>
      <protection locked="true" hidden="false"/>
    </xf>
    <xf numFmtId="187" fontId="21" fillId="2" borderId="5" xfId="0" applyFont="true" applyBorder="true" applyAlignment="true" applyProtection="false">
      <alignment horizontal="center" vertical="center" textRotation="0" wrapText="false" indent="0" shrinkToFit="false"/>
      <protection locked="true" hidden="false"/>
    </xf>
    <xf numFmtId="187" fontId="21" fillId="2" borderId="4" xfId="0" applyFont="true" applyBorder="true" applyAlignment="true" applyProtection="false">
      <alignment horizontal="center" vertical="center" textRotation="0" wrapText="false" indent="0" shrinkToFit="false"/>
      <protection locked="true" hidden="false"/>
    </xf>
    <xf numFmtId="187" fontId="21" fillId="2" borderId="31" xfId="0" applyFont="true" applyBorder="true" applyAlignment="true" applyProtection="false">
      <alignment horizontal="center" vertical="center" textRotation="0" wrapText="false" indent="0" shrinkToFit="false"/>
      <protection locked="true" hidden="false"/>
    </xf>
    <xf numFmtId="164" fontId="0" fillId="11" borderId="31" xfId="0" applyFont="false" applyBorder="true" applyAlignment="false" applyProtection="false">
      <alignment horizontal="general" vertical="bottom" textRotation="0" wrapText="false" indent="0" shrinkToFit="false"/>
      <protection locked="true" hidden="false"/>
    </xf>
    <xf numFmtId="164" fontId="0" fillId="11" borderId="31" xfId="0" applyFont="false" applyBorder="true" applyAlignment="true" applyProtection="false">
      <alignment horizontal="center" vertical="bottom" textRotation="0" wrapText="false" indent="0" shrinkToFit="false"/>
      <protection locked="true" hidden="false"/>
    </xf>
    <xf numFmtId="164" fontId="0" fillId="11" borderId="7" xfId="0" applyFont="false" applyBorder="true" applyAlignment="false" applyProtection="false">
      <alignment horizontal="general" vertical="bottom" textRotation="0" wrapText="false" indent="0" shrinkToFit="false"/>
      <protection locked="true" hidden="false"/>
    </xf>
    <xf numFmtId="164" fontId="0" fillId="11" borderId="5" xfId="0" applyFont="false" applyBorder="true" applyAlignment="true" applyProtection="false">
      <alignment horizontal="center" vertical="bottom" textRotation="0" wrapText="false" indent="0" shrinkToFit="false"/>
      <protection locked="true" hidden="false"/>
    </xf>
    <xf numFmtId="164" fontId="0" fillId="11" borderId="5" xfId="0" applyFont="false" applyBorder="true" applyAlignment="false" applyProtection="false">
      <alignment horizontal="general" vertical="bottom" textRotation="0" wrapText="false" indent="0" shrinkToFit="false"/>
      <protection locked="true" hidden="false"/>
    </xf>
    <xf numFmtId="164" fontId="0" fillId="11" borderId="4" xfId="0" applyFont="false" applyBorder="true" applyAlignment="false" applyProtection="false">
      <alignment horizontal="general" vertical="bottom" textRotation="0" wrapText="false" indent="0" shrinkToFit="false"/>
      <protection locked="true" hidden="false"/>
    </xf>
    <xf numFmtId="164" fontId="0" fillId="2" borderId="10" xfId="0" applyFont="false" applyBorder="true" applyAlignment="false" applyProtection="false">
      <alignment horizontal="general" vertical="bottom" textRotation="0" wrapText="false" indent="0" shrinkToFit="false"/>
      <protection locked="true" hidden="false"/>
    </xf>
    <xf numFmtId="164" fontId="0" fillId="2" borderId="3" xfId="0" applyFont="false" applyBorder="true" applyAlignment="false" applyProtection="false">
      <alignment horizontal="general" vertical="bottom" textRotation="0" wrapText="false" indent="0" shrinkToFit="false"/>
      <protection locked="true" hidden="false"/>
    </xf>
    <xf numFmtId="191" fontId="5" fillId="2" borderId="10" xfId="0" applyFont="true" applyBorder="true" applyAlignment="true" applyProtection="false">
      <alignment horizontal="center" vertical="bottom" textRotation="0" wrapText="false" indent="0" shrinkToFit="false"/>
      <protection locked="true" hidden="false"/>
    </xf>
    <xf numFmtId="191" fontId="5" fillId="2" borderId="3" xfId="0" applyFont="true" applyBorder="true" applyAlignment="true" applyProtection="false">
      <alignment horizontal="center" vertical="bottom" textRotation="0" wrapText="false" indent="0" shrinkToFit="false"/>
      <protection locked="true" hidden="false"/>
    </xf>
    <xf numFmtId="191" fontId="5" fillId="2" borderId="2" xfId="0" applyFont="true" applyBorder="true" applyAlignment="true" applyProtection="false">
      <alignment horizontal="center" vertical="bottom" textRotation="0" wrapText="false" indent="0" shrinkToFit="false"/>
      <protection locked="true" hidden="false"/>
    </xf>
    <xf numFmtId="191" fontId="5" fillId="2" borderId="13" xfId="0" applyFont="true" applyBorder="true" applyAlignment="true" applyProtection="false">
      <alignment horizontal="center" vertical="bottom" textRotation="0" wrapText="false" indent="0" shrinkToFit="false"/>
      <protection locked="true" hidden="false"/>
    </xf>
    <xf numFmtId="164" fontId="0" fillId="11" borderId="13" xfId="0" applyFont="false" applyBorder="true" applyAlignment="false" applyProtection="false">
      <alignment horizontal="general" vertical="bottom" textRotation="0" wrapText="false" indent="0" shrinkToFit="false"/>
      <protection locked="true" hidden="false"/>
    </xf>
    <xf numFmtId="164" fontId="0" fillId="11" borderId="13" xfId="0" applyFont="false" applyBorder="true" applyAlignment="true" applyProtection="false">
      <alignment horizontal="center" vertical="bottom" textRotation="0" wrapText="false" indent="0" shrinkToFit="false"/>
      <protection locked="true" hidden="false"/>
    </xf>
    <xf numFmtId="164" fontId="0" fillId="11" borderId="10" xfId="0" applyFont="false" applyBorder="true" applyAlignment="false" applyProtection="false">
      <alignment horizontal="general" vertical="bottom" textRotation="0" wrapText="false" indent="0" shrinkToFit="false"/>
      <protection locked="true" hidden="false"/>
    </xf>
    <xf numFmtId="164" fontId="0" fillId="11" borderId="3" xfId="0" applyFont="false" applyBorder="true" applyAlignment="true" applyProtection="false">
      <alignment horizontal="center" vertical="bottom" textRotation="0" wrapText="false" indent="0" shrinkToFit="false"/>
      <protection locked="true" hidden="false"/>
    </xf>
    <xf numFmtId="164" fontId="0" fillId="11" borderId="3" xfId="0" applyFont="false" applyBorder="true" applyAlignment="false" applyProtection="false">
      <alignment horizontal="general" vertical="bottom" textRotation="0" wrapText="false" indent="0" shrinkToFit="false"/>
      <protection locked="true" hidden="false"/>
    </xf>
    <xf numFmtId="164" fontId="0" fillId="11" borderId="2" xfId="0" applyFont="false" applyBorder="true" applyAlignment="false" applyProtection="false">
      <alignment horizontal="general" vertical="bottom" textRotation="0" wrapText="false" indent="0" shrinkToFit="false"/>
      <protection locked="true" hidden="false"/>
    </xf>
    <xf numFmtId="173" fontId="0" fillId="4" borderId="0" xfId="0" applyFont="false" applyBorder="false" applyAlignment="true" applyProtection="true">
      <alignment horizontal="center" vertical="bottom" textRotation="0" wrapText="false" indent="0" shrinkToFit="false"/>
      <protection locked="false" hidden="false"/>
    </xf>
    <xf numFmtId="164" fontId="51" fillId="0" borderId="1" xfId="23" applyFont="true" applyBorder="true" applyAlignment="false" applyProtection="false">
      <alignment horizontal="general" vertical="bottom" textRotation="0" wrapText="false" indent="0" shrinkToFit="false"/>
      <protection locked="true" hidden="false"/>
    </xf>
    <xf numFmtId="164" fontId="50" fillId="0" borderId="1" xfId="23" applyFont="true" applyBorder="true" applyAlignment="true" applyProtection="false">
      <alignment horizontal="center" vertical="bottom" textRotation="0" wrapText="false" indent="0" shrinkToFit="false"/>
      <protection locked="true" hidden="false"/>
    </xf>
    <xf numFmtId="164" fontId="42"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right" vertical="bottom" textRotation="0" wrapText="false" indent="0" shrinkToFit="false"/>
      <protection locked="true" hidden="false"/>
    </xf>
    <xf numFmtId="164" fontId="20" fillId="4" borderId="13" xfId="0" applyFont="true" applyBorder="true" applyAlignment="true" applyProtection="true">
      <alignment horizontal="center" vertical="bottom" textRotation="0" wrapText="false" indent="0" shrinkToFit="false"/>
      <protection locked="false" hidden="false"/>
    </xf>
    <xf numFmtId="164" fontId="20" fillId="0" borderId="13" xfId="0" applyFont="true" applyBorder="true" applyAlignment="true" applyProtection="false">
      <alignment horizontal="center" vertical="bottom" textRotation="0" wrapText="false" indent="0" shrinkToFit="false"/>
      <protection locked="true" hidden="false"/>
    </xf>
    <xf numFmtId="164" fontId="20" fillId="0" borderId="9" xfId="0" applyFont="true" applyBorder="true" applyAlignment="false" applyProtection="false">
      <alignment horizontal="general" vertical="bottom" textRotation="0" wrapText="false" indent="0" shrinkToFit="false"/>
      <protection locked="true" hidden="false"/>
    </xf>
    <xf numFmtId="170" fontId="20" fillId="0" borderId="13" xfId="19"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false">
      <alignment horizontal="right" vertical="bottom" textRotation="90" wrapText="false" indent="0" shrinkToFit="false"/>
      <protection locked="true" hidden="false"/>
    </xf>
    <xf numFmtId="164" fontId="25" fillId="0" borderId="88" xfId="0" applyFont="true" applyBorder="true" applyAlignment="true" applyProtection="false">
      <alignment horizontal="center" vertical="top" textRotation="0" wrapText="true" indent="0" shrinkToFit="false"/>
      <protection locked="true" hidden="false"/>
    </xf>
    <xf numFmtId="164" fontId="18" fillId="2" borderId="8" xfId="0" applyFont="true" applyBorder="true" applyAlignment="true" applyProtection="false">
      <alignment horizontal="center" vertical="bottom" textRotation="0" wrapText="false" indent="0" shrinkToFit="false"/>
      <protection locked="true" hidden="false"/>
    </xf>
    <xf numFmtId="172" fontId="0" fillId="4" borderId="48" xfId="0" applyFont="false" applyBorder="true" applyAlignment="true" applyProtection="true">
      <alignment horizontal="center" vertical="bottom" textRotation="0" wrapText="false" indent="0" shrinkToFit="false"/>
      <protection locked="false" hidden="false"/>
    </xf>
    <xf numFmtId="172" fontId="0" fillId="4" borderId="47" xfId="0" applyFont="false" applyBorder="true" applyAlignment="true" applyProtection="true">
      <alignment horizontal="center" vertical="bottom" textRotation="0" wrapText="false" indent="0" shrinkToFit="false"/>
      <protection locked="false" hidden="false"/>
    </xf>
    <xf numFmtId="172" fontId="0" fillId="4" borderId="49" xfId="0" applyFont="false" applyBorder="true" applyAlignment="true" applyProtection="true">
      <alignment horizontal="center" vertical="bottom" textRotation="0" wrapText="false" indent="0" shrinkToFit="false"/>
      <protection locked="false" hidden="false"/>
    </xf>
    <xf numFmtId="192" fontId="18" fillId="2" borderId="8" xfId="0" applyFont="true" applyBorder="true" applyAlignment="true" applyProtection="false">
      <alignment horizontal="center" vertical="bottom" textRotation="0" wrapText="false" indent="0" shrinkToFit="true"/>
      <protection locked="true" hidden="false"/>
    </xf>
    <xf numFmtId="164" fontId="18" fillId="0" borderId="8" xfId="0" applyFont="true" applyBorder="true" applyAlignment="true" applyProtection="false">
      <alignment horizontal="right" vertical="center" textRotation="0" wrapText="false" indent="0" shrinkToFit="false"/>
      <protection locked="true" hidden="false"/>
    </xf>
    <xf numFmtId="170" fontId="0" fillId="0" borderId="7" xfId="19" applyFont="true" applyBorder="true" applyAlignment="true" applyProtection="true">
      <alignment horizontal="center" vertical="bottom" textRotation="0" wrapText="false" indent="0" shrinkToFit="false"/>
      <protection locked="true" hidden="false"/>
    </xf>
    <xf numFmtId="170" fontId="0" fillId="0" borderId="31" xfId="19" applyFont="true" applyBorder="true" applyAlignment="true" applyProtection="true">
      <alignment horizontal="center" vertical="bottom" textRotation="0" wrapText="false" indent="0" shrinkToFit="false"/>
      <protection locked="true" hidden="false"/>
    </xf>
    <xf numFmtId="193" fontId="0" fillId="0" borderId="13" xfId="15" applyFont="true" applyBorder="true" applyAlignment="true" applyProtection="true">
      <alignment horizontal="center" vertical="bottom" textRotation="0" wrapText="false" indent="0" shrinkToFit="true"/>
      <protection locked="true" hidden="false"/>
    </xf>
    <xf numFmtId="170" fontId="0" fillId="0" borderId="9" xfId="19" applyFont="true" applyBorder="true" applyAlignment="true" applyProtection="true">
      <alignment horizontal="center" vertical="bottom" textRotation="0" wrapText="false" indent="0" shrinkToFit="false"/>
      <protection locked="true" hidden="false"/>
    </xf>
    <xf numFmtId="170" fontId="0" fillId="0" borderId="30" xfId="19" applyFont="true" applyBorder="true" applyAlignment="true" applyProtection="true">
      <alignment horizontal="center" vertical="bottom" textRotation="0" wrapText="false" indent="0" shrinkToFit="false"/>
      <protection locked="true" hidden="false"/>
    </xf>
    <xf numFmtId="193" fontId="0" fillId="0" borderId="10" xfId="15" applyFont="true" applyBorder="true" applyAlignment="true" applyProtection="true">
      <alignment horizontal="center" vertical="bottom" textRotation="0" wrapText="false" indent="0" shrinkToFit="true"/>
      <protection locked="true" hidden="false"/>
    </xf>
    <xf numFmtId="164" fontId="18" fillId="0" borderId="0" xfId="0" applyFont="true" applyBorder="false" applyAlignment="true" applyProtection="false">
      <alignment horizontal="right" vertical="center" textRotation="0" wrapText="false" indent="0" shrinkToFit="false"/>
      <protection locked="true" hidden="false"/>
    </xf>
    <xf numFmtId="193" fontId="0" fillId="0" borderId="0" xfId="15" applyFont="true" applyBorder="true" applyAlignment="true" applyProtection="true">
      <alignment horizontal="center" vertical="bottom" textRotation="0" wrapText="false" indent="0" shrinkToFit="tru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0" fillId="0" borderId="0" xfId="22" applyFont="true" applyBorder="false" applyAlignment="true" applyProtection="false">
      <alignment horizontal="left" vertical="top" textRotation="0" wrapText="false" indent="0" shrinkToFit="false"/>
      <protection locked="true" hidden="false"/>
    </xf>
    <xf numFmtId="164" fontId="20" fillId="0" borderId="0" xfId="0" applyFont="true" applyBorder="false" applyAlignment="true" applyProtection="false">
      <alignment horizontal="left" vertical="center" textRotation="0" wrapText="false" indent="12" shrinkToFit="false"/>
      <protection locked="true" hidden="false"/>
    </xf>
    <xf numFmtId="164" fontId="0" fillId="0" borderId="0" xfId="0" applyFont="false" applyBorder="false" applyAlignment="true" applyProtection="false">
      <alignment horizontal="center" vertical="top" textRotation="0" wrapText="false" indent="0" shrinkToFit="false"/>
      <protection locked="true" hidden="false"/>
    </xf>
    <xf numFmtId="164" fontId="39" fillId="0" borderId="0" xfId="0" applyFont="true" applyBorder="false" applyAlignment="true" applyProtection="false">
      <alignment horizontal="left" vertical="center" textRotation="0" wrapText="false" indent="12" shrinkToFit="false"/>
      <protection locked="true" hidden="false"/>
    </xf>
    <xf numFmtId="164" fontId="0" fillId="0" borderId="13" xfId="0" applyFont="false" applyBorder="true" applyAlignment="true" applyProtection="false">
      <alignment horizontal="center" vertical="bottom" textRotation="0" wrapText="false" indent="0" shrinkToFit="false"/>
      <protection locked="true" hidden="false"/>
    </xf>
    <xf numFmtId="164" fontId="0" fillId="0" borderId="10" xfId="22" applyFont="true" applyBorder="true" applyAlignment="true" applyProtection="false">
      <alignment horizontal="general" vertical="top" textRotation="0" wrapText="true" indent="0" shrinkToFit="false"/>
      <protection locked="true" hidden="false"/>
    </xf>
    <xf numFmtId="194" fontId="0" fillId="0" borderId="2" xfId="22" applyFont="true" applyBorder="true" applyAlignment="true" applyProtection="false">
      <alignment horizontal="left" vertical="top" textRotation="0" wrapText="true" indent="0" shrinkToFit="false"/>
      <protection locked="true" hidden="false"/>
    </xf>
    <xf numFmtId="164" fontId="0" fillId="0" borderId="30" xfId="0" applyFont="false" applyBorder="true" applyAlignment="false" applyProtection="false">
      <alignment horizontal="general" vertical="bottom" textRotation="0" wrapText="false" indent="0" shrinkToFit="false"/>
      <protection locked="true" hidden="false"/>
    </xf>
    <xf numFmtId="168" fontId="0" fillId="0" borderId="13" xfId="22" applyFont="true" applyBorder="true" applyAlignment="true" applyProtection="false">
      <alignment horizontal="general" vertical="top" textRotation="0" wrapText="true" indent="0" shrinkToFit="false"/>
      <protection locked="true" hidden="false"/>
    </xf>
    <xf numFmtId="164" fontId="18" fillId="4" borderId="13" xfId="0" applyFont="true" applyBorder="true" applyAlignment="true" applyProtection="true">
      <alignment horizontal="center" vertical="center" textRotation="0" wrapText="true" indent="0" shrinkToFit="false"/>
      <protection locked="false" hidden="false"/>
    </xf>
    <xf numFmtId="164" fontId="0" fillId="0" borderId="9" xfId="0" applyFont="false" applyBorder="true" applyAlignment="false" applyProtection="true">
      <alignment horizontal="general" vertical="bottom" textRotation="0" wrapText="false" indent="0" shrinkToFit="false"/>
      <protection locked="false" hidden="false"/>
    </xf>
    <xf numFmtId="164" fontId="25" fillId="0" borderId="0" xfId="0" applyFont="true" applyBorder="false" applyAlignment="true" applyProtection="false">
      <alignment horizontal="general" vertical="center" textRotation="0" wrapText="true" indent="0" shrinkToFit="false"/>
      <protection locked="true" hidden="false"/>
    </xf>
    <xf numFmtId="164" fontId="25" fillId="0" borderId="0" xfId="0" applyFont="true" applyBorder="true" applyAlignment="true" applyProtection="false">
      <alignment horizontal="center" vertical="center" textRotation="0" wrapText="true" indent="0" shrinkToFit="false"/>
      <protection locked="true" hidden="false"/>
    </xf>
    <xf numFmtId="167" fontId="20" fillId="0" borderId="0" xfId="0" applyFont="true" applyBorder="false" applyAlignment="true" applyProtection="false">
      <alignment horizontal="right" vertical="center" textRotation="0" wrapText="false" indent="0" shrinkToFit="false"/>
      <protection locked="true" hidden="false"/>
    </xf>
    <xf numFmtId="170" fontId="12" fillId="0" borderId="0" xfId="19" applyFont="true" applyBorder="true" applyAlignment="true" applyProtection="true">
      <alignment horizontal="left" vertical="bottom" textRotation="0" wrapText="false" indent="0" shrinkToFit="false"/>
      <protection locked="true" hidden="false"/>
    </xf>
    <xf numFmtId="173" fontId="0" fillId="0" borderId="10" xfId="0" applyFont="false" applyBorder="true" applyAlignment="true" applyProtection="false">
      <alignment horizontal="general" vertical="top" textRotation="0" wrapText="false" indent="0" shrinkToFit="false"/>
      <protection locked="true" hidden="false"/>
    </xf>
    <xf numFmtId="167" fontId="20" fillId="0" borderId="0" xfId="0" applyFont="true" applyBorder="false" applyAlignment="true" applyProtection="false">
      <alignment horizontal="general" vertical="top" textRotation="0" wrapText="false" indent="0" shrinkToFit="false"/>
      <protection locked="true" hidden="false"/>
    </xf>
    <xf numFmtId="164" fontId="20" fillId="4" borderId="9" xfId="0" applyFont="true" applyBorder="true" applyAlignment="true" applyProtection="false">
      <alignment horizontal="left" vertical="bottom" textRotation="0" wrapText="false" indent="0" shrinkToFit="false"/>
      <protection locked="true" hidden="false"/>
    </xf>
    <xf numFmtId="164" fontId="20" fillId="0" borderId="10" xfId="0" applyFont="true" applyBorder="true" applyAlignment="false" applyProtection="false">
      <alignment horizontal="general" vertical="bottom" textRotation="0" wrapText="false" indent="0" shrinkToFit="false"/>
      <protection locked="true" hidden="false"/>
    </xf>
    <xf numFmtId="172" fontId="18" fillId="4" borderId="48" xfId="0" applyFont="true" applyBorder="true" applyAlignment="true" applyProtection="true">
      <alignment horizontal="center" vertical="center" textRotation="0" wrapText="true" indent="0" shrinkToFit="false"/>
      <protection locked="false" hidden="false"/>
    </xf>
    <xf numFmtId="172" fontId="18" fillId="4" borderId="47" xfId="0" applyFont="true" applyBorder="true" applyAlignment="true" applyProtection="true">
      <alignment horizontal="center" vertical="center" textRotation="0" wrapText="true" indent="0" shrinkToFit="false"/>
      <protection locked="false" hidden="false"/>
    </xf>
    <xf numFmtId="172" fontId="18" fillId="4" borderId="49" xfId="0" applyFont="true" applyBorder="true" applyAlignment="true" applyProtection="true">
      <alignment horizontal="center" vertical="center" textRotation="0" wrapText="true" indent="0" shrinkToFit="false"/>
      <protection locked="false" hidden="false"/>
    </xf>
    <xf numFmtId="164" fontId="18" fillId="0" borderId="31" xfId="0" applyFont="true" applyBorder="true" applyAlignment="true" applyProtection="false">
      <alignment horizontal="center" vertical="center" textRotation="0" wrapText="false" indent="0" shrinkToFit="false"/>
      <protection locked="true" hidden="false"/>
    </xf>
    <xf numFmtId="195" fontId="18" fillId="2" borderId="31" xfId="0" applyFont="true" applyBorder="true" applyAlignment="true" applyProtection="false">
      <alignment horizontal="center" vertical="center" textRotation="0" wrapText="true" indent="0" shrinkToFit="false"/>
      <protection locked="true" hidden="false"/>
    </xf>
    <xf numFmtId="178" fontId="0" fillId="0" borderId="36" xfId="15" applyFont="true" applyBorder="true" applyAlignment="true" applyProtection="true">
      <alignment horizontal="general" vertical="center" textRotation="0" wrapText="false" indent="0" shrinkToFit="true"/>
      <protection locked="true" hidden="false"/>
    </xf>
    <xf numFmtId="178" fontId="0" fillId="0" borderId="80" xfId="15" applyFont="true" applyBorder="true" applyAlignment="true" applyProtection="true">
      <alignment horizontal="general" vertical="center" textRotation="0" wrapText="false" indent="0" shrinkToFit="true"/>
      <protection locked="true" hidden="false"/>
    </xf>
    <xf numFmtId="178" fontId="0" fillId="0" borderId="37" xfId="15" applyFont="true" applyBorder="true" applyAlignment="true" applyProtection="true">
      <alignment horizontal="center" vertical="center" textRotation="0" wrapText="false" indent="0" shrinkToFit="true"/>
      <protection locked="true" hidden="false"/>
    </xf>
    <xf numFmtId="178" fontId="0" fillId="4" borderId="37" xfId="15" applyFont="true" applyBorder="true" applyAlignment="true" applyProtection="true">
      <alignment horizontal="general" vertical="bottom" textRotation="0" wrapText="false" indent="0" shrinkToFit="false"/>
      <protection locked="false" hidden="false"/>
    </xf>
    <xf numFmtId="178" fontId="0" fillId="4" borderId="39" xfId="15" applyFont="true" applyBorder="true" applyAlignment="true" applyProtection="true">
      <alignment horizontal="general" vertical="bottom" textRotation="0" wrapText="false" indent="0" shrinkToFit="false"/>
      <protection locked="false" hidden="false"/>
    </xf>
    <xf numFmtId="196" fontId="0" fillId="0" borderId="38" xfId="15" applyFont="true" applyBorder="true" applyAlignment="true" applyProtection="true">
      <alignment horizontal="general" vertical="center" textRotation="0" wrapText="false" indent="0" shrinkToFit="true"/>
      <protection locked="true" hidden="false"/>
    </xf>
    <xf numFmtId="167" fontId="0" fillId="0" borderId="38" xfId="0" applyFont="false" applyBorder="true" applyAlignment="false" applyProtection="false">
      <alignment horizontal="general" vertical="bottom" textRotation="0" wrapText="false" indent="0" shrinkToFit="false"/>
      <protection locked="true" hidden="false"/>
    </xf>
    <xf numFmtId="164" fontId="0" fillId="5" borderId="39" xfId="0" applyFont="false" applyBorder="true" applyAlignment="true" applyProtection="true">
      <alignment horizontal="general" vertical="bottom" textRotation="0" wrapText="false" indent="0" shrinkToFit="true"/>
      <protection locked="false" hidden="false"/>
    </xf>
    <xf numFmtId="178" fontId="0" fillId="4" borderId="38" xfId="15" applyFont="true" applyBorder="true" applyAlignment="true" applyProtection="true">
      <alignment horizontal="general" vertical="bottom" textRotation="0" wrapText="false" indent="0" shrinkToFit="false"/>
      <protection locked="false" hidden="false"/>
    </xf>
    <xf numFmtId="164" fontId="18" fillId="8" borderId="10" xfId="0" applyFont="true" applyBorder="true" applyAlignment="true" applyProtection="false">
      <alignment horizontal="left" vertical="center" textRotation="0" wrapText="true" indent="0" shrinkToFit="false"/>
      <protection locked="true" hidden="false"/>
    </xf>
    <xf numFmtId="168" fontId="18" fillId="8" borderId="3" xfId="0" applyFont="true" applyBorder="true" applyAlignment="true" applyProtection="false">
      <alignment horizontal="center" vertical="center" textRotation="0" wrapText="false" indent="0" shrinkToFit="false"/>
      <protection locked="true" hidden="false"/>
    </xf>
    <xf numFmtId="178" fontId="18" fillId="8" borderId="3" xfId="15" applyFont="true" applyBorder="true" applyAlignment="true" applyProtection="true">
      <alignment horizontal="center" vertical="center" textRotation="0" wrapText="false" indent="0" shrinkToFit="false"/>
      <protection locked="true" hidden="false"/>
    </xf>
    <xf numFmtId="178" fontId="18" fillId="8" borderId="2" xfId="15" applyFont="true" applyBorder="true" applyAlignment="true" applyProtection="true">
      <alignment horizontal="center" vertical="center" textRotation="0" wrapText="false" indent="0" shrinkToFit="true"/>
      <protection locked="true" hidden="false"/>
    </xf>
    <xf numFmtId="178" fontId="18" fillId="8" borderId="13" xfId="15" applyFont="true" applyBorder="true" applyAlignment="true" applyProtection="true">
      <alignment horizontal="center" vertical="center" textRotation="0" wrapText="false" indent="0" shrinkToFit="false"/>
      <protection locked="true" hidden="false"/>
    </xf>
    <xf numFmtId="178" fontId="18" fillId="8" borderId="13" xfId="15" applyFont="true" applyBorder="true" applyAlignment="true" applyProtection="true">
      <alignment horizontal="center" vertical="center" textRotation="0" wrapText="false" indent="0" shrinkToFit="true"/>
      <protection locked="true" hidden="false"/>
    </xf>
    <xf numFmtId="164" fontId="0" fillId="8" borderId="40" xfId="0" applyFont="false" applyBorder="true" applyAlignment="false" applyProtection="false">
      <alignment horizontal="general" vertical="bottom" textRotation="0" wrapText="false" indent="0" shrinkToFit="false"/>
      <protection locked="true" hidden="false"/>
    </xf>
    <xf numFmtId="164" fontId="0" fillId="8" borderId="32" xfId="0" applyFont="false" applyBorder="true" applyAlignment="false" applyProtection="false">
      <alignment horizontal="general" vertical="bottom" textRotation="0" wrapText="false" indent="0" shrinkToFit="false"/>
      <protection locked="true" hidden="false"/>
    </xf>
    <xf numFmtId="164" fontId="0" fillId="8" borderId="72" xfId="0" applyFont="false" applyBorder="true" applyAlignment="false" applyProtection="false">
      <alignment horizontal="general" vertical="bottom" textRotation="0" wrapText="false" indent="0" shrinkToFit="false"/>
      <protection locked="true" hidden="false"/>
    </xf>
    <xf numFmtId="164" fontId="0" fillId="8" borderId="89" xfId="0" applyFont="false" applyBorder="true" applyAlignment="false" applyProtection="false">
      <alignment horizontal="general" vertical="bottom" textRotation="0" wrapText="false" indent="0" shrinkToFit="false"/>
      <protection locked="true" hidden="false"/>
    </xf>
    <xf numFmtId="178" fontId="18" fillId="2" borderId="13" xfId="15" applyFont="true" applyBorder="true" applyAlignment="true" applyProtection="true">
      <alignment horizontal="center" vertical="center" textRotation="0" wrapText="false" indent="0" shrinkToFit="true"/>
      <protection locked="true" hidden="false"/>
    </xf>
    <xf numFmtId="164" fontId="0" fillId="2" borderId="48" xfId="0" applyFont="false" applyBorder="true" applyAlignment="false" applyProtection="false">
      <alignment horizontal="general" vertical="bottom" textRotation="0" wrapText="false" indent="0" shrinkToFit="false"/>
      <protection locked="true" hidden="false"/>
    </xf>
    <xf numFmtId="164" fontId="0" fillId="2" borderId="47" xfId="0" applyFont="false" applyBorder="true" applyAlignment="false" applyProtection="false">
      <alignment horizontal="general" vertical="bottom" textRotation="0" wrapText="false" indent="0" shrinkToFit="false"/>
      <protection locked="true" hidden="false"/>
    </xf>
    <xf numFmtId="164" fontId="0" fillId="2" borderId="49" xfId="0" applyFont="false" applyBorder="true" applyAlignment="false" applyProtection="false">
      <alignment horizontal="general" vertical="bottom" textRotation="0" wrapText="false" indent="0" shrinkToFit="false"/>
      <protection locked="true" hidden="false"/>
    </xf>
    <xf numFmtId="164" fontId="32" fillId="0" borderId="30" xfId="0" applyFont="true" applyBorder="true" applyAlignment="true" applyProtection="false">
      <alignment horizontal="left" vertical="center" textRotation="0" wrapText="false" indent="0" shrinkToFit="false"/>
      <protection locked="true" hidden="false"/>
    </xf>
    <xf numFmtId="164" fontId="0" fillId="0" borderId="30" xfId="0" applyFont="true" applyBorder="true" applyAlignment="true" applyProtection="false">
      <alignment horizontal="left" vertical="bottom" textRotation="0" wrapText="false" indent="0" shrinkToFit="false"/>
      <protection locked="true" hidden="false"/>
    </xf>
    <xf numFmtId="164" fontId="0" fillId="4" borderId="13" xfId="0" applyFont="false" applyBorder="true" applyAlignment="true" applyProtection="true">
      <alignment horizontal="left" vertical="top" textRotation="0" wrapText="false" indent="0" shrinkToFit="false"/>
      <protection locked="false" hidden="false"/>
    </xf>
    <xf numFmtId="164" fontId="0" fillId="0" borderId="0"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24" fillId="0" borderId="3" xfId="22" applyFont="true" applyBorder="true" applyAlignment="false" applyProtection="false">
      <alignment horizontal="general" vertical="bottom" textRotation="0" wrapText="false" indent="0" shrinkToFit="false"/>
      <protection locked="true" hidden="false"/>
    </xf>
    <xf numFmtId="164" fontId="21" fillId="0" borderId="3" xfId="22" applyFont="true" applyBorder="true" applyAlignment="true" applyProtection="false">
      <alignment horizontal="center" vertical="center" textRotation="0" wrapText="false" indent="0" shrinkToFit="false"/>
      <protection locked="true" hidden="false"/>
    </xf>
    <xf numFmtId="164" fontId="0" fillId="4" borderId="0" xfId="22" applyFont="true" applyBorder="true" applyAlignment="true" applyProtection="true">
      <alignment horizontal="left" vertical="top" textRotation="0" wrapText="false" indent="0" shrinkToFit="false"/>
      <protection locked="false" hidden="false"/>
    </xf>
    <xf numFmtId="164" fontId="20" fillId="0" borderId="0" xfId="0" applyFont="true" applyBorder="false" applyAlignment="true" applyProtection="false">
      <alignment horizontal="left" vertical="center" textRotation="0" wrapText="false" indent="15" shrinkToFit="false"/>
      <protection locked="true" hidden="false"/>
    </xf>
    <xf numFmtId="164" fontId="67" fillId="0" borderId="13" xfId="0" applyFont="true" applyBorder="true" applyAlignment="true" applyProtection="false">
      <alignment horizontal="center" vertical="bottom" textRotation="0" wrapText="true" indent="0" shrinkToFit="false"/>
      <protection locked="true" hidden="false"/>
    </xf>
    <xf numFmtId="164" fontId="0" fillId="0" borderId="11" xfId="0" applyFont="true" applyBorder="true" applyAlignment="true" applyProtection="false">
      <alignment horizontal="center" vertical="bottom" textRotation="0" wrapText="true" indent="0" shrinkToFit="false"/>
      <protection locked="true" hidden="false"/>
    </xf>
    <xf numFmtId="164" fontId="0" fillId="0" borderId="12" xfId="0" applyFont="true" applyBorder="true" applyAlignment="true" applyProtection="false">
      <alignment horizontal="center" vertical="bottom" textRotation="0" wrapText="true" indent="0" shrinkToFit="false"/>
      <protection locked="true" hidden="false"/>
    </xf>
    <xf numFmtId="164" fontId="18" fillId="0" borderId="8" xfId="0" applyFont="true" applyBorder="true" applyAlignment="true" applyProtection="false">
      <alignment horizontal="right" vertical="center" textRotation="0" wrapText="true" indent="0" shrinkToFit="false"/>
      <protection locked="true" hidden="false"/>
    </xf>
    <xf numFmtId="189" fontId="18" fillId="0" borderId="8" xfId="17" applyFont="true" applyBorder="true" applyAlignment="true" applyProtection="true">
      <alignment horizontal="right" vertical="center" textRotation="0" wrapText="false" indent="0" shrinkToFit="true"/>
      <protection locked="true" hidden="false"/>
    </xf>
    <xf numFmtId="164" fontId="18" fillId="0" borderId="1" xfId="25" applyFont="true" applyBorder="true" applyAlignment="false" applyProtection="false">
      <alignment horizontal="general" vertical="bottom" textRotation="0" wrapText="false" indent="0" shrinkToFit="false"/>
      <protection locked="true" hidden="false"/>
    </xf>
    <xf numFmtId="164" fontId="0" fillId="0" borderId="2" xfId="0" applyFont="false" applyBorder="true" applyAlignment="true" applyProtection="false">
      <alignment horizontal="general" vertical="bottom" textRotation="0" wrapText="false" indent="0" shrinkToFit="true"/>
      <protection locked="true" hidden="false"/>
    </xf>
    <xf numFmtId="164" fontId="0" fillId="0" borderId="30" xfId="22" applyFont="true" applyBorder="true" applyAlignment="true" applyProtection="false">
      <alignment horizontal="general" vertical="top" textRotation="0" wrapText="true" indent="0" shrinkToFit="false"/>
      <protection locked="true" hidden="false"/>
    </xf>
    <xf numFmtId="169" fontId="18" fillId="0" borderId="30" xfId="0" applyFont="true" applyBorder="true" applyAlignment="true" applyProtection="false">
      <alignment horizontal="left" vertical="bottom" textRotation="0" wrapText="false" indent="0" shrinkToFit="false"/>
      <protection locked="true" hidden="false"/>
    </xf>
    <xf numFmtId="168" fontId="0" fillId="0" borderId="13" xfId="0" applyFont="false" applyBorder="true" applyAlignment="true" applyProtection="false">
      <alignment horizontal="left" vertical="bottom" textRotation="0" wrapText="false" indent="0" shrinkToFit="false"/>
      <protection locked="true" hidden="false"/>
    </xf>
    <xf numFmtId="169" fontId="0" fillId="0" borderId="13" xfId="22" applyFont="true" applyBorder="true" applyAlignment="true" applyProtection="false">
      <alignment horizontal="left" vertical="top" textRotation="0" wrapText="true" indent="0" shrinkToFit="false"/>
      <protection locked="true" hidden="false"/>
    </xf>
    <xf numFmtId="169" fontId="0" fillId="0" borderId="10" xfId="22" applyFont="true" applyBorder="true" applyAlignment="true" applyProtection="false">
      <alignment horizontal="left" vertical="top" textRotation="0" wrapText="true" indent="0" shrinkToFit="false"/>
      <protection locked="true" hidden="false"/>
    </xf>
    <xf numFmtId="164" fontId="18" fillId="4" borderId="2" xfId="0" applyFont="true" applyBorder="true" applyAlignment="true" applyProtection="true">
      <alignment horizontal="center" vertical="center" textRotation="0" wrapText="true" indent="0" shrinkToFit="false"/>
      <protection locked="fals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63" fillId="0" borderId="8" xfId="0" applyFont="true" applyBorder="true" applyAlignment="true" applyProtection="false">
      <alignment horizontal="center" vertical="center" textRotation="0" wrapText="true" indent="0" shrinkToFit="false"/>
      <protection locked="true" hidden="false"/>
    </xf>
    <xf numFmtId="164" fontId="47" fillId="0" borderId="4" xfId="0" applyFont="true" applyBorder="true" applyAlignment="true" applyProtection="false">
      <alignment horizontal="center" vertical="bottom" textRotation="0" wrapText="false" indent="0" shrinkToFit="false"/>
      <protection locked="true" hidden="false"/>
    </xf>
    <xf numFmtId="164" fontId="63" fillId="0" borderId="0" xfId="0" applyFont="true" applyBorder="false" applyAlignment="true" applyProtection="false">
      <alignment horizontal="center" vertical="center" textRotation="0" wrapText="true" indent="0" shrinkToFit="false"/>
      <protection locked="true" hidden="false"/>
    </xf>
    <xf numFmtId="177" fontId="18" fillId="0" borderId="10" xfId="0" applyFont="true" applyBorder="true" applyAlignment="true" applyProtection="false">
      <alignment horizontal="center" vertical="bottom" textRotation="0" wrapText="false" indent="0" shrinkToFit="false"/>
      <protection locked="true" hidden="false"/>
    </xf>
    <xf numFmtId="170" fontId="18" fillId="0" borderId="2" xfId="0" applyFont="true" applyBorder="true" applyAlignment="true" applyProtection="false">
      <alignment horizontal="center" vertical="bottom" textRotation="0" wrapText="false" indent="0" shrinkToFit="true"/>
      <protection locked="true" hidden="false"/>
    </xf>
    <xf numFmtId="187" fontId="0" fillId="0" borderId="3" xfId="0" applyFont="false" applyBorder="true" applyAlignment="true" applyProtection="false">
      <alignment horizontal="center" vertical="center" textRotation="0" wrapText="false" indent="0" shrinkToFit="false"/>
      <protection locked="true" hidden="false"/>
    </xf>
    <xf numFmtId="164" fontId="18" fillId="0" borderId="8" xfId="0" applyFont="true" applyBorder="true" applyAlignment="true" applyProtection="false">
      <alignment horizontal="center" vertical="bottom" textRotation="0" wrapText="false" indent="0" shrinkToFit="false"/>
      <protection locked="true" hidden="false"/>
    </xf>
    <xf numFmtId="164" fontId="18" fillId="0" borderId="72" xfId="0" applyFont="true" applyBorder="true" applyAlignment="false" applyProtection="false">
      <alignment horizontal="general" vertical="bottom" textRotation="0" wrapText="false" indent="0" shrinkToFit="false"/>
      <protection locked="true" hidden="false"/>
    </xf>
    <xf numFmtId="164" fontId="0" fillId="0" borderId="5" xfId="0" applyFont="false" applyBorder="true" applyAlignment="true" applyProtection="false">
      <alignment horizontal="general" vertical="bottom" textRotation="0" wrapText="true" indent="0" shrinkToFit="false"/>
      <protection locked="true" hidden="false"/>
    </xf>
    <xf numFmtId="164" fontId="0" fillId="0" borderId="31" xfId="0" applyFont="true" applyBorder="true" applyAlignment="true" applyProtection="false">
      <alignment horizontal="center" vertical="bottom" textRotation="0" wrapText="false" indent="0" shrinkToFit="false"/>
      <protection locked="true" hidden="false"/>
    </xf>
    <xf numFmtId="164" fontId="18" fillId="0" borderId="72" xfId="0" applyFont="true" applyBorder="true" applyAlignment="true" applyProtection="false">
      <alignment horizontal="center" vertical="bottom" textRotation="0" wrapText="false" indent="0" shrinkToFit="false"/>
      <protection locked="true" hidden="false"/>
    </xf>
    <xf numFmtId="164" fontId="0" fillId="0" borderId="38" xfId="0" applyFont="false" applyBorder="true" applyAlignment="true" applyProtection="false">
      <alignment horizontal="left" vertical="top" textRotation="0" wrapText="false" indent="0" shrinkToFit="false"/>
      <protection locked="true" hidden="false"/>
    </xf>
    <xf numFmtId="168" fontId="0" fillId="0" borderId="38" xfId="0" applyFont="false" applyBorder="true" applyAlignment="true" applyProtection="false">
      <alignment horizontal="center" vertical="center" textRotation="0" wrapText="true" indent="0" shrinkToFit="false"/>
      <protection locked="true" hidden="false"/>
    </xf>
    <xf numFmtId="164" fontId="0" fillId="0" borderId="39" xfId="0" applyFont="false" applyBorder="true" applyAlignment="true" applyProtection="false">
      <alignment horizontal="center" vertical="center" textRotation="0" wrapText="false" indent="0" shrinkToFit="false"/>
      <protection locked="true" hidden="false"/>
    </xf>
    <xf numFmtId="164" fontId="0" fillId="0" borderId="60" xfId="0" applyFont="false" applyBorder="true" applyAlignment="true" applyProtection="false">
      <alignment horizontal="center" vertical="center" textRotation="0" wrapText="false" indent="0" shrinkToFit="false"/>
      <protection locked="true" hidden="false"/>
    </xf>
    <xf numFmtId="170" fontId="0" fillId="0" borderId="80" xfId="0" applyFont="false" applyBorder="true" applyAlignment="true" applyProtection="false">
      <alignment horizontal="center" vertical="center" textRotation="0" wrapText="false" indent="0" shrinkToFit="false"/>
      <protection locked="true" hidden="false"/>
    </xf>
    <xf numFmtId="187" fontId="0" fillId="0" borderId="0" xfId="0" applyFont="false" applyBorder="false" applyAlignment="true" applyProtection="false">
      <alignment horizontal="center" vertical="center" textRotation="0" wrapText="false" indent="0" shrinkToFit="false"/>
      <protection locked="true" hidden="false"/>
    </xf>
    <xf numFmtId="168" fontId="0" fillId="4" borderId="87" xfId="0" applyFont="false" applyBorder="true" applyAlignment="true" applyProtection="true">
      <alignment horizontal="center" vertical="center" textRotation="0" wrapText="false" indent="0" shrinkToFit="false"/>
      <protection locked="false" hidden="false"/>
    </xf>
    <xf numFmtId="187" fontId="0" fillId="4" borderId="87" xfId="0" applyFont="false" applyBorder="true" applyAlignment="true" applyProtection="true">
      <alignment horizontal="center" vertical="center" textRotation="0" wrapText="false" indent="0" shrinkToFit="false"/>
      <protection locked="false" hidden="false"/>
    </xf>
    <xf numFmtId="187" fontId="0" fillId="4" borderId="42" xfId="0" applyFont="false" applyBorder="true" applyAlignment="true" applyProtection="true">
      <alignment horizontal="center" vertical="center" textRotation="0" wrapText="false" indent="0" shrinkToFit="false"/>
      <protection locked="false" hidden="false"/>
    </xf>
    <xf numFmtId="164" fontId="0" fillId="0" borderId="9" xfId="0" applyFont="true" applyBorder="true" applyAlignment="true" applyProtection="false">
      <alignment horizontal="center" vertical="center" textRotation="0" wrapText="true" indent="0" shrinkToFit="false"/>
      <protection locked="true" hidden="false"/>
    </xf>
    <xf numFmtId="164" fontId="0" fillId="2" borderId="90" xfId="0" applyFont="true" applyBorder="true" applyAlignment="true" applyProtection="false">
      <alignment horizontal="center" vertical="center" textRotation="0" wrapText="false" indent="0" shrinkToFit="false"/>
      <protection locked="true" hidden="false"/>
    </xf>
    <xf numFmtId="191" fontId="5" fillId="2" borderId="90" xfId="0" applyFont="true" applyBorder="true" applyAlignment="true" applyProtection="false">
      <alignment horizontal="center" vertical="bottom" textRotation="0" wrapText="false" indent="0" shrinkToFit="false"/>
      <protection locked="true" hidden="false"/>
    </xf>
    <xf numFmtId="191" fontId="5" fillId="2" borderId="77" xfId="0" applyFont="true" applyBorder="true" applyAlignment="true" applyProtection="false">
      <alignment horizontal="center" vertical="bottom" textRotation="0" wrapText="false" indent="0" shrinkToFit="false"/>
      <protection locked="true" hidden="false"/>
    </xf>
    <xf numFmtId="191" fontId="5" fillId="2" borderId="91" xfId="0" applyFont="true" applyBorder="true" applyAlignment="true" applyProtection="false">
      <alignment horizontal="center" vertical="bottom" textRotation="0" wrapText="false" indent="0" shrinkToFit="false"/>
      <protection locked="true" hidden="false"/>
    </xf>
    <xf numFmtId="191" fontId="5" fillId="2" borderId="78" xfId="0" applyFont="true" applyBorder="true" applyAlignment="true" applyProtection="false">
      <alignment horizontal="center" vertical="bottom" textRotation="0" wrapText="false" indent="0" shrinkToFit="false"/>
      <protection locked="true" hidden="false"/>
    </xf>
    <xf numFmtId="170" fontId="18" fillId="2" borderId="8" xfId="0" applyFont="true" applyBorder="true" applyAlignment="true" applyProtection="false">
      <alignment horizontal="center" vertical="center" textRotation="0" wrapText="false" indent="0" shrinkToFit="false"/>
      <protection locked="true" hidden="false"/>
    </xf>
    <xf numFmtId="164" fontId="0" fillId="0" borderId="40" xfId="0" applyFont="false" applyBorder="true" applyAlignment="true" applyProtection="false">
      <alignment horizontal="center" vertical="center" textRotation="0" wrapText="false" indent="0" shrinkToFit="false"/>
      <protection locked="true" hidden="false"/>
    </xf>
    <xf numFmtId="164" fontId="0" fillId="11" borderId="9" xfId="0" applyFont="false" applyBorder="true" applyAlignment="false" applyProtection="false">
      <alignment horizontal="general" vertical="bottom" textRotation="0" wrapText="false" indent="0" shrinkToFit="false"/>
      <protection locked="true" hidden="false"/>
    </xf>
    <xf numFmtId="164" fontId="0" fillId="11" borderId="0" xfId="0" applyFont="true" applyBorder="false" applyAlignment="true" applyProtection="false">
      <alignment horizontal="center" vertical="bottom" textRotation="0" wrapText="false" indent="0" shrinkToFit="false"/>
      <protection locked="true" hidden="false"/>
    </xf>
    <xf numFmtId="164" fontId="0" fillId="11" borderId="1" xfId="0" applyFont="true" applyBorder="true" applyAlignment="true" applyProtection="false">
      <alignment horizontal="center" vertical="bottom" textRotation="0" wrapText="false" indent="0" shrinkToFit="false"/>
      <protection locked="true" hidden="false"/>
    </xf>
    <xf numFmtId="164" fontId="47" fillId="0" borderId="0" xfId="0" applyFont="true" applyBorder="false" applyAlignment="false" applyProtection="false">
      <alignment horizontal="general" vertical="bottom" textRotation="0" wrapText="false" indent="0" shrinkToFit="false"/>
      <protection locked="true" hidden="false"/>
    </xf>
    <xf numFmtId="164" fontId="0" fillId="2" borderId="40" xfId="0" applyFont="true" applyBorder="true" applyAlignment="true" applyProtection="false">
      <alignment horizontal="center" vertical="center" textRotation="0" wrapText="false" indent="0" shrinkToFit="false"/>
      <protection locked="true" hidden="false"/>
    </xf>
    <xf numFmtId="187" fontId="0" fillId="2" borderId="40" xfId="0" applyFont="false" applyBorder="true" applyAlignment="true" applyProtection="false">
      <alignment horizontal="center" vertical="center" textRotation="0" wrapText="false" indent="0" shrinkToFit="false"/>
      <protection locked="true" hidden="false"/>
    </xf>
    <xf numFmtId="187" fontId="0" fillId="2" borderId="36" xfId="0" applyFont="false" applyBorder="true" applyAlignment="true" applyProtection="false">
      <alignment horizontal="center" vertical="center" textRotation="0" wrapText="false" indent="0" shrinkToFit="false"/>
      <protection locked="true" hidden="false"/>
    </xf>
    <xf numFmtId="187" fontId="0" fillId="2" borderId="60" xfId="0" applyFont="false" applyBorder="true" applyAlignment="true" applyProtection="false">
      <alignment horizontal="center" vertical="center" textRotation="0" wrapText="false" indent="0" shrinkToFit="false"/>
      <protection locked="true" hidden="false"/>
    </xf>
    <xf numFmtId="187" fontId="0" fillId="2" borderId="80" xfId="0" applyFont="false" applyBorder="true" applyAlignment="true" applyProtection="false">
      <alignment horizontal="center" vertical="center" textRotation="0" wrapText="false" indent="0" shrinkToFit="false"/>
      <protection locked="true" hidden="false"/>
    </xf>
    <xf numFmtId="164" fontId="0" fillId="11" borderId="90" xfId="0" applyFont="true" applyBorder="true" applyAlignment="true" applyProtection="false">
      <alignment horizontal="right" vertical="bottom" textRotation="0" wrapText="false" indent="0" shrinkToFit="false"/>
      <protection locked="true" hidden="false"/>
    </xf>
    <xf numFmtId="169" fontId="0" fillId="4" borderId="51" xfId="0" applyFont="false" applyBorder="true" applyAlignment="false" applyProtection="true">
      <alignment horizontal="general" vertical="bottom" textRotation="0" wrapText="false" indent="0" shrinkToFit="false"/>
      <protection locked="false" hidden="false"/>
    </xf>
    <xf numFmtId="169" fontId="0" fillId="4" borderId="92" xfId="0" applyFont="false" applyBorder="true" applyAlignment="false" applyProtection="true">
      <alignment horizontal="general" vertical="bottom" textRotation="0" wrapText="false" indent="0" shrinkToFit="false"/>
      <protection locked="false" hidden="false"/>
    </xf>
    <xf numFmtId="187" fontId="68" fillId="0" borderId="38" xfId="0" applyFont="true" applyBorder="true" applyAlignment="false" applyProtection="false">
      <alignment horizontal="general" vertical="bottom" textRotation="0" wrapText="false" indent="0" shrinkToFit="false"/>
      <protection locked="true" hidden="false"/>
    </xf>
    <xf numFmtId="164" fontId="0" fillId="0" borderId="93" xfId="0" applyFont="true" applyBorder="true" applyAlignment="true" applyProtection="false">
      <alignment horizontal="center" vertical="center" textRotation="0" wrapText="false" indent="0" shrinkToFit="false"/>
      <protection locked="true" hidden="false"/>
    </xf>
    <xf numFmtId="187" fontId="0" fillId="0" borderId="86" xfId="0" applyFont="false" applyBorder="true" applyAlignment="true" applyProtection="false">
      <alignment horizontal="center" vertical="center" textRotation="0" wrapText="false" indent="0" shrinkToFit="false"/>
      <protection locked="true" hidden="false"/>
    </xf>
    <xf numFmtId="187" fontId="0" fillId="0" borderId="68" xfId="0" applyFont="false" applyBorder="true" applyAlignment="true" applyProtection="false">
      <alignment horizontal="center" vertical="center" textRotation="0" wrapText="false" indent="0" shrinkToFit="false"/>
      <protection locked="true" hidden="false"/>
    </xf>
    <xf numFmtId="187" fontId="0" fillId="0" borderId="69" xfId="0" applyFont="false" applyBorder="true" applyAlignment="true" applyProtection="false">
      <alignment horizontal="center" vertical="center" textRotation="0" wrapText="false" indent="0" shrinkToFit="false"/>
      <protection locked="true" hidden="false"/>
    </xf>
    <xf numFmtId="187" fontId="0" fillId="0" borderId="70" xfId="0" applyFont="false" applyBorder="true" applyAlignment="true" applyProtection="false">
      <alignment horizontal="center" vertical="center" textRotation="0" wrapText="false" indent="0" shrinkToFit="false"/>
      <protection locked="true" hidden="false"/>
    </xf>
    <xf numFmtId="164" fontId="0" fillId="11" borderId="93" xfId="0" applyFont="true" applyBorder="true" applyAlignment="true" applyProtection="false">
      <alignment horizontal="right" vertical="bottom" textRotation="0" wrapText="false" indent="0" shrinkToFit="false"/>
      <protection locked="true" hidden="false"/>
    </xf>
    <xf numFmtId="169" fontId="0" fillId="4" borderId="44" xfId="0" applyFont="false" applyBorder="true" applyAlignment="false" applyProtection="true">
      <alignment horizontal="general" vertical="bottom" textRotation="0" wrapText="false" indent="0" shrinkToFit="false"/>
      <protection locked="false" hidden="false"/>
    </xf>
    <xf numFmtId="169" fontId="0" fillId="4" borderId="45" xfId="0" applyFont="false" applyBorder="true" applyAlignment="false" applyProtection="true">
      <alignment horizontal="general" vertical="bottom" textRotation="0" wrapText="false" indent="0" shrinkToFit="false"/>
      <protection locked="false" hidden="false"/>
    </xf>
    <xf numFmtId="164" fontId="21" fillId="2" borderId="8" xfId="0" applyFont="true" applyBorder="true" applyAlignment="true" applyProtection="false">
      <alignment horizontal="center" vertical="center" textRotation="0" wrapText="false" indent="0" shrinkToFit="false"/>
      <protection locked="true" hidden="false"/>
    </xf>
    <xf numFmtId="187" fontId="21" fillId="2" borderId="8" xfId="0" applyFont="true" applyBorder="true" applyAlignment="true" applyProtection="false">
      <alignment horizontal="center" vertical="center" textRotation="0" wrapText="false" indent="0" shrinkToFit="false"/>
      <protection locked="true" hidden="false"/>
    </xf>
    <xf numFmtId="187" fontId="21" fillId="2" borderId="11" xfId="0" applyFont="true" applyBorder="true" applyAlignment="true" applyProtection="false">
      <alignment horizontal="center" vertical="center" textRotation="0" wrapText="false" indent="0" shrinkToFit="false"/>
      <protection locked="true" hidden="false"/>
    </xf>
    <xf numFmtId="187" fontId="21" fillId="2" borderId="43" xfId="0" applyFont="true" applyBorder="true" applyAlignment="true" applyProtection="false">
      <alignment horizontal="center" vertical="center" textRotation="0" wrapText="false" indent="0" shrinkToFit="false"/>
      <protection locked="true" hidden="false"/>
    </xf>
    <xf numFmtId="187" fontId="21" fillId="2" borderId="12" xfId="0" applyFont="true" applyBorder="true" applyAlignment="true" applyProtection="false">
      <alignment horizontal="center" vertical="center" textRotation="0" wrapText="false" indent="0" shrinkToFit="false"/>
      <protection locked="true" hidden="false"/>
    </xf>
    <xf numFmtId="164" fontId="5" fillId="0" borderId="5" xfId="0" applyFont="true" applyBorder="true" applyAlignment="true" applyProtection="false">
      <alignment horizontal="right" vertical="bottom" textRotation="0" wrapText="false" indent="0" shrinkToFit="false"/>
      <protection locked="true" hidden="false"/>
    </xf>
    <xf numFmtId="187" fontId="0" fillId="0" borderId="0" xfId="0" applyFont="false" applyBorder="false" applyAlignment="false" applyProtection="false">
      <alignment horizontal="general" vertical="bottom" textRotation="0" wrapText="false" indent="0" shrinkToFit="false"/>
      <protection locked="true" hidden="false"/>
    </xf>
    <xf numFmtId="164" fontId="21" fillId="0" borderId="0" xfId="22" applyFont="true" applyBorder="fals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right" vertical="bottom" textRotation="0" wrapText="false" indent="0" shrinkToFit="false"/>
      <protection locked="true" hidden="false"/>
    </xf>
    <xf numFmtId="164" fontId="0" fillId="0" borderId="0" xfId="22" applyFont="true" applyBorder="false" applyAlignment="true" applyProtection="false">
      <alignment horizontal="left" vertical="center" textRotation="0" wrapText="false" indent="0" shrinkToFit="false"/>
      <protection locked="true" hidden="false"/>
    </xf>
    <xf numFmtId="164" fontId="0" fillId="0" borderId="0" xfId="22" applyFont="tru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true" applyProtection="false">
      <alignment horizontal="right" vertical="bottom" textRotation="0" wrapText="false" indent="0" shrinkToFit="false"/>
      <protection locked="true" hidden="false"/>
    </xf>
    <xf numFmtId="197" fontId="0" fillId="0" borderId="0" xfId="22" applyFont="true" applyBorder="false" applyAlignment="true" applyProtection="false">
      <alignment horizontal="left" vertical="bottom" textRotation="0" wrapText="false" indent="0" shrinkToFit="false"/>
      <protection locked="true" hidden="false"/>
    </xf>
    <xf numFmtId="168" fontId="0" fillId="4" borderId="0" xfId="22" applyFont="true" applyBorder="true" applyAlignment="true" applyProtection="true">
      <alignment horizontal="left" vertical="bottom" textRotation="0" wrapText="false" indent="0" shrinkToFit="false"/>
      <protection locked="false" hidden="false"/>
    </xf>
    <xf numFmtId="197" fontId="0" fillId="0" borderId="0" xfId="22" applyFont="true" applyBorder="true" applyAlignment="true" applyProtection="false">
      <alignment horizontal="right" vertical="bottom" textRotation="0" wrapText="false" indent="0" shrinkToFit="false"/>
      <protection locked="true" hidden="false"/>
    </xf>
    <xf numFmtId="178" fontId="0" fillId="0" borderId="0" xfId="15" applyFont="true" applyBorder="true" applyAlignment="true" applyProtection="true">
      <alignment horizontal="general" vertical="bottom" textRotation="0" wrapText="false" indent="0" shrinkToFit="false"/>
      <protection locked="true" hidden="false"/>
    </xf>
    <xf numFmtId="164" fontId="0" fillId="0" borderId="0" xfId="22" applyFont="true" applyBorder="false" applyAlignment="true" applyProtection="false">
      <alignment horizontal="left" vertical="bottom" textRotation="0" wrapText="false" indent="0" shrinkToFit="false"/>
      <protection locked="true" hidden="false"/>
    </xf>
    <xf numFmtId="164" fontId="0" fillId="0" borderId="0" xfId="22" applyFont="true" applyBorder="true" applyAlignment="true" applyProtection="false">
      <alignment horizontal="left" vertical="bottom" textRotation="0" wrapText="false" indent="0" shrinkToFit="false"/>
      <protection locked="true" hidden="false"/>
    </xf>
    <xf numFmtId="164" fontId="0" fillId="4" borderId="0" xfId="22" applyFont="true" applyBorder="false" applyAlignment="true" applyProtection="true">
      <alignment horizontal="general" vertical="top" textRotation="0" wrapText="false" indent="0" shrinkToFit="false"/>
      <protection locked="false" hidden="false"/>
    </xf>
    <xf numFmtId="164" fontId="0" fillId="0" borderId="0" xfId="22" applyFont="true" applyBorder="true" applyAlignment="true" applyProtection="false">
      <alignment horizontal="left" vertical="top" textRotation="0" wrapText="true" indent="0" shrinkToFit="true"/>
      <protection locked="true" hidden="false"/>
    </xf>
    <xf numFmtId="164" fontId="0" fillId="0" borderId="0" xfId="22" applyFont="true" applyBorder="true" applyAlignment="true" applyProtection="false">
      <alignment horizontal="left" vertical="top" textRotation="0" wrapText="true" indent="0" shrinkToFit="false"/>
      <protection locked="true" hidden="false"/>
    </xf>
    <xf numFmtId="164" fontId="0" fillId="0" borderId="0" xfId="22" applyFont="true" applyBorder="true" applyAlignment="true" applyProtection="false">
      <alignment horizontal="left" vertical="bottom" textRotation="0" wrapText="true" indent="0" shrinkToFit="false"/>
      <protection locked="true" hidden="false"/>
    </xf>
    <xf numFmtId="164" fontId="0" fillId="0" borderId="0" xfId="22" applyFont="true" applyBorder="true" applyAlignment="true" applyProtection="false">
      <alignment horizontal="general" vertical="center" textRotation="0" wrapText="false" indent="0" shrinkToFit="false"/>
      <protection locked="true" hidden="false"/>
    </xf>
    <xf numFmtId="164" fontId="0" fillId="0" borderId="51" xfId="22" applyFont="true" applyBorder="true" applyAlignment="true" applyProtection="false">
      <alignment horizontal="center" vertical="bottom" textRotation="0" wrapText="false" indent="0" shrinkToFit="false"/>
      <protection locked="true" hidden="false"/>
    </xf>
    <xf numFmtId="164" fontId="0" fillId="0" borderId="52" xfId="22" applyFont="true" applyBorder="true" applyAlignment="true" applyProtection="false">
      <alignment horizontal="center" vertical="center" textRotation="0" wrapText="true" indent="0" shrinkToFit="false"/>
      <protection locked="true" hidden="false"/>
    </xf>
    <xf numFmtId="164" fontId="0" fillId="0" borderId="92" xfId="22" applyFont="true" applyBorder="true" applyAlignment="true" applyProtection="false">
      <alignment horizontal="center" vertical="center" textRotation="0" wrapText="true" indent="0" shrinkToFit="false"/>
      <protection locked="true" hidden="false"/>
    </xf>
    <xf numFmtId="164" fontId="0" fillId="0" borderId="37" xfId="22" applyFont="true" applyBorder="true" applyAlignment="true" applyProtection="false">
      <alignment horizontal="right" vertical="bottom" textRotation="0" wrapText="false" indent="0" shrinkToFit="false"/>
      <protection locked="true" hidden="false"/>
    </xf>
    <xf numFmtId="190" fontId="18" fillId="0" borderId="38" xfId="15" applyFont="true" applyBorder="true" applyAlignment="true" applyProtection="true">
      <alignment horizontal="general" vertical="top" textRotation="0" wrapText="false" indent="0" shrinkToFit="true"/>
      <protection locked="true" hidden="false"/>
    </xf>
    <xf numFmtId="190" fontId="18" fillId="0" borderId="39" xfId="15" applyFont="true" applyBorder="true" applyAlignment="true" applyProtection="true">
      <alignment horizontal="general" vertical="top" textRotation="0" wrapText="false" indent="0" shrinkToFit="true"/>
      <protection locked="true" hidden="false"/>
    </xf>
    <xf numFmtId="164" fontId="0" fillId="0" borderId="44" xfId="22" applyFont="true" applyBorder="true" applyAlignment="true" applyProtection="false">
      <alignment horizontal="right" vertical="bottom" textRotation="0" wrapText="false" indent="0" shrinkToFit="false"/>
      <protection locked="true" hidden="false"/>
    </xf>
    <xf numFmtId="190" fontId="18" fillId="0" borderId="46" xfId="15" applyFont="true" applyBorder="true" applyAlignment="true" applyProtection="true">
      <alignment horizontal="right" vertical="top" textRotation="0" wrapText="false" indent="0" shrinkToFit="true"/>
      <protection locked="true" hidden="false"/>
    </xf>
    <xf numFmtId="170" fontId="18" fillId="0" borderId="46" xfId="19" applyFont="true" applyBorder="true" applyAlignment="true" applyProtection="true">
      <alignment horizontal="right" vertical="top" textRotation="0" wrapText="false" indent="0" shrinkToFit="true"/>
      <protection locked="true" hidden="false"/>
    </xf>
    <xf numFmtId="170" fontId="18" fillId="0" borderId="45" xfId="19" applyFont="true" applyBorder="true" applyAlignment="true" applyProtection="true">
      <alignment horizontal="right" vertical="top" textRotation="0" wrapText="false" indent="0" shrinkToFit="true"/>
      <protection locked="true" hidden="false"/>
    </xf>
    <xf numFmtId="164" fontId="0" fillId="4" borderId="0" xfId="22" applyFont="true" applyBorder="true" applyAlignment="true" applyProtection="true">
      <alignment horizontal="left" vertical="top" textRotation="0" wrapText="true" indent="0" shrinkToFit="false"/>
      <protection locked="false" hidden="false"/>
    </xf>
    <xf numFmtId="164" fontId="0" fillId="4" borderId="0" xfId="22" applyFont="true" applyBorder="false" applyAlignment="true" applyProtection="true">
      <alignment horizontal="general" vertical="top" textRotation="0" wrapText="true" indent="0" shrinkToFit="false"/>
      <protection locked="false" hidden="false"/>
    </xf>
    <xf numFmtId="164" fontId="0" fillId="0" borderId="3" xfId="22" applyFont="true" applyBorder="true" applyAlignment="false" applyProtection="false">
      <alignment horizontal="general" vertical="bottom" textRotation="0" wrapText="false" indent="0" shrinkToFit="false"/>
      <protection locked="true" hidden="false"/>
    </xf>
    <xf numFmtId="164" fontId="0" fillId="0" borderId="0" xfId="22" applyFont="true" applyBorder="true" applyAlignment="true" applyProtection="false">
      <alignment horizontal="left" vertical="top" textRotation="0" wrapText="false" indent="0" shrinkToFit="false"/>
      <protection locked="true" hidden="false"/>
    </xf>
    <xf numFmtId="164" fontId="4" fillId="0" borderId="0" xfId="24" applyFont="true" applyBorder="false" applyAlignment="false" applyProtection="false">
      <alignment horizontal="general" vertical="bottom" textRotation="0" wrapText="false" indent="0" shrinkToFit="false"/>
      <protection locked="true" hidden="false"/>
    </xf>
    <xf numFmtId="168" fontId="4" fillId="0" borderId="0" xfId="24" applyFont="true" applyBorder="false" applyAlignment="false" applyProtection="false">
      <alignment horizontal="general" vertical="bottom" textRotation="0" wrapText="false" indent="0" shrinkToFit="false"/>
      <protection locked="true" hidden="false"/>
    </xf>
    <xf numFmtId="164" fontId="70" fillId="16" borderId="0" xfId="24" applyFont="true" applyBorder="false" applyAlignment="true" applyProtection="false">
      <alignment horizontal="center" vertical="bottom" textRotation="0" wrapText="false" indent="0" shrinkToFit="false"/>
      <protection locked="true" hidden="false"/>
    </xf>
    <xf numFmtId="168" fontId="70" fillId="16" borderId="0" xfId="24" applyFont="true" applyBorder="false" applyAlignment="true" applyProtection="false">
      <alignment horizontal="center" vertical="bottom" textRotation="0" wrapText="false" indent="0" shrinkToFit="false"/>
      <protection locked="true" hidden="false"/>
    </xf>
    <xf numFmtId="168" fontId="0" fillId="0" borderId="8" xfId="24" applyFont="true" applyBorder="true" applyAlignment="true" applyProtection="false">
      <alignment horizontal="center" vertical="center" textRotation="0" wrapText="true" indent="0" shrinkToFit="false"/>
      <protection locked="true" hidden="false"/>
    </xf>
    <xf numFmtId="169" fontId="0" fillId="17" borderId="8" xfId="24" applyFont="true" applyBorder="true" applyAlignment="true" applyProtection="false">
      <alignment horizontal="center" vertical="center" textRotation="0" wrapText="false" indent="0" shrinkToFit="false"/>
      <protection locked="true" hidden="false"/>
    </xf>
    <xf numFmtId="198" fontId="0" fillId="0" borderId="8" xfId="24" applyFont="true" applyBorder="true" applyAlignment="true" applyProtection="false">
      <alignment horizontal="center" vertical="center" textRotation="0" wrapText="false" indent="0" shrinkToFit="false"/>
      <protection locked="true" hidden="false"/>
    </xf>
    <xf numFmtId="199" fontId="0" fillId="0" borderId="8" xfId="24" applyFont="true" applyBorder="true" applyAlignment="true" applyProtection="false">
      <alignment horizontal="center" vertical="center" textRotation="0" wrapText="false" indent="0" shrinkToFit="false"/>
      <protection locked="true" hidden="false"/>
    </xf>
    <xf numFmtId="198" fontId="0" fillId="17" borderId="8" xfId="24" applyFont="true" applyBorder="true" applyAlignment="true" applyProtection="false">
      <alignment horizontal="center" vertical="center" textRotation="0" wrapText="false" indent="0" shrinkToFit="false"/>
      <protection locked="true" hidden="false"/>
    </xf>
    <xf numFmtId="198" fontId="0" fillId="17" borderId="8" xfId="24" applyFont="true" applyBorder="true" applyAlignment="true" applyProtection="false">
      <alignment horizontal="center" vertical="center" textRotation="0" wrapText="true" indent="0" shrinkToFit="false"/>
      <protection locked="true" hidden="false"/>
    </xf>
    <xf numFmtId="173" fontId="0" fillId="0" borderId="8" xfId="24" applyFont="true" applyBorder="true" applyAlignment="true" applyProtection="false">
      <alignment horizontal="center" vertical="center" textRotation="0" wrapText="true" indent="0" shrinkToFit="false"/>
      <protection locked="true" hidden="false"/>
    </xf>
    <xf numFmtId="169" fontId="0" fillId="0" borderId="8" xfId="24" applyFont="true" applyBorder="true" applyAlignment="true" applyProtection="false">
      <alignment horizontal="center" vertical="center" textRotation="0" wrapText="false" indent="0" shrinkToFit="false"/>
      <protection locked="true" hidden="false"/>
    </xf>
    <xf numFmtId="164" fontId="0" fillId="0" borderId="8" xfId="24" applyFont="true" applyBorder="true" applyAlignment="true" applyProtection="false">
      <alignment horizontal="center" vertical="center" textRotation="0" wrapText="true" indent="0" shrinkToFit="false"/>
      <protection locked="true" hidden="false"/>
    </xf>
    <xf numFmtId="170" fontId="0" fillId="0" borderId="8" xfId="19" applyFont="true" applyBorder="true" applyAlignment="true" applyProtection="true">
      <alignment horizontal="center" vertical="center" textRotation="0" wrapText="false" indent="0" shrinkToFit="false"/>
      <protection locked="true" hidden="false"/>
    </xf>
    <xf numFmtId="164" fontId="0" fillId="0" borderId="31" xfId="24" applyFont="true" applyBorder="true" applyAlignment="true" applyProtection="false">
      <alignment horizontal="center" vertical="center" textRotation="0" wrapText="tru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_Composicao BDI v2.1" xfId="21"/>
    <cellStyle name="Normal 2" xfId="22"/>
    <cellStyle name="Normal 3" xfId="23"/>
    <cellStyle name="Normal 4" xfId="24"/>
    <cellStyle name="Normal_FICHA DE VERIFICAÇÃO PRELIMINAR - Plano R" xfId="25"/>
    <cellStyle name="Porcentagem 2" xfId="26"/>
    <cellStyle name="Título 5" xfId="27"/>
    <cellStyle name="Vírgula 2" xfId="28"/>
    <cellStyle name="*unknown*" xfId="20" builtinId="8"/>
  </cellStyles>
  <dxfs count="165">
    <dxf>
      <font>
        <color rgb="FFC0C0C0"/>
      </font>
      <fill>
        <patternFill>
          <bgColor rgb="FFC0C0C0"/>
        </patternFill>
      </fill>
      <border diagonalUp="false" diagonalDown="false">
        <left/>
        <right/>
        <top/>
        <bottom/>
        <diagonal/>
      </border>
    </dxf>
    <dxf>
      <font>
        <color rgb="FFC0C0C0"/>
      </font>
      <fill>
        <patternFill>
          <bgColor rgb="FFC0C0C0"/>
        </patternFill>
      </fill>
      <border diagonalUp="false" diagonalDown="false">
        <left/>
        <right/>
        <top/>
        <bottom/>
        <diagonal/>
      </border>
    </dxf>
    <dxf>
      <font>
        <color rgb="FFC0C0C0"/>
      </font>
      <fill>
        <patternFill>
          <bgColor rgb="FFC0C0C0"/>
        </patternFill>
      </fill>
      <border diagonalUp="false" diagonalDown="false">
        <left/>
        <right/>
        <top/>
        <bottom/>
        <diagonal/>
      </border>
    </dxf>
    <dxf>
      <font>
        <color rgb="FFC0C0C0"/>
      </font>
      <fill>
        <patternFill>
          <bgColor rgb="FFC0C0C0"/>
        </patternFill>
      </fill>
      <border diagonalUp="false" diagonalDown="false">
        <left/>
        <right/>
        <top/>
        <bottom/>
        <diagonal/>
      </border>
    </dxf>
    <dxf>
      <font>
        <b val="0"/>
        <color rgb="FFFF0000"/>
      </font>
    </dxf>
    <dxf>
      <font>
        <b val="0"/>
        <color rgb="FFFF0000"/>
      </font>
    </dxf>
    <dxf>
      <font>
        <b val="0"/>
        <color rgb="FFFFFFFF"/>
      </font>
      <fill>
        <patternFill/>
      </fill>
    </dxf>
    <dxf>
      <font>
        <b val="0"/>
        <color rgb="FFFFFFFF"/>
      </font>
      <fill>
        <patternFill/>
      </fill>
      <border diagonalUp="false" diagonalDown="false">
        <left/>
        <right/>
        <top/>
        <bottom/>
        <diagonal/>
      </border>
    </dxf>
    <dxf>
      <fill>
        <patternFill patternType="solid">
          <bgColor rgb="FF000000"/>
        </patternFill>
      </fill>
    </dxf>
    <dxf>
      <font>
        <color rgb="FFFF0000"/>
      </font>
    </dxf>
    <dxf>
      <font>
        <color rgb="FFFFFFFF"/>
      </font>
      <fill>
        <patternFill>
          <bgColor theme="0"/>
        </patternFill>
      </fill>
    </dxf>
    <dxf>
      <font>
        <color rgb="FFFFFFFF"/>
      </font>
      <fill>
        <patternFill>
          <bgColor theme="0"/>
        </patternFill>
      </fill>
    </dxf>
    <dxf>
      <font>
        <color rgb="FFFFFFFF"/>
      </font>
      <fill>
        <patternFill>
          <bgColor theme="0"/>
        </patternFill>
      </fill>
    </dxf>
    <dxf>
      <font>
        <color rgb="FFFFFFFF"/>
      </font>
      <fill>
        <patternFill>
          <bgColor theme="0"/>
        </patternFill>
      </fill>
    </dxf>
    <dxf>
      <font>
        <color rgb="FFFFFFFF"/>
      </font>
      <fill>
        <patternFill>
          <bgColor theme="0"/>
        </patternFill>
      </fill>
    </dxf>
    <dxf>
      <font>
        <color rgb="FFFFFFFF"/>
      </font>
      <fill>
        <patternFill>
          <bgColor theme="0"/>
        </patternFill>
      </fill>
    </dxf>
    <dxf>
      <font>
        <b val="1"/>
        <i val="0"/>
        <color rgb="FFFFFFFF"/>
      </font>
      <fill>
        <patternFill/>
      </fill>
      <border diagonalUp="false" diagonalDown="false">
        <left/>
        <right/>
        <top style="thin"/>
        <bottom/>
        <diagonal/>
      </border>
    </dxf>
    <dxf>
      <font>
        <b val="0"/>
        <color rgb="FFFF0000"/>
      </font>
      <border diagonalUp="false" diagonalDown="false">
        <left style="thin"/>
        <right style="thin"/>
        <top style="thin"/>
        <bottom style="thin"/>
        <diagonal/>
      </border>
    </dxf>
    <dxf>
      <font>
        <b val="0"/>
        <color rgb="FF008000"/>
      </font>
      <border diagonalUp="false" diagonalDown="false">
        <left style="thin"/>
        <right style="thin"/>
        <top style="thin"/>
        <bottom style="thin"/>
        <diagonal/>
      </border>
    </dxf>
    <dxf>
      <font>
        <b val="1"/>
        <i val="0"/>
      </font>
    </dxf>
    <dxf>
      <font>
        <b val="1"/>
        <i val="0"/>
        <color rgb="FFFF0000"/>
      </font>
    </dxf>
    <dxf>
      <font>
        <b val="1"/>
        <i val="0"/>
        <color rgb="FF0070C0"/>
      </font>
    </dxf>
    <dxf>
      <border diagonalUp="false" diagonalDown="false">
        <left/>
        <right/>
        <top style="thin"/>
        <bottom/>
        <diagonal/>
      </border>
    </dxf>
    <dxf>
      <font>
        <b val="1"/>
        <i val="0"/>
        <color rgb="FFFFFFFF"/>
      </font>
      <fill>
        <patternFill>
          <bgColor rgb="FFFF0000"/>
        </patternFill>
      </fill>
    </dxf>
    <dxf>
      <font>
        <b val="1"/>
        <i val="0"/>
      </font>
      <fill>
        <patternFill>
          <bgColor rgb="FF969696"/>
        </patternFill>
      </fill>
      <border diagonalUp="false" diagonalDown="false">
        <left/>
        <right/>
        <top style="thin"/>
        <bottom/>
        <diagonal/>
      </border>
    </dxf>
    <dxf>
      <font>
        <b val="1"/>
        <i val="0"/>
      </font>
      <fill>
        <patternFill>
          <bgColor rgb="FFC0C0C0"/>
        </patternFill>
      </fill>
    </dxf>
    <dxf>
      <font>
        <b val="0"/>
        <color rgb="FF969696"/>
      </font>
      <fill>
        <patternFill>
          <bgColor rgb="FF969696"/>
        </patternFill>
      </fill>
      <border diagonalUp="false" diagonalDown="false">
        <left/>
        <right/>
        <top style="thin"/>
        <bottom/>
        <diagonal/>
      </border>
    </dxf>
    <dxf>
      <font>
        <b val="0"/>
        <color rgb="FFC0C0C0"/>
      </font>
      <fill>
        <patternFill>
          <bgColor rgb="FFC0C0C0"/>
        </patternFill>
      </fill>
    </dxf>
    <dxf>
      <font>
        <b val="0"/>
        <color rgb="FFFFFFFF"/>
      </font>
      <fill>
        <patternFill/>
      </fill>
    </dxf>
    <dxf>
      <font>
        <b val="0"/>
        <color rgb="FF969696"/>
      </font>
      <fill>
        <patternFill>
          <bgColor rgb="FF969696"/>
        </patternFill>
      </fill>
      <border diagonalUp="false" diagonalDown="false">
        <left/>
        <right/>
        <top style="thin"/>
        <bottom/>
        <diagonal/>
      </border>
    </dxf>
    <dxf>
      <font>
        <b val="0"/>
        <color rgb="FFC0C0C0"/>
      </font>
      <fill>
        <patternFill>
          <bgColor rgb="FFC0C0C0"/>
        </patternFill>
      </fill>
    </dxf>
    <dxf>
      <font>
        <b val="0"/>
        <color rgb="FFFFFFFF"/>
      </font>
      <fill>
        <patternFill/>
      </fill>
      <border diagonalUp="false" diagonalDown="false">
        <left/>
        <right/>
        <top/>
        <bottom/>
        <diagonal/>
      </border>
    </dxf>
    <dxf>
      <font>
        <b val="0"/>
        <color rgb="FF969696"/>
      </font>
      <fill>
        <patternFill>
          <bgColor rgb="FF969696"/>
        </patternFill>
      </fill>
      <border diagonalUp="false" diagonalDown="false">
        <left/>
        <right/>
        <top style="thin"/>
        <bottom/>
        <diagonal/>
      </border>
    </dxf>
    <dxf>
      <font>
        <b val="0"/>
        <color rgb="FFC0C0C0"/>
      </font>
      <fill>
        <patternFill>
          <bgColor rgb="FFC0C0C0"/>
        </patternFill>
      </fill>
    </dxf>
    <dxf>
      <font>
        <b val="0"/>
        <color rgb="FFFFFFFF"/>
      </font>
      <fill>
        <patternFill/>
      </fill>
      <border diagonalUp="false" diagonalDown="false">
        <left/>
        <right/>
        <top/>
        <bottom/>
        <diagonal/>
      </border>
    </dxf>
    <dxf>
      <font>
        <b val="0"/>
        <color rgb="FF969696"/>
      </font>
      <fill>
        <patternFill>
          <bgColor rgb="FF969696"/>
        </patternFill>
      </fill>
      <border diagonalUp="false" diagonalDown="false">
        <left/>
        <right/>
        <top style="thin"/>
        <bottom/>
        <diagonal/>
      </border>
    </dxf>
    <dxf>
      <font>
        <b val="0"/>
        <color rgb="FFC0C0C0"/>
      </font>
      <fill>
        <patternFill>
          <bgColor rgb="FFC0C0C0"/>
        </patternFill>
      </fill>
    </dxf>
    <dxf>
      <font>
        <b val="0"/>
        <color rgb="FFFFFFFF"/>
      </font>
      <fill>
        <patternFill/>
      </fill>
      <border diagonalUp="false" diagonalDown="false">
        <left/>
        <right/>
        <top/>
        <bottom/>
        <diagonal/>
      </border>
    </dxf>
    <dxf>
      <font>
        <b val="1"/>
        <i val="0"/>
      </font>
      <fill>
        <patternFill>
          <bgColor rgb="FF969696"/>
        </patternFill>
      </fill>
      <border diagonalUp="false" diagonalDown="false">
        <left/>
        <right/>
        <top style="thin"/>
        <bottom/>
        <diagonal/>
      </border>
    </dxf>
    <dxf>
      <font>
        <b val="1"/>
        <i val="0"/>
      </font>
      <fill>
        <patternFill>
          <bgColor rgb="FFC0C0C0"/>
        </patternFill>
      </fill>
    </dxf>
    <dxf>
      <font>
        <b val="1"/>
        <i val="0"/>
        <color rgb="FFFF0000"/>
      </font>
    </dxf>
    <dxf>
      <border diagonalUp="false" diagonalDown="false">
        <left style="thin"/>
        <right style="thin"/>
        <top/>
        <bottom/>
        <diagonal/>
      </border>
    </dxf>
    <dxf>
      <fill>
        <patternFill patternType="solid">
          <fgColor rgb="FFFFFFFF"/>
          <bgColor rgb="FF000000"/>
        </patternFill>
      </fill>
    </dxf>
    <dxf>
      <font>
        <color rgb="FFFFFFFF"/>
      </font>
      <fill>
        <patternFill>
          <bgColor theme="0"/>
        </patternFill>
      </fill>
      <border diagonalUp="false" diagonalDown="false">
        <left/>
        <right/>
        <top/>
        <bottom/>
        <diagonal/>
      </border>
    </dxf>
    <dxf>
      <font>
        <color rgb="FFFFFFFF"/>
      </font>
      <fill>
        <patternFill/>
      </fill>
      <border diagonalUp="false" diagonalDown="false">
        <left/>
        <right/>
        <top/>
        <bottom/>
        <diagonal/>
      </border>
    </dxf>
    <dxf>
      <font>
        <color rgb="FFFF0000"/>
      </font>
    </dxf>
    <dxf>
      <font>
        <color rgb="FFFF0000"/>
      </font>
    </dxf>
    <dxf>
      <font>
        <color rgb="FFFF0000"/>
      </font>
    </dxf>
    <dxf>
      <font>
        <color rgb="FFFF0000"/>
      </font>
    </dxf>
    <dxf>
      <font>
        <b val="0"/>
        <color rgb="FFFFFFFF"/>
      </font>
      <fill>
        <patternFill/>
      </fill>
      <border diagonalUp="false" diagonalDown="false">
        <left/>
        <right/>
        <top/>
        <bottom/>
        <diagonal/>
      </border>
    </dxf>
    <dxf>
      <font>
        <b val="0"/>
        <color rgb="FFC0C0C0"/>
      </font>
      <fill>
        <patternFill>
          <bgColor rgb="FFC0C0C0"/>
        </patternFill>
      </fill>
    </dxf>
    <dxf>
      <font>
        <b val="0"/>
        <color rgb="FF969696"/>
      </font>
      <fill>
        <patternFill>
          <bgColor rgb="FF969696"/>
        </patternFill>
      </fill>
      <border diagonalUp="false" diagonalDown="false">
        <left/>
        <right/>
        <top style="thin"/>
        <bottom/>
        <diagonal/>
      </border>
    </dxf>
    <dxf>
      <font>
        <b val="1"/>
        <i val="0"/>
      </font>
      <fill>
        <patternFill>
          <bgColor rgb="FF969696"/>
        </patternFill>
      </fill>
      <border diagonalUp="false" diagonalDown="false">
        <left/>
        <right/>
        <top style="thin"/>
        <bottom/>
        <diagonal/>
      </border>
    </dxf>
    <dxf>
      <fill>
        <patternFill>
          <bgColor rgb="FFC0C0C0"/>
        </patternFill>
      </fill>
    </dxf>
    <dxf>
      <font>
        <b val="0"/>
        <color rgb="FFFFFFFF"/>
      </font>
      <fill>
        <patternFill/>
      </fill>
      <border diagonalUp="false" diagonalDown="false">
        <left/>
        <right/>
        <top/>
        <bottom/>
        <diagonal/>
      </border>
    </dxf>
    <dxf>
      <font>
        <b val="0"/>
        <color rgb="FFC0C0C0"/>
      </font>
      <fill>
        <patternFill>
          <bgColor rgb="FFC0C0C0"/>
        </patternFill>
      </fill>
    </dxf>
    <dxf>
      <font>
        <b val="0"/>
        <color rgb="FF969696"/>
      </font>
      <fill>
        <patternFill>
          <bgColor rgb="FF969696"/>
        </patternFill>
      </fill>
      <border diagonalUp="false" diagonalDown="false">
        <left/>
        <right/>
        <top style="thin"/>
        <bottom/>
        <diagonal/>
      </border>
    </dxf>
    <dxf>
      <font>
        <b val="0"/>
        <color rgb="FFFFFFFF"/>
      </font>
      <fill>
        <patternFill/>
      </fill>
      <border diagonalUp="false" diagonalDown="false">
        <left/>
        <right/>
        <top/>
        <bottom/>
        <diagonal/>
      </border>
    </dxf>
    <dxf>
      <font>
        <b val="0"/>
        <color rgb="FF969696"/>
      </font>
      <fill>
        <patternFill>
          <bgColor rgb="FF969696"/>
        </patternFill>
      </fill>
      <border diagonalUp="false" diagonalDown="false">
        <left/>
        <right/>
        <top style="thin"/>
        <bottom/>
        <diagonal/>
      </border>
    </dxf>
    <dxf>
      <font>
        <b val="0"/>
        <color rgb="FFC0C0C0"/>
      </font>
      <fill>
        <patternFill>
          <bgColor rgb="FFC0C0C0"/>
        </patternFill>
      </fill>
    </dxf>
    <dxf>
      <font>
        <color rgb="FFFF0000"/>
      </font>
    </dxf>
    <dxf>
      <font>
        <b val="1"/>
        <i val="0"/>
        <color rgb="FFFF0000"/>
      </font>
    </dxf>
    <dxf>
      <font>
        <color rgb="FFD9D9D9"/>
      </font>
    </dxf>
    <dxf>
      <font>
        <color rgb="FFFFFFFF"/>
      </font>
      <fill>
        <patternFill>
          <bgColor theme="0"/>
        </patternFill>
      </fill>
      <border diagonalUp="false" diagonalDown="false">
        <left/>
        <right/>
        <top/>
        <bottom/>
        <diagonal/>
      </border>
    </dxf>
    <dxf>
      <font>
        <color rgb="FFFFFFFF"/>
      </font>
      <fill>
        <patternFill>
          <bgColor theme="0"/>
        </patternFill>
      </fill>
      <border diagonalUp="false" diagonalDown="false">
        <left/>
        <right/>
        <top/>
        <bottom/>
        <diagonal/>
      </border>
    </dxf>
    <dxf>
      <font>
        <color rgb="FFFFFFFF"/>
      </font>
    </dxf>
    <dxf>
      <font>
        <color rgb="FFD9D9D9"/>
      </font>
    </dxf>
    <dxf>
      <font>
        <color rgb="FFFFFFFF"/>
      </font>
    </dxf>
    <dxf>
      <font>
        <color rgb="FFD9D9D9"/>
      </font>
    </dxf>
    <dxf>
      <font>
        <color rgb="FFBFBFBF"/>
      </font>
    </dxf>
    <dxf>
      <font>
        <color rgb="FFFFFFFF"/>
      </font>
      <border diagonalUp="false" diagonalDown="false">
        <left/>
        <right/>
        <top/>
        <bottom/>
        <diagonal/>
      </border>
    </dxf>
    <dxf>
      <font>
        <b val="0"/>
        <color rgb="FFC0C0C0"/>
      </font>
      <fill>
        <patternFill>
          <bgColor rgb="FFC0C0C0"/>
        </patternFill>
      </fill>
    </dxf>
    <dxf>
      <fill>
        <patternFill patternType="solid">
          <fgColor rgb="FF000000"/>
          <bgColor rgb="FF000000"/>
        </patternFill>
      </fill>
    </dxf>
    <dxf>
      <font>
        <color rgb="FFFF0000"/>
      </font>
      <fill>
        <patternFill>
          <bgColor rgb="FFFFFF99"/>
        </patternFill>
      </fill>
    </dxf>
    <dxf>
      <font>
        <b val="0"/>
        <color rgb="FF000000"/>
      </font>
      <fill>
        <patternFill>
          <bgColor rgb="FF9999FF"/>
        </patternFill>
      </fill>
    </dxf>
    <dxf>
      <font>
        <color rgb="FFFFFFFF"/>
      </font>
      <fill>
        <patternFill>
          <bgColor theme="0"/>
        </patternFill>
      </fill>
      <border diagonalUp="false" diagonalDown="false">
        <left/>
        <right/>
        <top/>
        <bottom/>
        <diagonal/>
      </border>
    </dxf>
    <dxf>
      <font>
        <b val="1"/>
        <i val="0"/>
        <color rgb="00FFFFFF"/>
      </font>
      <fill>
        <patternFill>
          <bgColor rgb="FFFF0000"/>
        </patternFill>
      </fill>
    </dxf>
    <dxf>
      <font>
        <b val="1"/>
        <i val="0"/>
        <color rgb="FFFF0000"/>
      </font>
    </dxf>
    <dxf>
      <font>
        <b val="1"/>
        <i val="0"/>
      </font>
      <fill>
        <patternFill>
          <bgColor rgb="FFFF0000"/>
        </patternFill>
      </fill>
    </dxf>
    <dxf>
      <font>
        <color rgb="FFFFFFFF"/>
      </font>
      <border diagonalUp="false" diagonalDown="false">
        <left/>
        <right/>
        <top/>
        <bottom/>
        <diagonal/>
      </border>
    </dxf>
    <dxf>
      <fill>
        <patternFill>
          <bgColor rgb="FFFFFF99"/>
        </patternFill>
      </fill>
    </dxf>
    <dxf>
      <font>
        <b val="0"/>
        <color rgb="FF000000"/>
      </font>
      <fill>
        <patternFill>
          <bgColor rgb="FFFFFF99"/>
        </patternFill>
      </fill>
    </dxf>
    <dxf>
      <fill>
        <patternFill>
          <bgColor rgb="FFC0C0C0"/>
        </patternFill>
      </fill>
    </dxf>
    <dxf>
      <fill>
        <patternFill>
          <bgColor rgb="FF969696"/>
        </patternFill>
      </fill>
    </dxf>
    <dxf>
      <fill>
        <patternFill>
          <bgColor rgb="FFC0C0C0"/>
        </patternFill>
      </fill>
    </dxf>
    <dxf>
      <font>
        <b val="1"/>
        <i val="0"/>
      </font>
      <fill>
        <patternFill>
          <bgColor rgb="FF969696"/>
        </patternFill>
      </fill>
      <border diagonalUp="false" diagonalDown="false">
        <left/>
        <right/>
        <top style="thin"/>
        <bottom/>
        <diagonal/>
      </border>
    </dxf>
    <dxf>
      <font>
        <color rgb="FFC0C0C0"/>
      </font>
    </dxf>
    <dxf>
      <font>
        <b val="0"/>
        <color rgb="FFFFFFFF"/>
      </font>
    </dxf>
    <dxf>
      <font>
        <b val="0"/>
        <color rgb="FFFFFFFF"/>
      </font>
      <border diagonalUp="false" diagonalDown="false">
        <left/>
        <right/>
        <top/>
        <bottom/>
        <diagonal/>
      </border>
    </dxf>
    <dxf>
      <font>
        <b val="0"/>
        <color rgb="FFBFBFBF"/>
      </font>
      <fill>
        <patternFill>
          <bgColor rgb="FFBFBFBF"/>
        </patternFill>
      </fill>
    </dxf>
    <dxf>
      <font>
        <b val="1"/>
        <i val="0"/>
        <color rgb="FFFFFFFF"/>
      </font>
      <fill>
        <patternFill>
          <bgColor rgb="FFFF0000"/>
        </patternFill>
      </fill>
    </dxf>
    <dxf>
      <font>
        <b val="0"/>
        <color rgb="FFBFBFBF"/>
      </font>
      <fill>
        <patternFill>
          <bgColor rgb="FFBFBFBF"/>
        </patternFill>
      </fill>
    </dxf>
    <dxf>
      <font>
        <b val="1"/>
        <i val="0"/>
        <color rgb="FFFFFFFF"/>
      </font>
      <fill>
        <patternFill>
          <bgColor rgb="FFFF0000"/>
        </patternFill>
      </fill>
    </dxf>
    <dxf>
      <font>
        <b val="1"/>
        <i val="0"/>
        <color rgb="FFFFFFFF"/>
      </font>
      <fill>
        <patternFill>
          <bgColor rgb="FFFF0000"/>
        </patternFill>
      </fill>
    </dxf>
    <dxf>
      <font>
        <b val="1"/>
        <i val="0"/>
        <color rgb="FFFFFFFF"/>
      </font>
      <fill>
        <patternFill>
          <bgColor rgb="FFFF0000"/>
        </patternFill>
      </fill>
    </dxf>
    <dxf>
      <font>
        <b val="0"/>
        <color rgb="FFFFFFFF"/>
      </font>
    </dxf>
    <dxf>
      <font>
        <color rgb="FFFF0000"/>
      </font>
    </dxf>
    <dxf>
      <font>
        <b val="1"/>
        <i val="0"/>
        <color rgb="FFFF0000"/>
      </font>
    </dxf>
    <dxf>
      <font>
        <color rgb="FFD9D9D9"/>
      </font>
    </dxf>
    <dxf>
      <font>
        <color rgb="FFFFFFFF"/>
      </font>
    </dxf>
    <dxf>
      <fill>
        <patternFill>
          <bgColor rgb="FFFFC000"/>
        </patternFill>
      </fill>
    </dxf>
    <dxf>
      <font>
        <b val="0"/>
        <color rgb="FFC0C0C0"/>
      </font>
      <fill>
        <patternFill>
          <bgColor rgb="FFC0C0C0"/>
        </patternFill>
      </fill>
    </dxf>
    <dxf>
      <font>
        <b val="1"/>
        <i val="0"/>
      </font>
      <fill>
        <patternFill>
          <bgColor rgb="FF339966"/>
        </patternFill>
      </fill>
    </dxf>
    <dxf>
      <font>
        <b val="1"/>
        <i val="0"/>
      </font>
      <fill>
        <patternFill>
          <bgColor rgb="FF339966"/>
        </patternFill>
      </fill>
    </dxf>
    <dxf>
      <font>
        <b val="1"/>
        <i val="0"/>
      </font>
      <fill>
        <patternFill>
          <bgColor rgb="FF339966"/>
        </patternFill>
      </fill>
    </dxf>
    <dxf>
      <font>
        <b val="1"/>
        <i val="0"/>
      </font>
      <fill>
        <patternFill>
          <bgColor rgb="FF339966"/>
        </patternFill>
      </fill>
    </dxf>
    <dxf>
      <font>
        <b val="1"/>
        <i val="0"/>
      </font>
      <fill>
        <patternFill>
          <bgColor rgb="FF339966"/>
        </patternFill>
      </fill>
    </dxf>
    <dxf>
      <font>
        <b val="0"/>
        <color rgb="FFFFFFFF"/>
      </font>
      <border diagonalUp="false" diagonalDown="false">
        <left/>
        <right style="thin"/>
        <top/>
        <bottom/>
        <diagonal/>
      </border>
    </dxf>
    <dxf>
      <font>
        <b val="0"/>
        <color rgb="FFFFFFFF"/>
      </font>
      <fill>
        <patternFill/>
      </fill>
      <border diagonalUp="false" diagonalDown="false">
        <left/>
        <right/>
        <top/>
        <bottom/>
        <diagonal/>
      </border>
    </dxf>
    <dxf>
      <font>
        <b val="0"/>
        <color rgb="FFFF0000"/>
      </font>
    </dxf>
    <dxf>
      <font>
        <b val="0"/>
        <color rgb="FFFFFFFF"/>
      </font>
      <fill>
        <patternFill/>
      </fill>
      <border diagonalUp="false" diagonalDown="false">
        <left/>
        <right/>
        <top/>
        <bottom/>
        <diagonal/>
      </border>
    </dxf>
    <dxf>
      <font>
        <b val="0"/>
        <color rgb="FFC0C0C0"/>
      </font>
      <fill>
        <patternFill>
          <bgColor rgb="FFC0C0C0"/>
        </patternFill>
      </fill>
    </dxf>
    <dxf>
      <font>
        <b val="1"/>
        <i val="0"/>
      </font>
      <fill>
        <patternFill>
          <bgColor rgb="FF339966"/>
        </patternFill>
      </fill>
    </dxf>
    <dxf>
      <font>
        <b val="1"/>
        <i val="0"/>
      </font>
      <fill>
        <patternFill>
          <bgColor rgb="FF339966"/>
        </patternFill>
      </fill>
    </dxf>
    <dxf>
      <font>
        <color rgb="FFFF0000"/>
      </font>
    </dxf>
    <dxf>
      <font>
        <b val="1"/>
        <i val="0"/>
      </font>
      <fill>
        <patternFill>
          <bgColor rgb="FFFFCC00"/>
        </patternFill>
      </fill>
    </dxf>
    <dxf>
      <font>
        <b val="1"/>
        <i val="0"/>
      </font>
      <fill>
        <patternFill>
          <bgColor rgb="FF969696"/>
        </patternFill>
      </fill>
      <border diagonalUp="false" diagonalDown="false">
        <left/>
        <right/>
        <top style="thin"/>
        <bottom/>
        <diagonal/>
      </border>
    </dxf>
    <dxf>
      <font>
        <b val="1"/>
        <i val="0"/>
      </font>
      <fill>
        <patternFill>
          <bgColor rgb="FFC0C0C0"/>
        </patternFill>
      </fill>
    </dxf>
    <dxf>
      <font>
        <b val="1"/>
        <i val="0"/>
        <color rgb="FF969696"/>
      </font>
      <fill>
        <patternFill>
          <bgColor rgb="FF969696"/>
        </patternFill>
      </fill>
      <border diagonalUp="false" diagonalDown="false">
        <left/>
        <right/>
        <top style="thin"/>
        <bottom/>
        <diagonal/>
      </border>
    </dxf>
    <dxf>
      <font>
        <b val="0"/>
        <color rgb="FFC0C0C0"/>
      </font>
      <fill>
        <patternFill>
          <bgColor rgb="FFC0C0C0"/>
        </patternFill>
      </fill>
    </dxf>
    <dxf>
      <font>
        <b val="1"/>
        <i val="0"/>
        <color rgb="FFFF0000"/>
      </font>
    </dxf>
    <dxf>
      <font>
        <b val="0"/>
        <color rgb="FFFFFFFF"/>
      </font>
    </dxf>
    <dxf>
      <font>
        <b val="1"/>
        <i val="0"/>
        <color rgb="FFFFFFFF"/>
      </font>
      <fill>
        <patternFill>
          <bgColor rgb="FFFF0000"/>
        </patternFill>
      </fill>
    </dxf>
    <dxf>
      <fill>
        <patternFill>
          <bgColor rgb="FFFFCC00"/>
        </patternFill>
      </fill>
    </dxf>
    <dxf>
      <font>
        <b val="0"/>
        <color rgb="FFBFBFBF"/>
      </font>
      <fill>
        <patternFill>
          <bgColor rgb="FFBFBFBF"/>
        </patternFill>
      </fill>
    </dxf>
    <dxf>
      <font>
        <b val="0"/>
        <color rgb="FFFFFFFF"/>
      </font>
      <fill>
        <patternFill/>
      </fill>
    </dxf>
    <dxf>
      <font>
        <b val="1"/>
        <i val="0"/>
        <color rgb="FFFFFFFF"/>
      </font>
      <fill>
        <patternFill>
          <bgColor rgb="FFFF0000"/>
        </patternFill>
      </fill>
    </dxf>
    <dxf>
      <font>
        <b val="1"/>
        <i val="0"/>
        <color rgb="FFFFFFFF"/>
      </font>
      <fill>
        <patternFill>
          <bgColor rgb="FFFF0000"/>
        </patternFill>
      </fill>
    </dxf>
    <dxf>
      <font>
        <b val="1"/>
        <i val="0"/>
        <color rgb="FFFFFFFF"/>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1"/>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1"/>
        <i val="0"/>
      </font>
    </dxf>
    <dxf>
      <fill>
        <patternFill>
          <bgColor rgb="FFFF0000"/>
        </patternFill>
      </fill>
    </dxf>
    <dxf>
      <fill>
        <patternFill>
          <bgColor rgb="FFFF0000"/>
        </patternFill>
      </fill>
    </dxf>
    <dxf>
      <fill>
        <patternFill>
          <bgColor rgb="FFFF0000"/>
        </patternFill>
      </fill>
    </dxf>
    <dxf>
      <fill>
        <patternFill>
          <bgColor rgb="FFFF0000"/>
        </patternFill>
      </fill>
    </dxf>
    <dxf>
      <font>
        <b val="1"/>
        <i val="0"/>
      </font>
    </dxf>
    <dxf>
      <fill>
        <patternFill>
          <bgColor rgb="FFFF0000"/>
        </patternFill>
      </fill>
    </dxf>
    <dxf>
      <fill>
        <patternFill>
          <bgColor rgb="FFFF0000"/>
        </patternFill>
      </fill>
    </dxf>
  </dxfs>
  <colors>
    <indexedColors>
      <rgbColor rgb="FF000000"/>
      <rgbColor rgb="FFFFFFFF"/>
      <rgbColor rgb="FFFF0000"/>
      <rgbColor rgb="FF00FF00"/>
      <rgbColor rgb="FF0000FF"/>
      <rgbColor rgb="FFDFDFDF"/>
      <rgbColor rgb="FFFF00FF"/>
      <rgbColor rgb="FF00FFFF"/>
      <rgbColor rgb="FF800000"/>
      <rgbColor rgb="FF008000"/>
      <rgbColor rgb="FF000080"/>
      <rgbColor rgb="FF808000"/>
      <rgbColor rgb="FF800080"/>
      <rgbColor rgb="FF0070C0"/>
      <rgbColor rgb="FFC0C0C0"/>
      <rgbColor rgb="FF808080"/>
      <rgbColor rgb="FF9999FF"/>
      <rgbColor rgb="FF993366"/>
      <rgbColor rgb="FFF2F2F2"/>
      <rgbColor rgb="FFF2F2FF"/>
      <rgbColor rgb="FF660066"/>
      <rgbColor rgb="FFD9D9D9"/>
      <rgbColor rgb="FF0563C1"/>
      <rgbColor rgb="FFCCCCFF"/>
      <rgbColor rgb="FF000080"/>
      <rgbColor rgb="FFFF00FF"/>
      <rgbColor rgb="FFFFFF00"/>
      <rgbColor rgb="FF00FFFF"/>
      <rgbColor rgb="FF800080"/>
      <rgbColor rgb="FF800000"/>
      <rgbColor rgb="FF008080"/>
      <rgbColor rgb="FF0000FF"/>
      <rgbColor rgb="FF00CCFF"/>
      <rgbColor rgb="FFF3F3FF"/>
      <rgbColor rgb="FFF0F0F0"/>
      <rgbColor rgb="FFFFFF99"/>
      <rgbColor rgb="FF99CCFF"/>
      <rgbColor rgb="FFBFBFBF"/>
      <rgbColor rgb="FFA8A8A8"/>
      <rgbColor rgb="FFFFCC99"/>
      <rgbColor rgb="FF3366FF"/>
      <rgbColor rgb="FF33CCCC"/>
      <rgbColor rgb="FF99CC00"/>
      <rgbColor rgb="FFFFCC00"/>
      <rgbColor rgb="FFFFC0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microsoft.com/office/2006/relationships/vbaProject" Target="vbaProject.bin"/><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sharedStrings" Target="sharedStrings.xml"/>
</Relationships>
</file>

<file path=xl/ctrlProps/ctrlProps3.xml><?xml version="1.0" encoding="utf-8"?>
<formControlPr xmlns="http://schemas.microsoft.com/office/spreadsheetml/2009/9/main" objectType="CheckBox" checked="Checked" autoLine="false" print="true" fmlaLink="MENU!$K$1" lockText="1" noThreeD="1"/>
</file>

<file path=xl/ctrlProps/ctrlProps4.xml><?xml version="1.0" encoding="utf-8"?>
<formControlPr xmlns="http://schemas.microsoft.com/office/spreadsheetml/2009/9/main" objectType="CheckBox" checked="Checked" autoLine="false" print="true" fmlaLink="MENU!$K$2" lockText="1" noThreeD="1"/>
</file>

<file path=xl/ctrlProps/ctrlProps8.xml><?xml version="1.0" encoding="utf-8"?>
<formControlPr xmlns="http://schemas.microsoft.com/office/spreadsheetml/2009/9/main" objectType="CheckBox" autoLine="false" print="false" fmlaLink="NOVO!$AF$7" lockText="1" noThreeD="1"/>
</file>

<file path=xl/ctrlProps/ctrlProps9.xml><?xml version="1.0" encoding="utf-8"?>
<formControlPr xmlns="http://schemas.microsoft.com/office/spreadsheetml/2009/9/main" objectType="CheckBox" checked="Checked" autoLine="false" print="false" fmlaLink="ORÇAMENTO!$AF$8" lockText="1" noThreeD="1"/>
</file>

<file path=xl/ctrlProps/ctrlProps10.xml><?xml version="1.0" encoding="utf-8"?>
<formControlPr xmlns="http://schemas.microsoft.com/office/spreadsheetml/2009/9/main" objectType="CheckBox" checked="Checked" autoLine="false" print="false" fmlaLink="ORÇAMENTO!$AF$9" lockText="1" noThreeD="1"/>
</file>

<file path=xl/ctrlProps/ctrlProps11.xml><?xml version="1.0" encoding="utf-8"?>
<formControlPr xmlns="http://schemas.microsoft.com/office/spreadsheetml/2009/9/main" objectType="CheckBox" checked="Checked" autoLine="false" print="false" fmlaLink="ORÇAMENTO!$AF$10" lockText="1" noThreeD="1"/>
</file>

<file path=xl/ctrlProps/ctrlProps12.xml><?xml version="1.0" encoding="utf-8"?>
<formControlPr xmlns="http://schemas.microsoft.com/office/spreadsheetml/2009/9/main" objectType="CheckBox" checked="Checked" autoLine="false" print="false" fmlaLink="ORÇAMENTO!$AF$11" lockText="1" noThreeD="1"/>
</file>

<file path=xl/ctrlProps/ctrlProps20.xml><?xml version="1.0" encoding="utf-8"?>
<formControlPr xmlns="http://schemas.microsoft.com/office/spreadsheetml/2009/9/main" objectType="CheckBox" autoLine="false" print="false" fmlaLink="NOVO!$A$9" lockText="1" noThreeD="1"/>
</file>

<file path=xl/drawings/_rels/drawing1.xml.rels><?xml version="1.0" encoding="UTF-8"?>
<Relationships xmlns="http://schemas.openxmlformats.org/package/2006/relationships"><Relationship Id="rId1" Type="http://schemas.openxmlformats.org/officeDocument/2006/relationships/hyperlink" Target="#MENU!E6"/>
</Relationships>
</file>

<file path=xl/drawings/_rels/drawing2.xml.rels><?xml version="1.0" encoding="UTF-8"?>
<Relationships xmlns="http://schemas.openxmlformats.org/package/2006/relationships"><Relationship Id="rId1" Type="http://schemas.openxmlformats.org/officeDocument/2006/relationships/image" Target="../media/image1.wmf"/>
</Relationships>
</file>

<file path=xl/drawings/_rels/drawing5.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hyperlink" Target="#BDI!J14"/>
</Relationships>
</file>

<file path=xl/drawings/_rels/drawing6.xml.rels><?xml version="1.0" encoding="UTF-8"?>
<Relationships xmlns="http://schemas.openxmlformats.org/package/2006/relationships"><Relationship Id="rId1" Type="http://schemas.openxmlformats.org/officeDocument/2006/relationships/image" Target="../media/image2.wmf"/><Relationship Id="rId2" Type="http://schemas.openxmlformats.org/officeDocument/2006/relationships/hyperlink" Target="#MENU!E6"/><Relationship Id="rId3" Type="http://schemas.openxmlformats.org/officeDocument/2006/relationships/hyperlink" Target="#OR&#199;AMENTO!M13"/>
</Relationships>
</file>

<file path=xl/drawings/_rels/drawing7.xml.rels><?xml version="1.0" encoding="UTF-8"?>
<Relationships xmlns="http://schemas.openxmlformats.org/package/2006/relationships"><Relationship Id="rId1" Type="http://schemas.openxmlformats.org/officeDocument/2006/relationships/image" Target="../media/image2.wmf"/><Relationship Id="rId2" Type="http://schemas.openxmlformats.org/officeDocument/2006/relationships/hyperlink" Target="#MENU!E6"/><Relationship Id="rId3" Type="http://schemas.openxmlformats.org/officeDocument/2006/relationships/hyperlink" Target="#BDI!J14"/><Relationship Id="rId4" Type="http://schemas.openxmlformats.org/officeDocument/2006/relationships/hyperlink" Target="#C&#193;LCULO!I16"/>
</Relationships>
</file>

<file path=xl/drawings/_rels/drawing13.xml.rels><?xml version="1.0" encoding="UTF-8"?>
<Relationships xmlns="http://schemas.openxmlformats.org/package/2006/relationships"><Relationship Id="rId1" Type="http://schemas.openxmlformats.org/officeDocument/2006/relationships/hyperlink" Target="#C&#193;LCULO!A1"/><Relationship Id="rId2" Type="http://schemas.openxmlformats.org/officeDocument/2006/relationships/image" Target="../media/image2.wmf"/><Relationship Id="rId3" Type="http://schemas.openxmlformats.org/officeDocument/2006/relationships/hyperlink" Target="#MENU!E6"/><Relationship Id="rId4" Type="http://schemas.openxmlformats.org/officeDocument/2006/relationships/hyperlink" Target="#OR&#199;AMENTO!M13"/>
</Relationships>
</file>

<file path=xl/drawings/_rels/drawing14.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hyperlink" Target="#OR&#199;AMENTO!M13"/><Relationship Id="rId3" Type="http://schemas.openxmlformats.org/officeDocument/2006/relationships/image" Target="../media/image2.wmf"/>
</Relationships>
</file>

<file path=xl/drawings/_rels/drawing15.xml.rels><?xml version="1.0" encoding="UTF-8"?>
<Relationships xmlns="http://schemas.openxmlformats.org/package/2006/relationships"><Relationship Id="rId1" Type="http://schemas.openxmlformats.org/officeDocument/2006/relationships/hyperlink" Target="#EVENTOS!D15"/><Relationship Id="rId2" Type="http://schemas.openxmlformats.org/officeDocument/2006/relationships/image" Target="../media/image2.wmf"/><Relationship Id="rId3" Type="http://schemas.openxmlformats.org/officeDocument/2006/relationships/hyperlink" Target="#MENU!E6"/><Relationship Id="rId4" Type="http://schemas.openxmlformats.org/officeDocument/2006/relationships/hyperlink" Target="#CRONO!E7"/><Relationship Id="rId5" Type="http://schemas.openxmlformats.org/officeDocument/2006/relationships/hyperlink" Target="#C&#193;LCULO!Q12"/>
</Relationships>
</file>

<file path=xl/drawings/_rels/drawing16.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image" Target="../media/image2.wmf"/><Relationship Id="rId3" Type="http://schemas.openxmlformats.org/officeDocument/2006/relationships/hyperlink" Target="#QCI!H13"/><Relationship Id="rId4" Type="http://schemas.openxmlformats.org/officeDocument/2006/relationships/hyperlink" Target="#OR&#199;AMENTO!T16"/>
</Relationships>
</file>

<file path=xl/drawings/_rels/drawing17.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image" Target="../media/image2.wmf"/><Relationship Id="rId3" Type="http://schemas.openxmlformats.org/officeDocument/2006/relationships/hyperlink" Target="#DADOS!E21"/>
</Relationships>
</file>

<file path=xl/drawings/_rels/drawing18.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hyperlink" Target="#C&#193;LCULO!D13"/><Relationship Id="rId3" Type="http://schemas.openxmlformats.org/officeDocument/2006/relationships/hyperlink" Target="#RRE!E13"/><Relationship Id="rId4" Type="http://schemas.openxmlformats.org/officeDocument/2006/relationships/image" Target="../media/image2.wmf"/><Relationship Id="rId5" Type="http://schemas.openxmlformats.org/officeDocument/2006/relationships/hyperlink" Target="#CRONOPLE!G15"/>
</Relationships>
</file>

<file path=xl/drawings/_rels/drawing19.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hyperlink" Target="#CRONO!T14"/><Relationship Id="rId3" Type="http://schemas.openxmlformats.org/officeDocument/2006/relationships/image" Target="../media/image2.wmf"/><Relationship Id="rId4" Type="http://schemas.openxmlformats.org/officeDocument/2006/relationships/hyperlink" Target="#RRE!E13"/><Relationship Id="rId5" Type="http://schemas.openxmlformats.org/officeDocument/2006/relationships/hyperlink" Target="#DADOS!F40"/>
</Relationships>
</file>

<file path=xl/drawings/_rels/drawing21.xml.rels><?xml version="1.0" encoding="UTF-8"?>
<Relationships xmlns="http://schemas.openxmlformats.org/package/2006/relationships"><Relationship Id="rId1" Type="http://schemas.openxmlformats.org/officeDocument/2006/relationships/hyperlink" Target="#MENU!E6"/><Relationship Id="rId2" Type="http://schemas.openxmlformats.org/officeDocument/2006/relationships/image" Target="../media/image2.wmf"/><Relationship Id="rId3" Type="http://schemas.openxmlformats.org/officeDocument/2006/relationships/hyperlink" Target="#OF&#205;CIO:OF&#205;CIO!$F:$F"/>
</Relationships>
</file>

<file path=xl/drawings/_rels/drawing22.xml.rels><?xml version="1.0" encoding="UTF-8"?>
<Relationships xmlns="http://schemas.openxmlformats.org/package/2006/relationships"><Relationship Id="rId1" Type="http://schemas.openxmlformats.org/officeDocument/2006/relationships/hyperlink" Target="#DADOS!E46"/><Relationship Id="rId2" Type="http://schemas.openxmlformats.org/officeDocument/2006/relationships/hyperlink" Target="#RRE!E13"/><Relationship Id="rId3" Type="http://schemas.openxmlformats.org/officeDocument/2006/relationships/hyperlink" Target="#MENU!E6"/>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104760</xdr:colOff>
      <xdr:row>0</xdr:row>
      <xdr:rowOff>76320</xdr:rowOff>
    </xdr:from>
    <xdr:to>
      <xdr:col>1</xdr:col>
      <xdr:colOff>102600</xdr:colOff>
      <xdr:row>2</xdr:row>
      <xdr:rowOff>49320</xdr:rowOff>
    </xdr:to>
    <xdr:sp>
      <xdr:nvSpPr>
        <xdr:cNvPr id="1" name="AutoShape 67">
          <a:hlinkClick r:id="rId1"/>
        </xdr:cNvPr>
        <xdr:cNvSpPr/>
      </xdr:nvSpPr>
      <xdr:spPr>
        <a:xfrm>
          <a:off x="104760" y="76320"/>
          <a:ext cx="601560" cy="2970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0</xdr:colOff>
      <xdr:row>1</xdr:row>
      <xdr:rowOff>0</xdr:rowOff>
    </xdr:from>
    <xdr:to>
      <xdr:col>2</xdr:col>
      <xdr:colOff>2087640</xdr:colOff>
      <xdr:row>2</xdr:row>
      <xdr:rowOff>258840</xdr:rowOff>
    </xdr:to>
    <xdr:pic>
      <xdr:nvPicPr>
        <xdr:cNvPr id="2" name="Imagem 23"/>
        <xdr:cNvPicPr/>
      </xdr:nvPicPr>
      <xdr:blipFill>
        <a:blip r:embed="rId1"/>
        <a:stretch/>
      </xdr:blipFill>
      <xdr:spPr>
        <a:xfrm>
          <a:off x="201240" y="190440"/>
          <a:ext cx="2480040" cy="544680"/>
        </a:xfrm>
        <a:prstGeom prst="rect">
          <a:avLst/>
        </a:prstGeom>
        <a:noFill/>
        <a:ln w="0">
          <a:noFill/>
        </a:ln>
      </xdr:spPr>
    </xdr:pic>
    <xdr:clientData/>
  </xdr:twoCellAnchor>
  <xdr:twoCellAnchor editAs="twoCell">
    <xdr:from>
      <xdr:col>9</xdr:col>
      <xdr:colOff>66600</xdr:colOff>
      <xdr:row>6</xdr:row>
      <xdr:rowOff>159840</xdr:rowOff>
    </xdr:from>
    <xdr:to>
      <xdr:col>9</xdr:col>
      <xdr:colOff>1201680</xdr:colOff>
      <xdr:row>9</xdr:row>
      <xdr:rowOff>47160</xdr:rowOff>
    </xdr:to>
    <xdr:sp macro="[0]!imprimirPROPOSTA">
      <xdr:nvSpPr>
        <xdr:cNvPr id="3" name="Bot.ImprimirProposta"/>
        <xdr:cNvSpPr/>
      </xdr:nvSpPr>
      <xdr:spPr>
        <a:xfrm>
          <a:off x="10194120" y="1607760"/>
          <a:ext cx="1135080" cy="4777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IMPRIMIR DOCUMENTOS</a:t>
          </a:r>
          <a:endParaRPr lang="pt-BR" sz="1100" b="0" u="none" strike="noStrike">
            <a:effectLst/>
            <a:uFillTx/>
            <a:latin typeface="Times New Roman"/>
          </a:endParaRPr>
        </a:p>
      </xdr:txBody>
    </xdr:sp>
    <xdr:clientData/>
  </xdr:twoCellAnchor>
  <xdr:twoCellAnchor editAs="twoCell">
    <xdr:from>
      <xdr:col>9</xdr:col>
      <xdr:colOff>66600</xdr:colOff>
      <xdr:row>15</xdr:row>
      <xdr:rowOff>17280</xdr:rowOff>
    </xdr:from>
    <xdr:to>
      <xdr:col>9</xdr:col>
      <xdr:colOff>1201680</xdr:colOff>
      <xdr:row>17</xdr:row>
      <xdr:rowOff>66240</xdr:rowOff>
    </xdr:to>
    <xdr:sp macro="[0]!imprimirLICITADO">
      <xdr:nvSpPr>
        <xdr:cNvPr id="4" name="Bot.ImprimirLicitacao"/>
        <xdr:cNvSpPr/>
      </xdr:nvSpPr>
      <xdr:spPr>
        <a:xfrm>
          <a:off x="10194120" y="3236760"/>
          <a:ext cx="1135080" cy="4777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IMPRIMIR DOCUMENTOS</a:t>
          </a:r>
          <a:endParaRPr lang="pt-BR" sz="1100" b="0" u="none" strike="noStrike">
            <a:effectLst/>
            <a:uFillTx/>
            <a:latin typeface="Times New Roman"/>
          </a:endParaRPr>
        </a:p>
      </xdr:txBody>
    </xdr:sp>
    <xdr:clientData/>
  </xdr:twoCellAnchor>
  <xdr:twoCellAnchor editAs="twoCell">
    <xdr:from>
      <xdr:col>9</xdr:col>
      <xdr:colOff>57240</xdr:colOff>
      <xdr:row>19</xdr:row>
      <xdr:rowOff>9720</xdr:rowOff>
    </xdr:from>
    <xdr:to>
      <xdr:col>9</xdr:col>
      <xdr:colOff>1192320</xdr:colOff>
      <xdr:row>21</xdr:row>
      <xdr:rowOff>66600</xdr:rowOff>
    </xdr:to>
    <xdr:sp macro="[0]!imprimirMedicao">
      <xdr:nvSpPr>
        <xdr:cNvPr id="5" name="Bot.ImprimirAcompanhamento"/>
        <xdr:cNvSpPr/>
      </xdr:nvSpPr>
      <xdr:spPr>
        <a:xfrm>
          <a:off x="10184760" y="4086360"/>
          <a:ext cx="1135080" cy="48564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IMPRIMIR DOCUMENTOS</a:t>
          </a:r>
          <a:endParaRPr lang="pt-BR" sz="1100" b="0" u="none" strike="noStrike">
            <a:effectLst/>
            <a:uFillTx/>
            <a:latin typeface="Times New Roman"/>
          </a:endParaRPr>
        </a:p>
      </xdr:txBody>
    </xdr:sp>
    <xdr:clientData/>
  </xdr:twoCellAnchor>
  <xdr:twoCellAnchor editAs="twoCell">
    <xdr:from>
      <xdr:col>9</xdr:col>
      <xdr:colOff>66600</xdr:colOff>
      <xdr:row>2</xdr:row>
      <xdr:rowOff>0</xdr:rowOff>
    </xdr:from>
    <xdr:to>
      <xdr:col>11</xdr:col>
      <xdr:colOff>219240</xdr:colOff>
      <xdr:row>5</xdr:row>
      <xdr:rowOff>66240</xdr:rowOff>
    </xdr:to>
    <xdr:sp macro="[0]!Importar_Verif">
      <xdr:nvSpPr>
        <xdr:cNvPr id="6" name="Bot.Importar"/>
        <xdr:cNvSpPr/>
      </xdr:nvSpPr>
      <xdr:spPr>
        <a:xfrm>
          <a:off x="10194120" y="476280"/>
          <a:ext cx="1703520" cy="7711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IMPORTAR DE OUTRA PLANILHA MÚLTIPLA</a:t>
          </a:r>
          <a:endParaRPr lang="pt-BR" sz="1100" b="0" u="none" strike="noStrike">
            <a:effectLst/>
            <a:uFillTx/>
            <a:latin typeface="Times New Roman"/>
          </a:endParaRPr>
        </a:p>
        <a:p>
          <a:pPr algn="ctr">
            <a:lnSpc>
              <a:spcPct val="100000"/>
            </a:lnSpc>
          </a:pPr>
          <a:r>
            <a:rPr lang="pt-BR" sz="1100" b="1" u="none" strike="noStrike">
              <a:solidFill>
                <a:srgbClr val="000000"/>
              </a:solidFill>
              <a:effectLst/>
              <a:uFillTx/>
              <a:latin typeface="Calibri"/>
            </a:rPr>
            <a:t>(A PARTIR DA VERSÃO 3)</a:t>
          </a:r>
          <a:endParaRPr lang="pt-BR" sz="1100" b="0" u="none" strike="noStrike">
            <a:effectLst/>
            <a:uFillTx/>
            <a:latin typeface="Times New Roman"/>
          </a:endParaRPr>
        </a:p>
      </xdr:txBody>
    </xdr:sp>
    <xdr:clientData/>
  </xdr:twoCellAnchor>
  <xdr:twoCellAnchor editAs="twoCell">
    <xdr:from>
      <xdr:col>11</xdr:col>
      <xdr:colOff>371520</xdr:colOff>
      <xdr:row>2</xdr:row>
      <xdr:rowOff>28440</xdr:rowOff>
    </xdr:from>
    <xdr:to>
      <xdr:col>13</xdr:col>
      <xdr:colOff>1168920</xdr:colOff>
      <xdr:row>5</xdr:row>
      <xdr:rowOff>89640</xdr:rowOff>
    </xdr:to>
    <xdr:sp macro="[0]!Importar_PO_PLE_QCI">
      <xdr:nvSpPr>
        <xdr:cNvPr id="7" name="Bot.Importar"/>
        <xdr:cNvSpPr/>
      </xdr:nvSpPr>
      <xdr:spPr>
        <a:xfrm>
          <a:off x="12049920" y="504720"/>
          <a:ext cx="1519200" cy="76608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IMPORTAR DE OUTROS MODELOS CAIXA</a:t>
          </a:r>
          <a:endParaRPr lang="pt-BR" sz="1100" b="0" u="none" strike="noStrike">
            <a:effectLst/>
            <a:uFillTx/>
            <a:latin typeface="Times New Roman"/>
          </a:endParaRPr>
        </a:p>
        <a:p>
          <a:pPr algn="ctr">
            <a:lnSpc>
              <a:spcPct val="100000"/>
            </a:lnSpc>
          </a:pPr>
          <a:r>
            <a:rPr lang="pt-BR" sz="1100" b="1" i="1" u="none" strike="noStrike">
              <a:solidFill>
                <a:srgbClr val="000000"/>
              </a:solidFill>
              <a:effectLst/>
              <a:uFillTx/>
              <a:latin typeface="Calibri"/>
            </a:rPr>
            <a:t>(PO / PLE / QCI)</a:t>
          </a:r>
          <a:endParaRPr lang="pt-BR" sz="1100" b="0" u="none" strike="noStrike">
            <a:effectLst/>
            <a:uFillTx/>
            <a:latin typeface="Times New Roman"/>
          </a:endParaRPr>
        </a:p>
      </xdr:txBody>
    </xdr:sp>
    <xdr:clientData/>
  </xdr:twoCellAnchor>
  <xdr:twoCellAnchor editAs="twoCell">
    <xdr:from>
      <xdr:col>9</xdr:col>
      <xdr:colOff>28440</xdr:colOff>
      <xdr:row>9</xdr:row>
      <xdr:rowOff>181080</xdr:rowOff>
    </xdr:from>
    <xdr:to>
      <xdr:col>9</xdr:col>
      <xdr:colOff>1246320</xdr:colOff>
      <xdr:row>13</xdr:row>
      <xdr:rowOff>78120</xdr:rowOff>
    </xdr:to>
    <xdr:sp macro="[0]!Verificar_Export_Tgov">
      <xdr:nvSpPr>
        <xdr:cNvPr id="8" name="Bot.ImprimirProposta"/>
        <xdr:cNvSpPr/>
      </xdr:nvSpPr>
      <xdr:spPr>
        <a:xfrm>
          <a:off x="10155960" y="2219400"/>
          <a:ext cx="1217880" cy="75420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GERAR ARQUIVO PARA UPLOAD NO TRANSFEREGOV</a:t>
          </a:r>
          <a:endParaRPr lang="pt-BR" sz="1100" b="0" u="none" strike="noStrike">
            <a:effectLst/>
            <a:uFillTx/>
            <a:latin typeface="Times New Roman"/>
          </a:endParaRPr>
        </a:p>
      </xdr:txBody>
    </xdr:sp>
    <xdr:clientData/>
  </xdr:twoCellAnchor>
  <xdr:twoCellAnchor editAs="twoCell">
    <xdr:from>
      <xdr:col>13</xdr:col>
      <xdr:colOff>1428840</xdr:colOff>
      <xdr:row>2</xdr:row>
      <xdr:rowOff>28440</xdr:rowOff>
    </xdr:from>
    <xdr:to>
      <xdr:col>13</xdr:col>
      <xdr:colOff>2563920</xdr:colOff>
      <xdr:row>4</xdr:row>
      <xdr:rowOff>10800</xdr:rowOff>
    </xdr:to>
    <xdr:sp macro="[0]!RESET_PM">
      <xdr:nvSpPr>
        <xdr:cNvPr id="9" name="Bot.ImprimirProposta"/>
        <xdr:cNvSpPr/>
      </xdr:nvSpPr>
      <xdr:spPr>
        <a:xfrm>
          <a:off x="13829040" y="504720"/>
          <a:ext cx="1135080" cy="4777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RESET</a:t>
          </a:r>
          <a:endParaRPr lang="pt-BR" sz="1100" b="0" u="none" strike="noStrike">
            <a:effectLst/>
            <a:uFillTx/>
            <a:latin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2</xdr:col>
          <xdr:colOff>1361880</xdr:colOff>
          <xdr:row>3</xdr:row>
          <xdr:rowOff>158760</xdr:rowOff>
        </xdr:from>
        <xdr:to>
          <xdr:col>3</xdr:col>
          <xdr:colOff>19080</xdr:colOff>
          <xdr:row>6</xdr:row>
          <xdr:rowOff>9360</xdr:rowOff>
        </xdr:to>
        <xdr:sp>
          <xdr:nvSpPr>
            <xdr:cNvPr id="0" name="Group Box 24" descr="Acompanhamento     " hidden="0"/>
            <xdr:cNvSpPr/>
          </xdr:nvSpPr>
          <xdr:spPr>
            <a:xfrm>
              <a:off x="0" y="0"/>
              <a:ext cx="0" cy="0"/>
            </a:xfrm>
            <a:prstGeom prst="rect">
              <a:avLst/>
            </a:prstGeom>
          </xdr:spPr>
          <xdr:txBody>
            <a:bodyPr anchor="ctr">
              <a:noAutofit/>
            </a:bodyPr>
            <a:p>
              <a:r>
                <a:t>Acompanhamento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3</xdr:col>
          <xdr:colOff>831600</xdr:colOff>
          <xdr:row>4</xdr:row>
          <xdr:rowOff>181080</xdr:rowOff>
        </xdr:from>
        <xdr:to>
          <xdr:col>4</xdr:col>
          <xdr:colOff>-7437960</xdr:colOff>
          <xdr:row>5</xdr:row>
          <xdr:rowOff>179640</xdr:rowOff>
        </xdr:to>
        <xdr:sp>
          <xdr:nvSpPr>
            <xdr:cNvPr id="0" name="Drop Down 94"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2</xdr:col>
          <xdr:colOff>9360</xdr:colOff>
          <xdr:row>3</xdr:row>
          <xdr:rowOff>158760</xdr:rowOff>
        </xdr:from>
        <xdr:to>
          <xdr:col>3</xdr:col>
          <xdr:colOff>-1451880</xdr:colOff>
          <xdr:row>6</xdr:row>
          <xdr:rowOff>9360</xdr:rowOff>
        </xdr:to>
        <xdr:sp>
          <xdr:nvSpPr>
            <xdr:cNvPr id="0" name="Group Box 17" descr="Tipo de Orçamento          " hidden="0"/>
            <xdr:cNvSpPr/>
          </xdr:nvSpPr>
          <xdr:spPr>
            <a:xfrm>
              <a:off x="0" y="0"/>
              <a:ext cx="0" cy="0"/>
            </a:xfrm>
            <a:prstGeom prst="rect">
              <a:avLst/>
            </a:prstGeom>
          </xdr:spPr>
          <xdr:txBody>
            <a:bodyPr anchor="ctr">
              <a:noAutofit/>
            </a:bodyPr>
            <a:p>
              <a:r>
                <a:t>Tipo de Orçamento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2</xdr:col>
          <xdr:colOff>133200</xdr:colOff>
          <xdr:row>4</xdr:row>
          <xdr:rowOff>162000</xdr:rowOff>
        </xdr:from>
        <xdr:to>
          <xdr:col>3</xdr:col>
          <xdr:colOff>-1604160</xdr:colOff>
          <xdr:row>5</xdr:row>
          <xdr:rowOff>171360</xdr:rowOff>
        </xdr:to>
        <xdr:sp>
          <xdr:nvSpPr>
            <xdr:cNvPr id="0" name="Drop Down 93"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10</xdr:col>
          <xdr:colOff>38160</xdr:colOff>
          <xdr:row>0</xdr:row>
          <xdr:rowOff>47520</xdr:rowOff>
        </xdr:from>
        <xdr:to>
          <xdr:col>13</xdr:col>
          <xdr:colOff>2371320</xdr:colOff>
          <xdr:row>1</xdr:row>
          <xdr:rowOff>28440</xdr:rowOff>
        </xdr:to>
        <xdr:sp>
          <xdr:nvSpPr>
            <xdr:cNvPr id="1001" name="Check Box 95" descr="Importar Fórmulas para o Custo Unitário (aba ORÇAMENTO)" hidden="0"/>
            <xdr:cNvSpPr/>
          </xdr:nvSpPr>
          <xdr:spPr>
            <a:xfrm>
              <a:off x="0" y="0"/>
              <a:ext cx="0" cy="0"/>
            </a:xfrm>
            <a:prstGeom prst="rect">
              <a:avLst/>
            </a:prstGeom>
          </xdr:spPr>
          <xdr:txBody>
            <a:bodyPr anchor="ctr">
              <a:noAutofit/>
            </a:bodyPr>
            <a:p>
              <a:r>
                <a:t>Importar Fórmulas para o Custo Unitário (aba ORÇAMENTO)</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10</xdr:col>
          <xdr:colOff>38160</xdr:colOff>
          <xdr:row>1</xdr:row>
          <xdr:rowOff>66600</xdr:rowOff>
        </xdr:from>
        <xdr:to>
          <xdr:col>13</xdr:col>
          <xdr:colOff>2390400</xdr:colOff>
          <xdr:row>2</xdr:row>
          <xdr:rowOff>-57240</xdr:rowOff>
        </xdr:to>
        <xdr:sp>
          <xdr:nvSpPr>
            <xdr:cNvPr id="1002" name="Check Box 96" descr="Importar Fórmulas para as Quantidades da PLQ (aba CÁLCULO)" hidden="0"/>
            <xdr:cNvSpPr/>
          </xdr:nvSpPr>
          <xdr:spPr>
            <a:xfrm>
              <a:off x="0" y="0"/>
              <a:ext cx="0" cy="0"/>
            </a:xfrm>
            <a:prstGeom prst="rect">
              <a:avLst/>
            </a:prstGeom>
          </xdr:spPr>
          <xdr:txBody>
            <a:bodyPr anchor="ctr">
              <a:noAutofit/>
            </a:bodyPr>
            <a:p>
              <a:r>
                <a:t>Importar Fórmulas para as Quantidades da PLQ (aba CÁLCULO)</a:t>
              </a:r>
            </a:p>
          </xdr:txBody>
        </xdr:sp>
        <xdr:clientData/>
      </xdr:twoCellAnchor>
    </mc:Choice>
  </mc:AlternateContent>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64800</xdr:colOff>
      <xdr:row>0</xdr:row>
      <xdr:rowOff>38160</xdr:rowOff>
    </xdr:from>
    <xdr:to>
      <xdr:col>0</xdr:col>
      <xdr:colOff>636120</xdr:colOff>
      <xdr:row>1</xdr:row>
      <xdr:rowOff>135000</xdr:rowOff>
    </xdr:to>
    <xdr:sp>
      <xdr:nvSpPr>
        <xdr:cNvPr id="10" name="AutoShape 67">
          <a:hlinkClick r:id="rId1"/>
        </xdr:cNvPr>
        <xdr:cNvSpPr/>
      </xdr:nvSpPr>
      <xdr:spPr>
        <a:xfrm>
          <a:off x="64800" y="38160"/>
          <a:ext cx="571320" cy="2970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2</xdr:col>
      <xdr:colOff>2809800</xdr:colOff>
      <xdr:row>0</xdr:row>
      <xdr:rowOff>14760</xdr:rowOff>
    </xdr:from>
    <xdr:to>
      <xdr:col>2</xdr:col>
      <xdr:colOff>3528360</xdr:colOff>
      <xdr:row>1</xdr:row>
      <xdr:rowOff>123480</xdr:rowOff>
    </xdr:to>
    <xdr:sp>
      <xdr:nvSpPr>
        <xdr:cNvPr id="11" name="AutoShape 67">
          <a:hlinkClick r:id="rId2"/>
        </xdr:cNvPr>
        <xdr:cNvSpPr/>
      </xdr:nvSpPr>
      <xdr:spPr>
        <a:xfrm>
          <a:off x="6554880" y="14760"/>
          <a:ext cx="718560" cy="3088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BDI</a:t>
          </a:r>
          <a:endParaRPr lang="pt-BR" sz="1100" b="0" u="none" strike="noStrike">
            <a:effectLst/>
            <a:uFillTx/>
            <a:latin typeface="Times New Roman"/>
          </a:endParaRPr>
        </a:p>
      </xdr:txBody>
    </xdr:sp>
    <xdr:clientData/>
  </xdr:twoCellAnchor>
  <xdr:twoCellAnchor editAs="twoCell">
    <xdr:from>
      <xdr:col>2</xdr:col>
      <xdr:colOff>1738080</xdr:colOff>
      <xdr:row>33</xdr:row>
      <xdr:rowOff>41760</xdr:rowOff>
    </xdr:from>
    <xdr:to>
      <xdr:col>2</xdr:col>
      <xdr:colOff>3528360</xdr:colOff>
      <xdr:row>34</xdr:row>
      <xdr:rowOff>155880</xdr:rowOff>
    </xdr:to>
    <xdr:sp macro="[0]!IrPara_OrçLicit">
      <xdr:nvSpPr>
        <xdr:cNvPr id="12" name="AutoShape 67"/>
        <xdr:cNvSpPr/>
      </xdr:nvSpPr>
      <xdr:spPr>
        <a:xfrm>
          <a:off x="5483160" y="5505480"/>
          <a:ext cx="179028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ORÇAMENTO LICITADO</a:t>
          </a:r>
          <a:endParaRPr lang="pt-BR" sz="1100" b="0" u="none" strike="noStrike">
            <a:effectLst/>
            <a:uFillTx/>
            <a:latin typeface="Times New Roman"/>
          </a:endParaRPr>
        </a:p>
      </xdr:txBody>
    </xdr:sp>
    <xdr:clientData/>
  </xdr:twoCellAnchor>
  <xdr:twoCellAnchor editAs="twoCell">
    <xdr:from>
      <xdr:col>2</xdr:col>
      <xdr:colOff>2324160</xdr:colOff>
      <xdr:row>44</xdr:row>
      <xdr:rowOff>79920</xdr:rowOff>
    </xdr:from>
    <xdr:to>
      <xdr:col>2</xdr:col>
      <xdr:colOff>3528360</xdr:colOff>
      <xdr:row>46</xdr:row>
      <xdr:rowOff>32040</xdr:rowOff>
    </xdr:to>
    <xdr:sp macro="[0]!IrPara_Medição">
      <xdr:nvSpPr>
        <xdr:cNvPr id="13" name="AutoShape 67"/>
        <xdr:cNvSpPr/>
      </xdr:nvSpPr>
      <xdr:spPr>
        <a:xfrm>
          <a:off x="6069240" y="7381800"/>
          <a:ext cx="120420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MEDIÇÃO</a:t>
          </a:r>
          <a:endParaRPr lang="pt-BR" sz="1100" b="0" u="none" strike="noStrike">
            <a:effectLst/>
            <a:uFillTx/>
            <a:latin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twoCell">
    <xdr:from>
      <xdr:col>9</xdr:col>
      <xdr:colOff>30600</xdr:colOff>
      <xdr:row>0</xdr:row>
      <xdr:rowOff>15120</xdr:rowOff>
    </xdr:from>
    <xdr:to>
      <xdr:col>11</xdr:col>
      <xdr:colOff>403560</xdr:colOff>
      <xdr:row>2</xdr:row>
      <xdr:rowOff>47160</xdr:rowOff>
    </xdr:to>
    <xdr:pic>
      <xdr:nvPicPr>
        <xdr:cNvPr id="14" name="Logo1"/>
        <xdr:cNvPicPr/>
      </xdr:nvPicPr>
      <xdr:blipFill>
        <a:blip r:embed="rId1"/>
        <a:stretch/>
      </xdr:blipFill>
      <xdr:spPr>
        <a:xfrm>
          <a:off x="1027080" y="15120"/>
          <a:ext cx="1862640" cy="384480"/>
        </a:xfrm>
        <a:prstGeom prst="rect">
          <a:avLst/>
        </a:prstGeom>
        <a:noFill/>
        <a:ln w="0">
          <a:noFill/>
        </a:ln>
      </xdr:spPr>
    </xdr:pic>
    <xdr:clientData/>
  </xdr:twoCellAnchor>
  <xdr:twoCellAnchor editAs="twoCell">
    <xdr:from>
      <xdr:col>7</xdr:col>
      <xdr:colOff>176760</xdr:colOff>
      <xdr:row>0</xdr:row>
      <xdr:rowOff>50760</xdr:rowOff>
    </xdr:from>
    <xdr:to>
      <xdr:col>8</xdr:col>
      <xdr:colOff>28080</xdr:colOff>
      <xdr:row>1</xdr:row>
      <xdr:rowOff>161640</xdr:rowOff>
    </xdr:to>
    <xdr:sp>
      <xdr:nvSpPr>
        <xdr:cNvPr id="15" name="AutoShape 67">
          <a:hlinkClick r:id="rId2"/>
        </xdr:cNvPr>
        <xdr:cNvSpPr/>
      </xdr:nvSpPr>
      <xdr:spPr>
        <a:xfrm>
          <a:off x="176760" y="50760"/>
          <a:ext cx="596160" cy="3013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7</xdr:col>
      <xdr:colOff>176760</xdr:colOff>
      <xdr:row>2</xdr:row>
      <xdr:rowOff>24120</xdr:rowOff>
    </xdr:from>
    <xdr:to>
      <xdr:col>8</xdr:col>
      <xdr:colOff>28080</xdr:colOff>
      <xdr:row>4</xdr:row>
      <xdr:rowOff>9000</xdr:rowOff>
    </xdr:to>
    <xdr:sp>
      <xdr:nvSpPr>
        <xdr:cNvPr id="16" name="AutoShape 67">
          <a:hlinkClick r:id="rId3"/>
        </xdr:cNvPr>
        <xdr:cNvSpPr/>
      </xdr:nvSpPr>
      <xdr:spPr>
        <a:xfrm>
          <a:off x="176760" y="376560"/>
          <a:ext cx="596160" cy="3088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PO</a:t>
          </a:r>
          <a:endParaRPr lang="pt-BR" sz="1100" b="0" u="none" strike="noStrike">
            <a:effectLst/>
            <a:uFillTx/>
            <a:latin typeface="Times New Roman"/>
          </a:endParaRPr>
        </a:p>
      </xdr:txBody>
    </xdr:sp>
    <xdr:clientData/>
  </xdr:twoCellAnchor>
  <xdr:twoCellAnchor editAs="twoCell">
    <xdr:from>
      <xdr:col>7</xdr:col>
      <xdr:colOff>148320</xdr:colOff>
      <xdr:row>6</xdr:row>
      <xdr:rowOff>9720</xdr:rowOff>
    </xdr:from>
    <xdr:to>
      <xdr:col>7</xdr:col>
      <xdr:colOff>744480</xdr:colOff>
      <xdr:row>6</xdr:row>
      <xdr:rowOff>279360</xdr:rowOff>
    </xdr:to>
    <xdr:sp macro="[0]!IrPara_BDI_1">
      <xdr:nvSpPr>
        <xdr:cNvPr id="17" name="AutoShape 67"/>
        <xdr:cNvSpPr/>
      </xdr:nvSpPr>
      <xdr:spPr>
        <a:xfrm>
          <a:off x="148320" y="1009800"/>
          <a:ext cx="596160" cy="2696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BDI 1</a:t>
          </a:r>
          <a:endParaRPr lang="pt-BR" sz="1100" b="0" u="none" strike="noStrike">
            <a:effectLst/>
            <a:uFillTx/>
            <a:latin typeface="Times New Roman"/>
          </a:endParaRPr>
        </a:p>
      </xdr:txBody>
    </xdr:sp>
    <xdr:clientData/>
  </xdr:twoCellAnchor>
  <xdr:twoCellAnchor editAs="twoCell">
    <xdr:from>
      <xdr:col>7</xdr:col>
      <xdr:colOff>148320</xdr:colOff>
      <xdr:row>7</xdr:row>
      <xdr:rowOff>30240</xdr:rowOff>
    </xdr:from>
    <xdr:to>
      <xdr:col>7</xdr:col>
      <xdr:colOff>744480</xdr:colOff>
      <xdr:row>8</xdr:row>
      <xdr:rowOff>147600</xdr:rowOff>
    </xdr:to>
    <xdr:sp macro="[0]!IrPara_BDI_2">
      <xdr:nvSpPr>
        <xdr:cNvPr id="18" name="AutoShape 67"/>
        <xdr:cNvSpPr/>
      </xdr:nvSpPr>
      <xdr:spPr>
        <a:xfrm>
          <a:off x="148320" y="1333440"/>
          <a:ext cx="596160" cy="3078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BDI 2</a:t>
          </a:r>
          <a:endParaRPr lang="pt-BR" sz="1100" b="0" u="none" strike="noStrike">
            <a:effectLst/>
            <a:uFillTx/>
            <a:latin typeface="Times New Roman"/>
          </a:endParaRPr>
        </a:p>
      </xdr:txBody>
    </xdr:sp>
    <xdr:clientData/>
  </xdr:twoCellAnchor>
  <xdr:twoCellAnchor editAs="twoCell">
    <xdr:from>
      <xdr:col>7</xdr:col>
      <xdr:colOff>148320</xdr:colOff>
      <xdr:row>9</xdr:row>
      <xdr:rowOff>37080</xdr:rowOff>
    </xdr:from>
    <xdr:to>
      <xdr:col>7</xdr:col>
      <xdr:colOff>744480</xdr:colOff>
      <xdr:row>10</xdr:row>
      <xdr:rowOff>144360</xdr:rowOff>
    </xdr:to>
    <xdr:sp macro="[0]!IrPara_BDI_3">
      <xdr:nvSpPr>
        <xdr:cNvPr id="19" name="AutoShape 67"/>
        <xdr:cNvSpPr/>
      </xdr:nvSpPr>
      <xdr:spPr>
        <a:xfrm>
          <a:off x="148320" y="1692360"/>
          <a:ext cx="596160" cy="2692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BDI 3</a:t>
          </a:r>
          <a:endParaRPr lang="pt-BR" sz="1100" b="0" u="none" strike="noStrike">
            <a:effectLst/>
            <a:uFillTx/>
            <a:latin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twoCell">
    <xdr:from>
      <xdr:col>14</xdr:col>
      <xdr:colOff>60840</xdr:colOff>
      <xdr:row>0</xdr:row>
      <xdr:rowOff>15120</xdr:rowOff>
    </xdr:from>
    <xdr:to>
      <xdr:col>15</xdr:col>
      <xdr:colOff>1035720</xdr:colOff>
      <xdr:row>1</xdr:row>
      <xdr:rowOff>175320</xdr:rowOff>
    </xdr:to>
    <xdr:pic>
      <xdr:nvPicPr>
        <xdr:cNvPr id="20" name="Picture 2"/>
        <xdr:cNvPicPr/>
      </xdr:nvPicPr>
      <xdr:blipFill>
        <a:blip r:embed="rId1"/>
        <a:stretch/>
      </xdr:blipFill>
      <xdr:spPr>
        <a:xfrm>
          <a:off x="1519920" y="15120"/>
          <a:ext cx="1860840" cy="380520"/>
        </a:xfrm>
        <a:prstGeom prst="rect">
          <a:avLst/>
        </a:prstGeom>
        <a:noFill/>
        <a:ln w="0">
          <a:noFill/>
        </a:ln>
      </xdr:spPr>
    </xdr:pic>
    <xdr:clientData/>
  </xdr:twoCellAnchor>
  <xdr:twoCellAnchor editAs="twoCell">
    <xdr:from>
      <xdr:col>19</xdr:col>
      <xdr:colOff>8280</xdr:colOff>
      <xdr:row>8</xdr:row>
      <xdr:rowOff>103680</xdr:rowOff>
    </xdr:from>
    <xdr:to>
      <xdr:col>24</xdr:col>
      <xdr:colOff>2520</xdr:colOff>
      <xdr:row>10</xdr:row>
      <xdr:rowOff>148680</xdr:rowOff>
    </xdr:to>
    <xdr:sp fLocksText="0">
      <xdr:nvSpPr>
        <xdr:cNvPr id="21" name="TextBoxArred"/>
        <xdr:cNvSpPr/>
      </xdr:nvSpPr>
      <xdr:spPr>
        <a:xfrm flipH="1">
          <a:off x="9914400" y="1381320"/>
          <a:ext cx="4916520" cy="369000"/>
        </a:xfrm>
        <a:prstGeom prst="rect">
          <a:avLst/>
        </a:prstGeom>
        <a:noFill/>
        <a:ln w="6480">
          <a:solidFill>
            <a:srgbClr val="000000"/>
          </a:solidFill>
          <a:miter/>
        </a:ln>
      </xdr:spPr>
      <xdr:style>
        <a:lnRef idx="0"/>
        <a:fillRef idx="0"/>
        <a:effectRef idx="0"/>
        <a:fontRef idx="minor"/>
      </xdr:style>
      <xdr:txBody>
        <a:bodyPr vertOverflow="clip" lIns="27360" rIns="27360" tIns="22680" bIns="0" anchor="t">
          <a:noAutofit/>
        </a:bodyPr>
        <a:p>
          <a:pPr algn="ctr">
            <a:lnSpc>
              <a:spcPct val="100000"/>
            </a:lnSpc>
          </a:pPr>
          <a:r>
            <a:rPr lang="pt-BR" sz="1000" b="0" u="none" strike="noStrike">
              <a:solidFill>
                <a:srgbClr val="000000"/>
              </a:solidFill>
              <a:effectLst/>
              <a:uFillTx/>
              <a:latin typeface="Arial"/>
            </a:rPr>
            <a:t>Considerar valores arredondados com (0,00)</a:t>
          </a:r>
          <a:endParaRPr lang="pt-BR" sz="1000" b="0" u="none" strike="noStrike">
            <a:effectLst/>
            <a:uFillTx/>
            <a:latin typeface="Times New Roman"/>
          </a:endParaRPr>
        </a:p>
      </xdr:txBody>
    </xdr:sp>
    <xdr:clientData/>
  </xdr:twoCellAnchor>
  <xdr:twoCellAnchor editAs="twoCell">
    <xdr:from>
      <xdr:col>12</xdr:col>
      <xdr:colOff>302760</xdr:colOff>
      <xdr:row>0</xdr:row>
      <xdr:rowOff>60120</xdr:rowOff>
    </xdr:from>
    <xdr:to>
      <xdr:col>13</xdr:col>
      <xdr:colOff>440280</xdr:colOff>
      <xdr:row>1</xdr:row>
      <xdr:rowOff>151920</xdr:rowOff>
    </xdr:to>
    <xdr:sp>
      <xdr:nvSpPr>
        <xdr:cNvPr id="22" name="AutoShape 67">
          <a:hlinkClick r:id="rId2"/>
        </xdr:cNvPr>
        <xdr:cNvSpPr/>
      </xdr:nvSpPr>
      <xdr:spPr>
        <a:xfrm>
          <a:off x="554400" y="60120"/>
          <a:ext cx="741240" cy="3121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14</xdr:col>
      <xdr:colOff>3960</xdr:colOff>
      <xdr:row>8</xdr:row>
      <xdr:rowOff>54000</xdr:rowOff>
    </xdr:from>
    <xdr:to>
      <xdr:col>15</xdr:col>
      <xdr:colOff>396720</xdr:colOff>
      <xdr:row>11</xdr:row>
      <xdr:rowOff>26280</xdr:rowOff>
    </xdr:to>
    <xdr:sp macro="[0]!Linhas.AddLinha">
      <xdr:nvSpPr>
        <xdr:cNvPr id="23" name="AutoShape 67"/>
        <xdr:cNvSpPr/>
      </xdr:nvSpPr>
      <xdr:spPr>
        <a:xfrm>
          <a:off x="1463040" y="1331640"/>
          <a:ext cx="1278720" cy="4579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ADICIONAR LINHAS</a:t>
          </a:r>
          <a:endParaRPr lang="pt-BR" sz="1100" b="0" u="none" strike="noStrike">
            <a:effectLst/>
            <a:uFillTx/>
            <a:latin typeface="Times New Roman"/>
          </a:endParaRPr>
        </a:p>
      </xdr:txBody>
    </xdr:sp>
    <xdr:clientData/>
  </xdr:twoCellAnchor>
  <xdr:twoCellAnchor editAs="twoCell">
    <xdr:from>
      <xdr:col>16</xdr:col>
      <xdr:colOff>836280</xdr:colOff>
      <xdr:row>8</xdr:row>
      <xdr:rowOff>50040</xdr:rowOff>
    </xdr:from>
    <xdr:to>
      <xdr:col>17</xdr:col>
      <xdr:colOff>1025280</xdr:colOff>
      <xdr:row>11</xdr:row>
      <xdr:rowOff>28080</xdr:rowOff>
    </xdr:to>
    <xdr:sp macro="[0]!fixar">
      <xdr:nvSpPr>
        <xdr:cNvPr id="24" name="AutoShape 67"/>
        <xdr:cNvSpPr/>
      </xdr:nvSpPr>
      <xdr:spPr>
        <a:xfrm>
          <a:off x="4278600" y="1327680"/>
          <a:ext cx="1286280" cy="46368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FIXAR DESCRIÇÕES</a:t>
          </a:r>
          <a:endParaRPr lang="pt-BR" sz="1100" b="0" u="none" strike="noStrike">
            <a:effectLst/>
            <a:uFillTx/>
            <a:latin typeface="Times New Roman"/>
          </a:endParaRPr>
        </a:p>
      </xdr:txBody>
    </xdr:sp>
    <xdr:clientData/>
  </xdr:twoCellAnchor>
  <xdr:twoCellAnchor editAs="twoCell">
    <xdr:from>
      <xdr:col>15</xdr:col>
      <xdr:colOff>527760</xdr:colOff>
      <xdr:row>8</xdr:row>
      <xdr:rowOff>46440</xdr:rowOff>
    </xdr:from>
    <xdr:to>
      <xdr:col>16</xdr:col>
      <xdr:colOff>716760</xdr:colOff>
      <xdr:row>11</xdr:row>
      <xdr:rowOff>28440</xdr:rowOff>
    </xdr:to>
    <xdr:sp macro="[0]!Linhas.ExcLinhas">
      <xdr:nvSpPr>
        <xdr:cNvPr id="25" name="AutoShape 67"/>
        <xdr:cNvSpPr/>
      </xdr:nvSpPr>
      <xdr:spPr>
        <a:xfrm>
          <a:off x="2872800" y="1324080"/>
          <a:ext cx="1286280" cy="46764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EXCLUIR LINHAS</a:t>
          </a:r>
          <a:endParaRPr lang="pt-BR" sz="1100" b="0" u="none" strike="noStrike">
            <a:effectLst/>
            <a:uFillTx/>
            <a:latin typeface="Times New Roman"/>
          </a:endParaRPr>
        </a:p>
      </xdr:txBody>
    </xdr:sp>
    <xdr:clientData/>
  </xdr:twoCellAnchor>
  <xdr:twoCellAnchor editAs="twoCell">
    <xdr:from>
      <xdr:col>17</xdr:col>
      <xdr:colOff>2535480</xdr:colOff>
      <xdr:row>8</xdr:row>
      <xdr:rowOff>46440</xdr:rowOff>
    </xdr:from>
    <xdr:to>
      <xdr:col>17</xdr:col>
      <xdr:colOff>3764520</xdr:colOff>
      <xdr:row>11</xdr:row>
      <xdr:rowOff>28440</xdr:rowOff>
    </xdr:to>
    <xdr:sp macro="[0]!recuperar">
      <xdr:nvSpPr>
        <xdr:cNvPr id="26" name="AutoShape 67"/>
        <xdr:cNvSpPr/>
      </xdr:nvSpPr>
      <xdr:spPr>
        <a:xfrm>
          <a:off x="7075080" y="1324080"/>
          <a:ext cx="1229040" cy="46764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RECUPERAR FÓRMULAS</a:t>
          </a:r>
          <a:endParaRPr lang="pt-BR" sz="1100" b="0" u="none" strike="noStrike">
            <a:effectLst/>
            <a:uFillTx/>
            <a:latin typeface="Times New Roman"/>
          </a:endParaRPr>
        </a:p>
      </xdr:txBody>
    </xdr:sp>
    <xdr:clientData/>
  </xdr:twoCellAnchor>
  <xdr:twoCellAnchor editAs="twoCell">
    <xdr:from>
      <xdr:col>17</xdr:col>
      <xdr:colOff>3889800</xdr:colOff>
      <xdr:row>8</xdr:row>
      <xdr:rowOff>48240</xdr:rowOff>
    </xdr:from>
    <xdr:to>
      <xdr:col>18</xdr:col>
      <xdr:colOff>640440</xdr:colOff>
      <xdr:row>11</xdr:row>
      <xdr:rowOff>16920</xdr:rowOff>
    </xdr:to>
    <xdr:sp macro="[0]!buscarcodigo">
      <xdr:nvSpPr>
        <xdr:cNvPr id="27" name="AutoShape 67"/>
        <xdr:cNvSpPr/>
      </xdr:nvSpPr>
      <xdr:spPr>
        <a:xfrm>
          <a:off x="8429400" y="1325880"/>
          <a:ext cx="1372320" cy="4543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BUSCAR CÓDIGO</a:t>
          </a:r>
          <a:endParaRPr lang="pt-BR" sz="1100" b="0" u="none" strike="noStrike">
            <a:effectLst/>
            <a:uFillTx/>
            <a:latin typeface="Times New Roman"/>
          </a:endParaRPr>
        </a:p>
      </xdr:txBody>
    </xdr:sp>
    <xdr:clientData/>
  </xdr:twoCellAnchor>
  <xdr:twoCellAnchor editAs="twoCell">
    <xdr:from>
      <xdr:col>12</xdr:col>
      <xdr:colOff>303840</xdr:colOff>
      <xdr:row>2</xdr:row>
      <xdr:rowOff>29520</xdr:rowOff>
    </xdr:from>
    <xdr:to>
      <xdr:col>13</xdr:col>
      <xdr:colOff>441360</xdr:colOff>
      <xdr:row>4</xdr:row>
      <xdr:rowOff>14400</xdr:rowOff>
    </xdr:to>
    <xdr:sp>
      <xdr:nvSpPr>
        <xdr:cNvPr id="28" name="AutoShape 67">
          <a:hlinkClick r:id="rId3"/>
        </xdr:cNvPr>
        <xdr:cNvSpPr/>
      </xdr:nvSpPr>
      <xdr:spPr>
        <a:xfrm>
          <a:off x="555480" y="440280"/>
          <a:ext cx="741240" cy="3088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BDI</a:t>
          </a:r>
          <a:endParaRPr lang="pt-BR" sz="1100" b="0" u="none" strike="noStrike">
            <a:effectLst/>
            <a:uFillTx/>
            <a:latin typeface="Times New Roman"/>
          </a:endParaRPr>
        </a:p>
      </xdr:txBody>
    </xdr:sp>
    <xdr:clientData/>
  </xdr:twoCellAnchor>
  <xdr:twoCellAnchor editAs="twoCell">
    <xdr:from>
      <xdr:col>12</xdr:col>
      <xdr:colOff>308160</xdr:colOff>
      <xdr:row>4</xdr:row>
      <xdr:rowOff>75960</xdr:rowOff>
    </xdr:from>
    <xdr:to>
      <xdr:col>13</xdr:col>
      <xdr:colOff>445680</xdr:colOff>
      <xdr:row>7</xdr:row>
      <xdr:rowOff>4680</xdr:rowOff>
    </xdr:to>
    <xdr:sp>
      <xdr:nvSpPr>
        <xdr:cNvPr id="29" name="AutoShape 67">
          <a:hlinkClick r:id="rId4"/>
        </xdr:cNvPr>
        <xdr:cNvSpPr/>
      </xdr:nvSpPr>
      <xdr:spPr>
        <a:xfrm>
          <a:off x="559800" y="810720"/>
          <a:ext cx="741240" cy="3096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CÁLCULO</a:t>
          </a:r>
          <a:endParaRPr lang="pt-BR" sz="1100" b="0" u="none" strike="noStrike">
            <a:effectLst/>
            <a:uFillTx/>
            <a:latin typeface="Times New Roman"/>
          </a:endParaRPr>
        </a:p>
      </xdr:txBody>
    </xdr:sp>
    <xdr:clientData/>
  </xdr:twoCellAnchor>
  <xdr:twoCellAnchor editAs="twoCell">
    <xdr:from>
      <xdr:col>12</xdr:col>
      <xdr:colOff>308160</xdr:colOff>
      <xdr:row>7</xdr:row>
      <xdr:rowOff>61200</xdr:rowOff>
    </xdr:from>
    <xdr:to>
      <xdr:col>13</xdr:col>
      <xdr:colOff>445680</xdr:colOff>
      <xdr:row>9</xdr:row>
      <xdr:rowOff>46080</xdr:rowOff>
    </xdr:to>
    <xdr:sp macro="[0]!IrPara_Eventos">
      <xdr:nvSpPr>
        <xdr:cNvPr id="30" name="AutoShape 67"/>
        <xdr:cNvSpPr/>
      </xdr:nvSpPr>
      <xdr:spPr>
        <a:xfrm>
          <a:off x="559800" y="1176840"/>
          <a:ext cx="741240" cy="3088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000" b="1" u="none" strike="noStrike">
              <a:solidFill>
                <a:srgbClr val="000000"/>
              </a:solidFill>
              <a:effectLst/>
              <a:uFillTx/>
              <a:latin typeface="Calibri"/>
            </a:rPr>
            <a:t>EVENTOS</a:t>
          </a:r>
          <a:endParaRPr lang="pt-BR" sz="1000" b="0" u="none" strike="noStrike">
            <a:effectLst/>
            <a:uFillTx/>
            <a:latin typeface="Times New Roman"/>
          </a:endParaRPr>
        </a:p>
      </xdr:txBody>
    </xdr:sp>
    <xdr:clientData/>
  </xdr:twoCellAnchor>
  <xdr:twoCellAnchor editAs="twoCell">
    <xdr:from>
      <xdr:col>12</xdr:col>
      <xdr:colOff>308160</xdr:colOff>
      <xdr:row>9</xdr:row>
      <xdr:rowOff>114120</xdr:rowOff>
    </xdr:from>
    <xdr:to>
      <xdr:col>13</xdr:col>
      <xdr:colOff>445680</xdr:colOff>
      <xdr:row>11</xdr:row>
      <xdr:rowOff>98640</xdr:rowOff>
    </xdr:to>
    <xdr:sp macro="[0]!IrPara_Crono">
      <xdr:nvSpPr>
        <xdr:cNvPr id="31" name="AutoShape 67"/>
        <xdr:cNvSpPr/>
      </xdr:nvSpPr>
      <xdr:spPr>
        <a:xfrm>
          <a:off x="559800" y="1553760"/>
          <a:ext cx="741240" cy="3081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CRONO</a:t>
          </a:r>
          <a:endParaRPr lang="pt-BR" sz="1100" b="0" u="none" strike="noStrike">
            <a:effectLst/>
            <a:uFillTx/>
            <a:latin typeface="Times New Roman"/>
          </a:endParaRPr>
        </a:p>
      </xdr:txBody>
    </xdr:sp>
    <xdr:clientData/>
  </xdr:twoCellAnchor>
  <xdr:twoCellAnchor editAs="twoCell">
    <xdr:from>
      <xdr:col>17</xdr:col>
      <xdr:colOff>1161720</xdr:colOff>
      <xdr:row>8</xdr:row>
      <xdr:rowOff>50040</xdr:rowOff>
    </xdr:from>
    <xdr:to>
      <xdr:col>17</xdr:col>
      <xdr:colOff>2390760</xdr:colOff>
      <xdr:row>11</xdr:row>
      <xdr:rowOff>28080</xdr:rowOff>
    </xdr:to>
    <xdr:sp macro="[0]!unidade_padrão">
      <xdr:nvSpPr>
        <xdr:cNvPr id="32" name="AutoShape 67"/>
        <xdr:cNvSpPr/>
      </xdr:nvSpPr>
      <xdr:spPr>
        <a:xfrm>
          <a:off x="5701320" y="1327680"/>
          <a:ext cx="1229040" cy="46368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PADRONIZAR UNIDADES</a:t>
          </a:r>
          <a:endParaRPr lang="pt-BR" sz="1100" b="0" u="none" strike="noStrike">
            <a:effectLst/>
            <a:uFillTx/>
            <a:latin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3</xdr:col>
          <xdr:colOff>9039240</xdr:colOff>
          <xdr:row>6</xdr:row>
          <xdr:rowOff>121320</xdr:rowOff>
        </xdr:from>
        <xdr:to>
          <xdr:col>4</xdr:col>
          <xdr:colOff>283680</xdr:colOff>
          <xdr:row>8</xdr:row>
          <xdr:rowOff>8640</xdr:rowOff>
        </xdr:to>
        <xdr:sp>
          <xdr:nvSpPr>
            <xdr:cNvPr id="1001" name="CaixaArredQuant"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20</xdr:col>
          <xdr:colOff>390600</xdr:colOff>
          <xdr:row>9</xdr:row>
          <xdr:rowOff>74880</xdr:rowOff>
        </xdr:from>
        <xdr:to>
          <xdr:col>21</xdr:col>
          <xdr:colOff>-207720</xdr:colOff>
          <xdr:row>10</xdr:row>
          <xdr:rowOff>150840</xdr:rowOff>
        </xdr:to>
        <xdr:sp>
          <xdr:nvSpPr>
            <xdr:cNvPr id="1002" name="CaixaArredCustoUnit"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21</xdr:col>
          <xdr:colOff>266760</xdr:colOff>
          <xdr:row>9</xdr:row>
          <xdr:rowOff>74880</xdr:rowOff>
        </xdr:from>
        <xdr:to>
          <xdr:col>22</xdr:col>
          <xdr:colOff>-68400</xdr:colOff>
          <xdr:row>10</xdr:row>
          <xdr:rowOff>150840</xdr:rowOff>
        </xdr:to>
        <xdr:sp>
          <xdr:nvSpPr>
            <xdr:cNvPr id="1003" name="CaixaArredBDI"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22</xdr:col>
          <xdr:colOff>390600</xdr:colOff>
          <xdr:row>9</xdr:row>
          <xdr:rowOff>74880</xdr:rowOff>
        </xdr:from>
        <xdr:to>
          <xdr:col>23</xdr:col>
          <xdr:colOff>-217080</xdr:colOff>
          <xdr:row>10</xdr:row>
          <xdr:rowOff>150840</xdr:rowOff>
        </xdr:to>
        <xdr:sp>
          <xdr:nvSpPr>
            <xdr:cNvPr id="1004" name="CaixaArredPrecoUnit"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23</xdr:col>
          <xdr:colOff>428400</xdr:colOff>
          <xdr:row>9</xdr:row>
          <xdr:rowOff>55800</xdr:rowOff>
        </xdr:from>
        <xdr:to>
          <xdr:col>24</xdr:col>
          <xdr:colOff>-240480</xdr:colOff>
          <xdr:row>10</xdr:row>
          <xdr:rowOff>150840</xdr:rowOff>
        </xdr:to>
        <xdr:sp>
          <xdr:nvSpPr>
            <xdr:cNvPr id="1005" name="CaixaArredPrecoTotal"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twoCell">
    <xdr:from>
      <xdr:col>3</xdr:col>
      <xdr:colOff>315720</xdr:colOff>
      <xdr:row>9</xdr:row>
      <xdr:rowOff>19080</xdr:rowOff>
    </xdr:from>
    <xdr:to>
      <xdr:col>3</xdr:col>
      <xdr:colOff>1774440</xdr:colOff>
      <xdr:row>9</xdr:row>
      <xdr:rowOff>323640</xdr:rowOff>
    </xdr:to>
    <xdr:sp macro="[0]!Linhas.AddLinha">
      <xdr:nvSpPr>
        <xdr:cNvPr id="33" name="AutoShape 67"/>
        <xdr:cNvSpPr/>
      </xdr:nvSpPr>
      <xdr:spPr>
        <a:xfrm>
          <a:off x="1452960" y="1590840"/>
          <a:ext cx="1458720" cy="30456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ADICIONAR LINHAS</a:t>
          </a:r>
          <a:endParaRPr lang="pt-BR" sz="1100" b="0" u="none" strike="noStrike">
            <a:effectLst/>
            <a:uFillTx/>
            <a:latin typeface="Times New Roman"/>
          </a:endParaRPr>
        </a:p>
      </xdr:txBody>
    </xdr:sp>
    <xdr:clientData/>
  </xdr:twoCellAnchor>
  <xdr:twoCellAnchor editAs="twoCell">
    <xdr:from>
      <xdr:col>3</xdr:col>
      <xdr:colOff>1866240</xdr:colOff>
      <xdr:row>9</xdr:row>
      <xdr:rowOff>19080</xdr:rowOff>
    </xdr:from>
    <xdr:to>
      <xdr:col>3</xdr:col>
      <xdr:colOff>3301920</xdr:colOff>
      <xdr:row>9</xdr:row>
      <xdr:rowOff>323640</xdr:rowOff>
    </xdr:to>
    <xdr:sp macro="[0]!Linhas.ExcLinhas">
      <xdr:nvSpPr>
        <xdr:cNvPr id="34" name="AutoShape 67"/>
        <xdr:cNvSpPr/>
      </xdr:nvSpPr>
      <xdr:spPr>
        <a:xfrm>
          <a:off x="3003480" y="1590840"/>
          <a:ext cx="1435680" cy="30456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EXCLUIR LINHAS</a:t>
          </a:r>
          <a:endParaRPr lang="pt-BR" sz="1100" b="0" u="none" strike="noStrike">
            <a:effectLst/>
            <a:uFillTx/>
            <a:latin typeface="Times New Roman"/>
          </a:endParaRPr>
        </a:p>
      </xdr:txBody>
    </xdr:sp>
    <xdr:clientData/>
  </xdr:twoCellAnchor>
  <xdr:twoCellAnchor editAs="twoCell">
    <xdr:from>
      <xdr:col>5</xdr:col>
      <xdr:colOff>95400</xdr:colOff>
      <xdr:row>9</xdr:row>
      <xdr:rowOff>19080</xdr:rowOff>
    </xdr:from>
    <xdr:to>
      <xdr:col>5</xdr:col>
      <xdr:colOff>1851840</xdr:colOff>
      <xdr:row>9</xdr:row>
      <xdr:rowOff>323640</xdr:rowOff>
    </xdr:to>
    <xdr:sp>
      <xdr:nvSpPr>
        <xdr:cNvPr id="35" name="AutoShape 67">
          <a:hlinkClick r:id="rId1"/>
        </xdr:cNvPr>
        <xdr:cNvSpPr/>
      </xdr:nvSpPr>
      <xdr:spPr>
        <a:xfrm>
          <a:off x="4797000" y="1590840"/>
          <a:ext cx="175644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DEFINIR FRENTES DE OBRA</a:t>
          </a:r>
          <a:endParaRPr lang="pt-BR" sz="1100" b="0" u="none" strike="noStrike">
            <a:effectLst/>
            <a:uFillTx/>
            <a:latin typeface="Times New Roman"/>
          </a:endParaRPr>
        </a:p>
      </xdr:txBody>
    </xdr:sp>
    <xdr:clientData/>
  </xdr:twoCellAnchor>
  <xdr:twoCellAnchor editAs="twoCell">
    <xdr:from>
      <xdr:col>2</xdr:col>
      <xdr:colOff>31680</xdr:colOff>
      <xdr:row>1</xdr:row>
      <xdr:rowOff>31680</xdr:rowOff>
    </xdr:from>
    <xdr:to>
      <xdr:col>3</xdr:col>
      <xdr:colOff>1006560</xdr:colOff>
      <xdr:row>2</xdr:row>
      <xdr:rowOff>35640</xdr:rowOff>
    </xdr:to>
    <xdr:pic>
      <xdr:nvPicPr>
        <xdr:cNvPr id="36" name="Picture 2"/>
        <xdr:cNvPicPr/>
      </xdr:nvPicPr>
      <xdr:blipFill>
        <a:blip r:embed="rId2"/>
        <a:stretch/>
      </xdr:blipFill>
      <xdr:spPr>
        <a:xfrm>
          <a:off x="283320" y="31680"/>
          <a:ext cx="1860480" cy="384840"/>
        </a:xfrm>
        <a:prstGeom prst="rect">
          <a:avLst/>
        </a:prstGeom>
        <a:noFill/>
        <a:ln w="0">
          <a:noFill/>
        </a:ln>
      </xdr:spPr>
    </xdr:pic>
    <xdr:clientData/>
  </xdr:twoCellAnchor>
  <xdr:twoCellAnchor editAs="twoCell">
    <xdr:from>
      <xdr:col>0</xdr:col>
      <xdr:colOff>95400</xdr:colOff>
      <xdr:row>9</xdr:row>
      <xdr:rowOff>19080</xdr:rowOff>
    </xdr:from>
    <xdr:to>
      <xdr:col>2</xdr:col>
      <xdr:colOff>421200</xdr:colOff>
      <xdr:row>9</xdr:row>
      <xdr:rowOff>323640</xdr:rowOff>
    </xdr:to>
    <xdr:sp>
      <xdr:nvSpPr>
        <xdr:cNvPr id="37" name="AutoShape 67">
          <a:hlinkClick r:id="rId3"/>
        </xdr:cNvPr>
        <xdr:cNvSpPr/>
      </xdr:nvSpPr>
      <xdr:spPr>
        <a:xfrm>
          <a:off x="95400" y="1590840"/>
          <a:ext cx="57744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2</xdr:col>
      <xdr:colOff>497520</xdr:colOff>
      <xdr:row>9</xdr:row>
      <xdr:rowOff>23040</xdr:rowOff>
    </xdr:from>
    <xdr:to>
      <xdr:col>3</xdr:col>
      <xdr:colOff>229680</xdr:colOff>
      <xdr:row>9</xdr:row>
      <xdr:rowOff>327600</xdr:rowOff>
    </xdr:to>
    <xdr:sp>
      <xdr:nvSpPr>
        <xdr:cNvPr id="38" name="AutoShape 67">
          <a:hlinkClick r:id="rId4"/>
        </xdr:cNvPr>
        <xdr:cNvSpPr/>
      </xdr:nvSpPr>
      <xdr:spPr>
        <a:xfrm>
          <a:off x="749160" y="1594800"/>
          <a:ext cx="61776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PO</a:t>
          </a:r>
          <a:endParaRPr lang="pt-BR" sz="1100" b="0" u="none" strike="noStrike">
            <a:effectLst/>
            <a:uFillTx/>
            <a:latin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152280</xdr:colOff>
      <xdr:row>6</xdr:row>
      <xdr:rowOff>9360</xdr:rowOff>
    </xdr:from>
    <xdr:to>
      <xdr:col>3</xdr:col>
      <xdr:colOff>473760</xdr:colOff>
      <xdr:row>7</xdr:row>
      <xdr:rowOff>123480</xdr:rowOff>
    </xdr:to>
    <xdr:sp>
      <xdr:nvSpPr>
        <xdr:cNvPr id="39" name="AutoShape 67">
          <a:hlinkClick r:id="rId1"/>
        </xdr:cNvPr>
        <xdr:cNvSpPr/>
      </xdr:nvSpPr>
      <xdr:spPr>
        <a:xfrm>
          <a:off x="152280" y="209520"/>
          <a:ext cx="57312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5</xdr:col>
      <xdr:colOff>178920</xdr:colOff>
      <xdr:row>11</xdr:row>
      <xdr:rowOff>266760</xdr:rowOff>
    </xdr:from>
    <xdr:to>
      <xdr:col>5</xdr:col>
      <xdr:colOff>2904480</xdr:colOff>
      <xdr:row>11</xdr:row>
      <xdr:rowOff>571320</xdr:rowOff>
    </xdr:to>
    <xdr:sp macro="[0]!IrPara_Eventos">
      <xdr:nvSpPr>
        <xdr:cNvPr id="40" name="AutoShape 67"/>
        <xdr:cNvSpPr/>
      </xdr:nvSpPr>
      <xdr:spPr>
        <a:xfrm>
          <a:off x="1920240" y="1333440"/>
          <a:ext cx="272556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REDEFINIR AGRUPADORES DE EVENTOS</a:t>
          </a:r>
          <a:endParaRPr lang="pt-BR" sz="1100" b="0" u="none" strike="noStrike">
            <a:effectLst/>
            <a:uFillTx/>
            <a:latin typeface="Times New Roman"/>
          </a:endParaRPr>
        </a:p>
      </xdr:txBody>
    </xdr:sp>
    <xdr:clientData/>
  </xdr:twoCellAnchor>
  <xdr:twoCellAnchor editAs="twoCell">
    <xdr:from>
      <xdr:col>5</xdr:col>
      <xdr:colOff>2977560</xdr:colOff>
      <xdr:row>11</xdr:row>
      <xdr:rowOff>266760</xdr:rowOff>
    </xdr:from>
    <xdr:to>
      <xdr:col>6</xdr:col>
      <xdr:colOff>26280</xdr:colOff>
      <xdr:row>11</xdr:row>
      <xdr:rowOff>571320</xdr:rowOff>
    </xdr:to>
    <xdr:sp macro="[0]!Colunas.incluirpag">
      <xdr:nvSpPr>
        <xdr:cNvPr id="41" name="AutoShape 67"/>
        <xdr:cNvSpPr/>
      </xdr:nvSpPr>
      <xdr:spPr>
        <a:xfrm>
          <a:off x="4718880" y="1333440"/>
          <a:ext cx="1670040" cy="30456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ADICIONAR 8 FRENTES</a:t>
          </a:r>
          <a:endParaRPr lang="pt-BR" sz="1100" b="0" u="none" strike="noStrike">
            <a:effectLst/>
            <a:uFillTx/>
            <a:latin typeface="Times New Roman"/>
          </a:endParaRPr>
        </a:p>
      </xdr:txBody>
    </xdr:sp>
    <xdr:clientData/>
  </xdr:twoCellAnchor>
  <xdr:twoCellAnchor editAs="twoCell">
    <xdr:from>
      <xdr:col>6</xdr:col>
      <xdr:colOff>93240</xdr:colOff>
      <xdr:row>11</xdr:row>
      <xdr:rowOff>266760</xdr:rowOff>
    </xdr:from>
    <xdr:to>
      <xdr:col>7</xdr:col>
      <xdr:colOff>908280</xdr:colOff>
      <xdr:row>11</xdr:row>
      <xdr:rowOff>580680</xdr:rowOff>
    </xdr:to>
    <xdr:sp macro="[0]!Colunas.excluirpag">
      <xdr:nvSpPr>
        <xdr:cNvPr id="42" name="AutoShape 67"/>
        <xdr:cNvSpPr/>
      </xdr:nvSpPr>
      <xdr:spPr>
        <a:xfrm>
          <a:off x="6455880" y="1333440"/>
          <a:ext cx="1559880" cy="31392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EXCLUIR 8 FRENTES</a:t>
          </a:r>
          <a:endParaRPr lang="pt-BR" sz="1100" b="0" u="none" strike="noStrike">
            <a:effectLst/>
            <a:uFillTx/>
            <a:latin typeface="Times New Roman"/>
          </a:endParaRPr>
        </a:p>
      </xdr:txBody>
    </xdr:sp>
    <xdr:clientData/>
  </xdr:twoCellAnchor>
  <xdr:twoCellAnchor editAs="twoCell">
    <xdr:from>
      <xdr:col>2</xdr:col>
      <xdr:colOff>137520</xdr:colOff>
      <xdr:row>8</xdr:row>
      <xdr:rowOff>13680</xdr:rowOff>
    </xdr:from>
    <xdr:to>
      <xdr:col>3</xdr:col>
      <xdr:colOff>472680</xdr:colOff>
      <xdr:row>9</xdr:row>
      <xdr:rowOff>157320</xdr:rowOff>
    </xdr:to>
    <xdr:sp>
      <xdr:nvSpPr>
        <xdr:cNvPr id="43" name="AutoShape 67">
          <a:hlinkClick r:id="rId2"/>
        </xdr:cNvPr>
        <xdr:cNvSpPr/>
      </xdr:nvSpPr>
      <xdr:spPr>
        <a:xfrm>
          <a:off x="137520" y="566280"/>
          <a:ext cx="586800" cy="3052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PO</a:t>
          </a:r>
          <a:endParaRPr lang="pt-BR" sz="1100" b="0" u="none" strike="noStrike">
            <a:effectLst/>
            <a:uFillTx/>
            <a:latin typeface="Times New Roman"/>
          </a:endParaRPr>
        </a:p>
      </xdr:txBody>
    </xdr:sp>
    <xdr:clientData/>
  </xdr:twoCellAnchor>
  <xdr:twoCellAnchor editAs="twoCell">
    <xdr:from>
      <xdr:col>4</xdr:col>
      <xdr:colOff>0</xdr:colOff>
      <xdr:row>5</xdr:row>
      <xdr:rowOff>21240</xdr:rowOff>
    </xdr:from>
    <xdr:to>
      <xdr:col>5</xdr:col>
      <xdr:colOff>974880</xdr:colOff>
      <xdr:row>7</xdr:row>
      <xdr:rowOff>14400</xdr:rowOff>
    </xdr:to>
    <xdr:pic>
      <xdr:nvPicPr>
        <xdr:cNvPr id="44" name="Picture 2"/>
        <xdr:cNvPicPr/>
      </xdr:nvPicPr>
      <xdr:blipFill>
        <a:blip r:embed="rId3"/>
        <a:stretch/>
      </xdr:blipFill>
      <xdr:spPr>
        <a:xfrm>
          <a:off x="855360" y="21240"/>
          <a:ext cx="1860840" cy="383760"/>
        </a:xfrm>
        <a:prstGeom prst="rect">
          <a:avLst/>
        </a:prstGeom>
        <a:noFill/>
        <a:ln w="0">
          <a:noFill/>
        </a:ln>
      </xdr:spPr>
    </xdr:pic>
    <xdr:clientData/>
  </xdr:twoCellAnchor>
  <xdr:twoCellAnchor editAs="twoCell">
    <xdr:from>
      <xdr:col>2</xdr:col>
      <xdr:colOff>137520</xdr:colOff>
      <xdr:row>10</xdr:row>
      <xdr:rowOff>66600</xdr:rowOff>
    </xdr:from>
    <xdr:to>
      <xdr:col>3</xdr:col>
      <xdr:colOff>472680</xdr:colOff>
      <xdr:row>11</xdr:row>
      <xdr:rowOff>212400</xdr:rowOff>
    </xdr:to>
    <xdr:sp macro="[0]!IrPara_Crono">
      <xdr:nvSpPr>
        <xdr:cNvPr id="45" name="AutoShape 67"/>
        <xdr:cNvSpPr/>
      </xdr:nvSpPr>
      <xdr:spPr>
        <a:xfrm>
          <a:off x="137520" y="942840"/>
          <a:ext cx="586800" cy="3362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CRONO</a:t>
          </a:r>
          <a:endParaRPr lang="pt-BR" sz="1100" b="0" u="none" strike="noStrike">
            <a:effectLst/>
            <a:uFillTx/>
            <a:latin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138960</xdr:colOff>
      <xdr:row>10</xdr:row>
      <xdr:rowOff>9360</xdr:rowOff>
    </xdr:from>
    <xdr:to>
      <xdr:col>2</xdr:col>
      <xdr:colOff>826200</xdr:colOff>
      <xdr:row>10</xdr:row>
      <xdr:rowOff>323280</xdr:rowOff>
    </xdr:to>
    <xdr:sp>
      <xdr:nvSpPr>
        <xdr:cNvPr id="46" name="AutoShape 67">
          <a:hlinkClick r:id="rId1"/>
        </xdr:cNvPr>
        <xdr:cNvSpPr/>
      </xdr:nvSpPr>
      <xdr:spPr>
        <a:xfrm>
          <a:off x="964440" y="1647720"/>
          <a:ext cx="687240" cy="3139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EVENTOS</a:t>
          </a:r>
          <a:endParaRPr lang="pt-BR" sz="1100" b="0" u="none" strike="noStrike">
            <a:effectLst/>
            <a:uFillTx/>
            <a:latin typeface="Times New Roman"/>
          </a:endParaRPr>
        </a:p>
      </xdr:txBody>
    </xdr:sp>
    <xdr:clientData/>
  </xdr:twoCellAnchor>
  <xdr:twoCellAnchor editAs="twoCell">
    <xdr:from>
      <xdr:col>2</xdr:col>
      <xdr:colOff>137160</xdr:colOff>
      <xdr:row>10</xdr:row>
      <xdr:rowOff>419040</xdr:rowOff>
    </xdr:from>
    <xdr:to>
      <xdr:col>2</xdr:col>
      <xdr:colOff>1603440</xdr:colOff>
      <xdr:row>10</xdr:row>
      <xdr:rowOff>723600</xdr:rowOff>
    </xdr:to>
    <xdr:sp macro="[0]!CRONO.AtualizarLinhas">
      <xdr:nvSpPr>
        <xdr:cNvPr id="47" name="AutoShape 67"/>
        <xdr:cNvSpPr/>
      </xdr:nvSpPr>
      <xdr:spPr>
        <a:xfrm>
          <a:off x="962640" y="2057400"/>
          <a:ext cx="1466280" cy="30456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ATUALIZAR LINHAS</a:t>
          </a:r>
          <a:endParaRPr lang="pt-BR" sz="1100" b="0" u="none" strike="noStrike">
            <a:effectLst/>
            <a:uFillTx/>
            <a:latin typeface="Times New Roman"/>
          </a:endParaRPr>
        </a:p>
      </xdr:txBody>
    </xdr:sp>
    <xdr:clientData/>
  </xdr:twoCellAnchor>
  <xdr:twoCellAnchor editAs="twoCell">
    <xdr:from>
      <xdr:col>1</xdr:col>
      <xdr:colOff>0</xdr:colOff>
      <xdr:row>1</xdr:row>
      <xdr:rowOff>21240</xdr:rowOff>
    </xdr:from>
    <xdr:to>
      <xdr:col>2</xdr:col>
      <xdr:colOff>1281960</xdr:colOff>
      <xdr:row>2</xdr:row>
      <xdr:rowOff>25200</xdr:rowOff>
    </xdr:to>
    <xdr:pic>
      <xdr:nvPicPr>
        <xdr:cNvPr id="48" name="Picture 2"/>
        <xdr:cNvPicPr/>
      </xdr:nvPicPr>
      <xdr:blipFill>
        <a:blip r:embed="rId2"/>
        <a:stretch/>
      </xdr:blipFill>
      <xdr:spPr>
        <a:xfrm>
          <a:off x="251640" y="21240"/>
          <a:ext cx="1855800" cy="384840"/>
        </a:xfrm>
        <a:prstGeom prst="rect">
          <a:avLst/>
        </a:prstGeom>
        <a:noFill/>
        <a:ln w="0">
          <a:noFill/>
        </a:ln>
      </xdr:spPr>
    </xdr:pic>
    <xdr:clientData/>
  </xdr:twoCellAnchor>
  <xdr:twoCellAnchor editAs="twoCell">
    <xdr:from>
      <xdr:col>1</xdr:col>
      <xdr:colOff>19080</xdr:colOff>
      <xdr:row>10</xdr:row>
      <xdr:rowOff>18720</xdr:rowOff>
    </xdr:from>
    <xdr:to>
      <xdr:col>2</xdr:col>
      <xdr:colOff>45360</xdr:colOff>
      <xdr:row>10</xdr:row>
      <xdr:rowOff>323280</xdr:rowOff>
    </xdr:to>
    <xdr:sp>
      <xdr:nvSpPr>
        <xdr:cNvPr id="49" name="AutoShape 67">
          <a:hlinkClick r:id="rId3"/>
        </xdr:cNvPr>
        <xdr:cNvSpPr/>
      </xdr:nvSpPr>
      <xdr:spPr>
        <a:xfrm>
          <a:off x="270720" y="1657080"/>
          <a:ext cx="600120" cy="3045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2</xdr:col>
      <xdr:colOff>1672560</xdr:colOff>
      <xdr:row>10</xdr:row>
      <xdr:rowOff>9360</xdr:rowOff>
    </xdr:from>
    <xdr:to>
      <xdr:col>2</xdr:col>
      <xdr:colOff>2359800</xdr:colOff>
      <xdr:row>10</xdr:row>
      <xdr:rowOff>323280</xdr:rowOff>
    </xdr:to>
    <xdr:sp>
      <xdr:nvSpPr>
        <xdr:cNvPr id="50" name="AutoShape 67">
          <a:hlinkClick r:id="rId4"/>
        </xdr:cNvPr>
        <xdr:cNvSpPr/>
      </xdr:nvSpPr>
      <xdr:spPr>
        <a:xfrm>
          <a:off x="2498040" y="1647720"/>
          <a:ext cx="687240" cy="3139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CFF</a:t>
          </a:r>
          <a:endParaRPr lang="pt-BR" sz="1100" b="0" u="none" strike="noStrike">
            <a:effectLst/>
            <a:uFillTx/>
            <a:latin typeface="Times New Roman"/>
          </a:endParaRPr>
        </a:p>
      </xdr:txBody>
    </xdr:sp>
    <xdr:clientData/>
  </xdr:twoCellAnchor>
  <xdr:twoCellAnchor editAs="twoCell">
    <xdr:from>
      <xdr:col>2</xdr:col>
      <xdr:colOff>901080</xdr:colOff>
      <xdr:row>10</xdr:row>
      <xdr:rowOff>9360</xdr:rowOff>
    </xdr:from>
    <xdr:to>
      <xdr:col>2</xdr:col>
      <xdr:colOff>1588320</xdr:colOff>
      <xdr:row>10</xdr:row>
      <xdr:rowOff>323280</xdr:rowOff>
    </xdr:to>
    <xdr:sp>
      <xdr:nvSpPr>
        <xdr:cNvPr id="51" name="AutoShape 67">
          <a:hlinkClick r:id="rId5"/>
        </xdr:cNvPr>
        <xdr:cNvSpPr/>
      </xdr:nvSpPr>
      <xdr:spPr>
        <a:xfrm>
          <a:off x="1726560" y="1647720"/>
          <a:ext cx="687240" cy="3139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PLQ</a:t>
          </a:r>
          <a:endParaRPr lang="pt-BR" sz="1100" b="0" u="none" strike="noStrike">
            <a:effectLst/>
            <a:uFillTx/>
            <a:latin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twoCell">
    <xdr:from>
      <xdr:col>7</xdr:col>
      <xdr:colOff>142920</xdr:colOff>
      <xdr:row>3</xdr:row>
      <xdr:rowOff>85680</xdr:rowOff>
    </xdr:from>
    <xdr:to>
      <xdr:col>7</xdr:col>
      <xdr:colOff>729360</xdr:colOff>
      <xdr:row>4</xdr:row>
      <xdr:rowOff>190080</xdr:rowOff>
    </xdr:to>
    <xdr:sp>
      <xdr:nvSpPr>
        <xdr:cNvPr id="52" name="AutoShape 67">
          <a:hlinkClick r:id="rId1"/>
        </xdr:cNvPr>
        <xdr:cNvSpPr/>
      </xdr:nvSpPr>
      <xdr:spPr>
        <a:xfrm>
          <a:off x="394560" y="85680"/>
          <a:ext cx="586440" cy="2948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20</xdr:col>
      <xdr:colOff>66600</xdr:colOff>
      <xdr:row>8</xdr:row>
      <xdr:rowOff>93240</xdr:rowOff>
    </xdr:from>
    <xdr:to>
      <xdr:col>22</xdr:col>
      <xdr:colOff>697680</xdr:colOff>
      <xdr:row>10</xdr:row>
      <xdr:rowOff>75600</xdr:rowOff>
    </xdr:to>
    <xdr:sp macro="[0]!IrPara_CronoPLE">
      <xdr:nvSpPr>
        <xdr:cNvPr id="53" name="CRONO.b.preenchEventos"/>
        <xdr:cNvSpPr/>
      </xdr:nvSpPr>
      <xdr:spPr>
        <a:xfrm>
          <a:off x="5623560" y="960120"/>
          <a:ext cx="2181600" cy="3060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PREENCHIMENTO POR EVENTOS</a:t>
          </a:r>
          <a:endParaRPr lang="pt-BR" sz="1100" b="0" u="none" strike="noStrike">
            <a:effectLst/>
            <a:uFillTx/>
            <a:latin typeface="Times New Roman"/>
          </a:endParaRPr>
        </a:p>
      </xdr:txBody>
    </xdr:sp>
    <xdr:clientData/>
  </xdr:twoCellAnchor>
  <xdr:twoCellAnchor editAs="twoCell">
    <xdr:from>
      <xdr:col>8</xdr:col>
      <xdr:colOff>14400</xdr:colOff>
      <xdr:row>8</xdr:row>
      <xdr:rowOff>93240</xdr:rowOff>
    </xdr:from>
    <xdr:to>
      <xdr:col>10</xdr:col>
      <xdr:colOff>16920</xdr:colOff>
      <xdr:row>10</xdr:row>
      <xdr:rowOff>75600</xdr:rowOff>
    </xdr:to>
    <xdr:sp macro="[0]!CRONO.AtualizarLinhas">
      <xdr:nvSpPr>
        <xdr:cNvPr id="54" name="AutoShape 67"/>
        <xdr:cNvSpPr/>
      </xdr:nvSpPr>
      <xdr:spPr>
        <a:xfrm>
          <a:off x="1151640" y="960120"/>
          <a:ext cx="1321560" cy="30600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ATUALIZAR LINHAS</a:t>
          </a:r>
          <a:endParaRPr lang="pt-BR" sz="1100" b="0" u="none" strike="noStrike">
            <a:effectLst/>
            <a:uFillTx/>
            <a:latin typeface="Times New Roman"/>
          </a:endParaRPr>
        </a:p>
      </xdr:txBody>
    </xdr:sp>
    <xdr:clientData/>
  </xdr:twoCellAnchor>
  <xdr:twoCellAnchor editAs="twoCell">
    <xdr:from>
      <xdr:col>25</xdr:col>
      <xdr:colOff>223200</xdr:colOff>
      <xdr:row>8</xdr:row>
      <xdr:rowOff>93240</xdr:rowOff>
    </xdr:from>
    <xdr:to>
      <xdr:col>27</xdr:col>
      <xdr:colOff>483840</xdr:colOff>
      <xdr:row>10</xdr:row>
      <xdr:rowOff>75600</xdr:rowOff>
    </xdr:to>
    <xdr:sp macro="[0]!incluirpag">
      <xdr:nvSpPr>
        <xdr:cNvPr id="55" name="AutoShape 67"/>
        <xdr:cNvSpPr/>
      </xdr:nvSpPr>
      <xdr:spPr>
        <a:xfrm>
          <a:off x="9656640" y="960120"/>
          <a:ext cx="1811520" cy="30600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ADICIONAR 12 PARCELAS</a:t>
          </a:r>
          <a:endParaRPr lang="pt-BR" sz="1100" b="0" u="none" strike="noStrike">
            <a:effectLst/>
            <a:uFillTx/>
            <a:latin typeface="Times New Roman"/>
          </a:endParaRPr>
        </a:p>
      </xdr:txBody>
    </xdr:sp>
    <xdr:clientData/>
  </xdr:twoCellAnchor>
  <xdr:twoCellAnchor editAs="twoCell">
    <xdr:from>
      <xdr:col>27</xdr:col>
      <xdr:colOff>604440</xdr:colOff>
      <xdr:row>8</xdr:row>
      <xdr:rowOff>93240</xdr:rowOff>
    </xdr:from>
    <xdr:to>
      <xdr:col>29</xdr:col>
      <xdr:colOff>685080</xdr:colOff>
      <xdr:row>10</xdr:row>
      <xdr:rowOff>75600</xdr:rowOff>
    </xdr:to>
    <xdr:sp macro="[0]!excluirpag">
      <xdr:nvSpPr>
        <xdr:cNvPr id="56" name="AutoShape 67"/>
        <xdr:cNvSpPr/>
      </xdr:nvSpPr>
      <xdr:spPr>
        <a:xfrm>
          <a:off x="11588760" y="960120"/>
          <a:ext cx="1631160" cy="30600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EXCLUIR 12 PARCELAS</a:t>
          </a:r>
          <a:endParaRPr lang="pt-BR" sz="1100" b="0" u="none" strike="noStrike">
            <a:effectLst/>
            <a:uFillTx/>
            <a:latin typeface="Times New Roman"/>
          </a:endParaRPr>
        </a:p>
      </xdr:txBody>
    </xdr:sp>
    <xdr:clientData/>
  </xdr:twoCellAnchor>
  <xdr:twoCellAnchor editAs="twoCell">
    <xdr:from>
      <xdr:col>8</xdr:col>
      <xdr:colOff>0</xdr:colOff>
      <xdr:row>3</xdr:row>
      <xdr:rowOff>21240</xdr:rowOff>
    </xdr:from>
    <xdr:to>
      <xdr:col>10</xdr:col>
      <xdr:colOff>371880</xdr:colOff>
      <xdr:row>5</xdr:row>
      <xdr:rowOff>25200</xdr:rowOff>
    </xdr:to>
    <xdr:pic>
      <xdr:nvPicPr>
        <xdr:cNvPr id="57" name="Picture 2"/>
        <xdr:cNvPicPr/>
      </xdr:nvPicPr>
      <xdr:blipFill>
        <a:blip r:embed="rId2"/>
        <a:stretch/>
      </xdr:blipFill>
      <xdr:spPr>
        <a:xfrm>
          <a:off x="1137240" y="21240"/>
          <a:ext cx="1690920" cy="384840"/>
        </a:xfrm>
        <a:prstGeom prst="rect">
          <a:avLst/>
        </a:prstGeom>
        <a:noFill/>
        <a:ln w="0">
          <a:noFill/>
        </a:ln>
      </xdr:spPr>
    </xdr:pic>
    <xdr:clientData/>
  </xdr:twoCellAnchor>
  <xdr:twoCellAnchor editAs="twoCell">
    <xdr:from>
      <xdr:col>23</xdr:col>
      <xdr:colOff>714240</xdr:colOff>
      <xdr:row>8</xdr:row>
      <xdr:rowOff>93240</xdr:rowOff>
    </xdr:from>
    <xdr:to>
      <xdr:col>24</xdr:col>
      <xdr:colOff>567360</xdr:colOff>
      <xdr:row>10</xdr:row>
      <xdr:rowOff>64440</xdr:rowOff>
    </xdr:to>
    <xdr:sp>
      <xdr:nvSpPr>
        <xdr:cNvPr id="58" name="AutoShape 67">
          <a:hlinkClick r:id="rId3"/>
        </xdr:cNvPr>
        <xdr:cNvSpPr/>
      </xdr:nvSpPr>
      <xdr:spPr>
        <a:xfrm>
          <a:off x="8597160" y="960120"/>
          <a:ext cx="628560" cy="2948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QCI</a:t>
          </a:r>
          <a:endParaRPr lang="pt-BR" sz="1100" b="0" u="none" strike="noStrike">
            <a:effectLst/>
            <a:uFillTx/>
            <a:latin typeface="Times New Roman"/>
          </a:endParaRPr>
        </a:p>
      </xdr:txBody>
    </xdr:sp>
    <xdr:clientData/>
  </xdr:twoCellAnchor>
  <xdr:twoCellAnchor editAs="twoCell">
    <xdr:from>
      <xdr:col>23</xdr:col>
      <xdr:colOff>47520</xdr:colOff>
      <xdr:row>8</xdr:row>
      <xdr:rowOff>93240</xdr:rowOff>
    </xdr:from>
    <xdr:to>
      <xdr:col>23</xdr:col>
      <xdr:colOff>633960</xdr:colOff>
      <xdr:row>10</xdr:row>
      <xdr:rowOff>64440</xdr:rowOff>
    </xdr:to>
    <xdr:sp>
      <xdr:nvSpPr>
        <xdr:cNvPr id="59" name="AutoShape 67">
          <a:hlinkClick r:id="rId4"/>
        </xdr:cNvPr>
        <xdr:cNvSpPr/>
      </xdr:nvSpPr>
      <xdr:spPr>
        <a:xfrm>
          <a:off x="7930440" y="960120"/>
          <a:ext cx="586440" cy="2948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PO</a:t>
          </a:r>
          <a:endParaRPr lang="pt-BR" sz="1100" b="0" u="none" strike="noStrike">
            <a:effectLst/>
            <a:uFillTx/>
            <a:latin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twoCell">
    <xdr:from>
      <xdr:col>13</xdr:col>
      <xdr:colOff>116280</xdr:colOff>
      <xdr:row>7</xdr:row>
      <xdr:rowOff>141120</xdr:rowOff>
    </xdr:from>
    <xdr:to>
      <xdr:col>15</xdr:col>
      <xdr:colOff>2520</xdr:colOff>
      <xdr:row>10</xdr:row>
      <xdr:rowOff>147960</xdr:rowOff>
    </xdr:to>
    <xdr:sp fLocksText="0">
      <xdr:nvSpPr>
        <xdr:cNvPr id="60" name="AutoShape 317"/>
        <xdr:cNvSpPr/>
      </xdr:nvSpPr>
      <xdr:spPr>
        <a:xfrm>
          <a:off x="12679920" y="1388880"/>
          <a:ext cx="2221560" cy="492480"/>
        </a:xfrm>
        <a:prstGeom prst="wedgeRectCallout">
          <a:avLst>
            <a:gd name="adj1" fmla="val 121111"/>
            <a:gd name="adj2" fmla="val 52440"/>
          </a:avLst>
        </a:prstGeom>
        <a:solidFill>
          <a:srgbClr val="ffff99"/>
        </a:solidFill>
        <a:ln w="9360">
          <a:solidFill>
            <a:srgbClr val="000000"/>
          </a:solidFill>
          <a:miter/>
        </a:ln>
      </xdr:spPr>
      <xdr:style>
        <a:lnRef idx="0"/>
        <a:fillRef idx="0"/>
        <a:effectRef idx="0"/>
        <a:fontRef idx="minor"/>
      </xdr:style>
      <xdr:txBody>
        <a:bodyPr vertOverflow="clip" lIns="27360" rIns="0" tIns="22680" bIns="0" anchor="t">
          <a:noAutofit/>
        </a:bodyPr>
        <a:p>
          <a:pPr>
            <a:lnSpc>
              <a:spcPct val="100000"/>
            </a:lnSpc>
          </a:pPr>
          <a:r>
            <a:rPr lang="pt-BR" sz="1000" b="1" u="none" strike="noStrike">
              <a:solidFill>
                <a:srgbClr val="000000"/>
              </a:solidFill>
              <a:effectLst/>
              <a:uFillTx/>
              <a:latin typeface="Arial"/>
            </a:rPr>
            <a:t>Para inclusão de metas de outras Plan. Mult., digite a descrição e valores manualmente ao lado.</a:t>
          </a:r>
          <a:endParaRPr lang="pt-BR" sz="1000" b="0" u="none" strike="noStrike">
            <a:effectLst/>
            <a:uFillTx/>
            <a:latin typeface="Times New Roman"/>
          </a:endParaRPr>
        </a:p>
      </xdr:txBody>
    </xdr:sp>
    <xdr:clientData/>
  </xdr:twoCellAnchor>
  <xdr:twoCellAnchor editAs="twoCell">
    <xdr:from>
      <xdr:col>3</xdr:col>
      <xdr:colOff>38160</xdr:colOff>
      <xdr:row>8</xdr:row>
      <xdr:rowOff>9360</xdr:rowOff>
    </xdr:from>
    <xdr:to>
      <xdr:col>4</xdr:col>
      <xdr:colOff>57960</xdr:colOff>
      <xdr:row>9</xdr:row>
      <xdr:rowOff>162000</xdr:rowOff>
    </xdr:to>
    <xdr:sp>
      <xdr:nvSpPr>
        <xdr:cNvPr id="61" name="AutoShape 67">
          <a:hlinkClick r:id="rId1"/>
        </xdr:cNvPr>
        <xdr:cNvSpPr/>
      </xdr:nvSpPr>
      <xdr:spPr>
        <a:xfrm>
          <a:off x="289800" y="1419120"/>
          <a:ext cx="482400" cy="3146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4</xdr:col>
      <xdr:colOff>710280</xdr:colOff>
      <xdr:row>8</xdr:row>
      <xdr:rowOff>11520</xdr:rowOff>
    </xdr:from>
    <xdr:to>
      <xdr:col>5</xdr:col>
      <xdr:colOff>722160</xdr:colOff>
      <xdr:row>10</xdr:row>
      <xdr:rowOff>9360</xdr:rowOff>
    </xdr:to>
    <xdr:sp macro="[0]!Linhas.AddLinha">
      <xdr:nvSpPr>
        <xdr:cNvPr id="62" name="AutoShape 67"/>
        <xdr:cNvSpPr/>
      </xdr:nvSpPr>
      <xdr:spPr>
        <a:xfrm>
          <a:off x="1424520" y="1421280"/>
          <a:ext cx="1320840" cy="32148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ADICIONAR LINHAS</a:t>
          </a:r>
          <a:endParaRPr lang="pt-BR" sz="1100" b="0" u="none" strike="noStrike">
            <a:effectLst/>
            <a:uFillTx/>
            <a:latin typeface="Times New Roman"/>
          </a:endParaRPr>
        </a:p>
      </xdr:txBody>
    </xdr:sp>
    <xdr:clientData/>
  </xdr:twoCellAnchor>
  <xdr:twoCellAnchor editAs="twoCell">
    <xdr:from>
      <xdr:col>5</xdr:col>
      <xdr:colOff>777240</xdr:colOff>
      <xdr:row>8</xdr:row>
      <xdr:rowOff>9360</xdr:rowOff>
    </xdr:from>
    <xdr:to>
      <xdr:col>5</xdr:col>
      <xdr:colOff>1892880</xdr:colOff>
      <xdr:row>9</xdr:row>
      <xdr:rowOff>162000</xdr:rowOff>
    </xdr:to>
    <xdr:sp macro="[0]!Linhas.ExcLinhas">
      <xdr:nvSpPr>
        <xdr:cNvPr id="63" name="AutoShape 67"/>
        <xdr:cNvSpPr/>
      </xdr:nvSpPr>
      <xdr:spPr>
        <a:xfrm>
          <a:off x="2800440" y="1419120"/>
          <a:ext cx="1115640" cy="31464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EXCLUIR LINHAS</a:t>
          </a:r>
          <a:endParaRPr lang="pt-BR" sz="1100" b="0" u="none" strike="noStrike">
            <a:effectLst/>
            <a:uFillTx/>
            <a:latin typeface="Times New Roman"/>
          </a:endParaRPr>
        </a:p>
      </xdr:txBody>
    </xdr:sp>
    <xdr:clientData/>
  </xdr:twoCellAnchor>
  <xdr:twoCellAnchor editAs="twoCell">
    <xdr:from>
      <xdr:col>7</xdr:col>
      <xdr:colOff>904320</xdr:colOff>
      <xdr:row>8</xdr:row>
      <xdr:rowOff>9360</xdr:rowOff>
    </xdr:from>
    <xdr:to>
      <xdr:col>9</xdr:col>
      <xdr:colOff>485640</xdr:colOff>
      <xdr:row>10</xdr:row>
      <xdr:rowOff>2520</xdr:rowOff>
    </xdr:to>
    <xdr:sp macro="[0]!cpQCItoCR">
      <xdr:nvSpPr>
        <xdr:cNvPr id="64" name="AutoShape 67"/>
        <xdr:cNvSpPr/>
      </xdr:nvSpPr>
      <xdr:spPr>
        <a:xfrm>
          <a:off x="7448040" y="1419120"/>
          <a:ext cx="1564560" cy="31680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CP QCI = CP CONTRATO</a:t>
          </a:r>
          <a:endParaRPr lang="pt-BR" sz="1100" b="0" u="none" strike="noStrike">
            <a:effectLst/>
            <a:uFillTx/>
            <a:latin typeface="Times New Roman"/>
          </a:endParaRPr>
        </a:p>
      </xdr:txBody>
    </xdr:sp>
    <xdr:clientData/>
  </xdr:twoCellAnchor>
  <xdr:twoCellAnchor editAs="twoCell">
    <xdr:from>
      <xdr:col>3</xdr:col>
      <xdr:colOff>0</xdr:colOff>
      <xdr:row>0</xdr:row>
      <xdr:rowOff>21240</xdr:rowOff>
    </xdr:from>
    <xdr:to>
      <xdr:col>5</xdr:col>
      <xdr:colOff>128160</xdr:colOff>
      <xdr:row>1</xdr:row>
      <xdr:rowOff>25200</xdr:rowOff>
    </xdr:to>
    <xdr:pic>
      <xdr:nvPicPr>
        <xdr:cNvPr id="65" name="Picture 2"/>
        <xdr:cNvPicPr/>
      </xdr:nvPicPr>
      <xdr:blipFill>
        <a:blip r:embed="rId2"/>
        <a:stretch/>
      </xdr:blipFill>
      <xdr:spPr>
        <a:xfrm>
          <a:off x="251640" y="21240"/>
          <a:ext cx="1899720" cy="384840"/>
        </a:xfrm>
        <a:prstGeom prst="rect">
          <a:avLst/>
        </a:prstGeom>
        <a:noFill/>
        <a:ln w="0">
          <a:noFill/>
        </a:ln>
      </xdr:spPr>
    </xdr:pic>
    <xdr:clientData/>
  </xdr:twoCellAnchor>
  <xdr:twoCellAnchor editAs="twoCell">
    <xdr:from>
      <xdr:col>4</xdr:col>
      <xdr:colOff>104760</xdr:colOff>
      <xdr:row>8</xdr:row>
      <xdr:rowOff>9360</xdr:rowOff>
    </xdr:from>
    <xdr:to>
      <xdr:col>4</xdr:col>
      <xdr:colOff>644400</xdr:colOff>
      <xdr:row>9</xdr:row>
      <xdr:rowOff>162000</xdr:rowOff>
    </xdr:to>
    <xdr:sp>
      <xdr:nvSpPr>
        <xdr:cNvPr id="66" name="AutoShape 67">
          <a:hlinkClick r:id="rId3"/>
        </xdr:cNvPr>
        <xdr:cNvSpPr/>
      </xdr:nvSpPr>
      <xdr:spPr>
        <a:xfrm>
          <a:off x="819000" y="1419120"/>
          <a:ext cx="539640" cy="3146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DADOS</a:t>
          </a:r>
          <a:endParaRPr lang="pt-BR" sz="1100" b="0" u="none" strike="noStrike">
            <a:effectLst/>
            <a:uFillTx/>
            <a:latin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0</xdr:colOff>
      <xdr:row>7</xdr:row>
      <xdr:rowOff>61560</xdr:rowOff>
    </xdr:from>
    <xdr:to>
      <xdr:col>2</xdr:col>
      <xdr:colOff>28080</xdr:colOff>
      <xdr:row>9</xdr:row>
      <xdr:rowOff>32760</xdr:rowOff>
    </xdr:to>
    <xdr:sp>
      <xdr:nvSpPr>
        <xdr:cNvPr id="67" name="AutoShape 67">
          <a:hlinkClick r:id="rId1"/>
        </xdr:cNvPr>
        <xdr:cNvSpPr/>
      </xdr:nvSpPr>
      <xdr:spPr>
        <a:xfrm>
          <a:off x="251640" y="928440"/>
          <a:ext cx="601920" cy="3236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1</xdr:col>
      <xdr:colOff>0</xdr:colOff>
      <xdr:row>9</xdr:row>
      <xdr:rowOff>47520</xdr:rowOff>
    </xdr:from>
    <xdr:to>
      <xdr:col>2</xdr:col>
      <xdr:colOff>31320</xdr:colOff>
      <xdr:row>10</xdr:row>
      <xdr:rowOff>188280</xdr:rowOff>
    </xdr:to>
    <xdr:sp>
      <xdr:nvSpPr>
        <xdr:cNvPr id="68" name="AutoShape 67">
          <a:hlinkClick r:id="rId2"/>
        </xdr:cNvPr>
        <xdr:cNvSpPr/>
      </xdr:nvSpPr>
      <xdr:spPr>
        <a:xfrm>
          <a:off x="251640" y="1266840"/>
          <a:ext cx="605160" cy="3024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PLQ</a:t>
          </a:r>
          <a:endParaRPr lang="pt-BR" sz="1100" b="0" u="none" strike="noStrike">
            <a:effectLst/>
            <a:uFillTx/>
            <a:latin typeface="Times New Roman"/>
          </a:endParaRPr>
        </a:p>
      </xdr:txBody>
    </xdr:sp>
    <xdr:clientData/>
  </xdr:twoCellAnchor>
  <xdr:twoCellAnchor editAs="twoCell">
    <xdr:from>
      <xdr:col>1</xdr:col>
      <xdr:colOff>0</xdr:colOff>
      <xdr:row>10</xdr:row>
      <xdr:rowOff>529560</xdr:rowOff>
    </xdr:from>
    <xdr:to>
      <xdr:col>2</xdr:col>
      <xdr:colOff>31320</xdr:colOff>
      <xdr:row>11</xdr:row>
      <xdr:rowOff>3240</xdr:rowOff>
    </xdr:to>
    <xdr:sp>
      <xdr:nvSpPr>
        <xdr:cNvPr id="69" name="AutoShape 67">
          <a:hlinkClick r:id="rId3"/>
        </xdr:cNvPr>
        <xdr:cNvSpPr/>
      </xdr:nvSpPr>
      <xdr:spPr>
        <a:xfrm>
          <a:off x="251640" y="1910520"/>
          <a:ext cx="605160" cy="3024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RRE</a:t>
          </a:r>
          <a:endParaRPr lang="pt-BR" sz="1100" b="0" u="none" strike="noStrike">
            <a:effectLst/>
            <a:uFillTx/>
            <a:latin typeface="Times New Roman"/>
          </a:endParaRPr>
        </a:p>
      </xdr:txBody>
    </xdr:sp>
    <xdr:clientData/>
  </xdr:twoCellAnchor>
  <xdr:twoCellAnchor editAs="twoCell">
    <xdr:from>
      <xdr:col>1</xdr:col>
      <xdr:colOff>0</xdr:colOff>
      <xdr:row>2</xdr:row>
      <xdr:rowOff>21240</xdr:rowOff>
    </xdr:from>
    <xdr:to>
      <xdr:col>3</xdr:col>
      <xdr:colOff>149400</xdr:colOff>
      <xdr:row>4</xdr:row>
      <xdr:rowOff>23040</xdr:rowOff>
    </xdr:to>
    <xdr:pic>
      <xdr:nvPicPr>
        <xdr:cNvPr id="70" name="Picture 2"/>
        <xdr:cNvPicPr/>
      </xdr:nvPicPr>
      <xdr:blipFill>
        <a:blip r:embed="rId4"/>
        <a:stretch/>
      </xdr:blipFill>
      <xdr:spPr>
        <a:xfrm>
          <a:off x="251640" y="21240"/>
          <a:ext cx="1921680" cy="382680"/>
        </a:xfrm>
        <a:prstGeom prst="rect">
          <a:avLst/>
        </a:prstGeom>
        <a:noFill/>
        <a:ln w="0">
          <a:noFill/>
        </a:ln>
      </xdr:spPr>
    </xdr:pic>
    <xdr:clientData/>
  </xdr:twoCellAnchor>
  <xdr:twoCellAnchor editAs="twoCell">
    <xdr:from>
      <xdr:col>1</xdr:col>
      <xdr:colOff>0</xdr:colOff>
      <xdr:row>10</xdr:row>
      <xdr:rowOff>209880</xdr:rowOff>
    </xdr:from>
    <xdr:to>
      <xdr:col>2</xdr:col>
      <xdr:colOff>31320</xdr:colOff>
      <xdr:row>10</xdr:row>
      <xdr:rowOff>512280</xdr:rowOff>
    </xdr:to>
    <xdr:sp>
      <xdr:nvSpPr>
        <xdr:cNvPr id="71" name="AutoShape 67">
          <a:hlinkClick r:id="rId5"/>
        </xdr:cNvPr>
        <xdr:cNvSpPr/>
      </xdr:nvSpPr>
      <xdr:spPr>
        <a:xfrm>
          <a:off x="251640" y="1590840"/>
          <a:ext cx="605160" cy="3024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CRONO</a:t>
          </a:r>
          <a:endParaRPr lang="pt-BR" sz="1100" b="0" u="none" strike="noStrike">
            <a:effectLst/>
            <a:uFillTx/>
            <a:latin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3</xdr:col>
          <xdr:colOff>3805560</xdr:colOff>
          <xdr:row>4</xdr:row>
          <xdr:rowOff>104400</xdr:rowOff>
        </xdr:from>
        <xdr:to>
          <xdr:col>4</xdr:col>
          <xdr:colOff>-5178600</xdr:colOff>
          <xdr:row>5</xdr:row>
          <xdr:rowOff>74880</xdr:rowOff>
        </xdr:to>
        <xdr:sp>
          <xdr:nvSpPr>
            <xdr:cNvPr id="0" name="Botão de rotação 275"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twoCell">
    <xdr:from>
      <xdr:col>8</xdr:col>
      <xdr:colOff>1276200</xdr:colOff>
      <xdr:row>8</xdr:row>
      <xdr:rowOff>66960</xdr:rowOff>
    </xdr:from>
    <xdr:to>
      <xdr:col>12</xdr:col>
      <xdr:colOff>445320</xdr:colOff>
      <xdr:row>10</xdr:row>
      <xdr:rowOff>94680</xdr:rowOff>
    </xdr:to>
    <xdr:sp fLocksText="0">
      <xdr:nvSpPr>
        <xdr:cNvPr id="72" name="TextBoxArred"/>
        <xdr:cNvSpPr/>
      </xdr:nvSpPr>
      <xdr:spPr>
        <a:xfrm flipH="1">
          <a:off x="9269640" y="1314720"/>
          <a:ext cx="2923920" cy="351720"/>
        </a:xfrm>
        <a:prstGeom prst="rect">
          <a:avLst/>
        </a:prstGeom>
        <a:noFill/>
        <a:ln w="6480">
          <a:solidFill>
            <a:srgbClr val="000000"/>
          </a:solidFill>
          <a:miter/>
        </a:ln>
      </xdr:spPr>
      <xdr:style>
        <a:lnRef idx="0"/>
        <a:fillRef idx="0"/>
        <a:effectRef idx="0"/>
        <a:fontRef idx="minor"/>
      </xdr:style>
      <xdr:txBody>
        <a:bodyPr vertOverflow="clip" lIns="27360" rIns="27360" tIns="22680" bIns="0" anchor="t">
          <a:noAutofit/>
        </a:bodyPr>
        <a:p>
          <a:pPr algn="ctr">
            <a:lnSpc>
              <a:spcPct val="100000"/>
            </a:lnSpc>
          </a:pPr>
          <a:r>
            <a:rPr lang="pt-BR" sz="1000" b="0" u="none" strike="noStrike">
              <a:solidFill>
                <a:srgbClr val="000000"/>
              </a:solidFill>
              <a:effectLst/>
              <a:uFillTx/>
              <a:latin typeface="Arial"/>
            </a:rPr>
            <a:t>Considerar valores arredondados com (0,00)</a:t>
          </a:r>
          <a:endParaRPr lang="pt-BR" sz="1000" b="0" u="none" strike="noStrike">
            <a:effectLst/>
            <a:uFillTx/>
            <a:latin typeface="Times New Roman"/>
          </a:endParaRPr>
        </a:p>
      </xdr:txBody>
    </xdr:sp>
    <xdr:clientData/>
  </xdr:twoCellAnchor>
  <xdr:twoCellAnchor editAs="twoCell">
    <xdr:from>
      <xdr:col>3</xdr:col>
      <xdr:colOff>95400</xdr:colOff>
      <xdr:row>8</xdr:row>
      <xdr:rowOff>124200</xdr:rowOff>
    </xdr:from>
    <xdr:to>
      <xdr:col>3</xdr:col>
      <xdr:colOff>681840</xdr:colOff>
      <xdr:row>10</xdr:row>
      <xdr:rowOff>114120</xdr:rowOff>
    </xdr:to>
    <xdr:sp>
      <xdr:nvSpPr>
        <xdr:cNvPr id="73" name="AutoShape 67">
          <a:hlinkClick r:id="rId1"/>
        </xdr:cNvPr>
        <xdr:cNvSpPr/>
      </xdr:nvSpPr>
      <xdr:spPr>
        <a:xfrm>
          <a:off x="347040" y="1371960"/>
          <a:ext cx="586440" cy="3139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4</xdr:col>
      <xdr:colOff>2213640</xdr:colOff>
      <xdr:row>8</xdr:row>
      <xdr:rowOff>122040</xdr:rowOff>
    </xdr:from>
    <xdr:to>
      <xdr:col>4</xdr:col>
      <xdr:colOff>4095360</xdr:colOff>
      <xdr:row>10</xdr:row>
      <xdr:rowOff>104400</xdr:rowOff>
    </xdr:to>
    <xdr:sp macro="[0]!BM.alternaModo">
      <xdr:nvSpPr>
        <xdr:cNvPr id="74" name="ShapeModoBM"/>
        <xdr:cNvSpPr/>
      </xdr:nvSpPr>
      <xdr:spPr>
        <a:xfrm>
          <a:off x="3210120" y="1369800"/>
          <a:ext cx="1881720" cy="30636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Habilitar Modo CAIXA</a:t>
          </a:r>
          <a:endParaRPr lang="pt-BR" sz="1100" b="0" u="none" strike="noStrike">
            <a:effectLst/>
            <a:uFillTx/>
            <a:latin typeface="Times New Roman"/>
          </a:endParaRPr>
        </a:p>
      </xdr:txBody>
    </xdr:sp>
    <xdr:clientData/>
  </xdr:twoCellAnchor>
  <xdr:twoCellAnchor editAs="twoCell">
    <xdr:from>
      <xdr:col>27</xdr:col>
      <xdr:colOff>0</xdr:colOff>
      <xdr:row>6</xdr:row>
      <xdr:rowOff>52200</xdr:rowOff>
    </xdr:from>
    <xdr:to>
      <xdr:col>27</xdr:col>
      <xdr:colOff>360</xdr:colOff>
      <xdr:row>9</xdr:row>
      <xdr:rowOff>111960</xdr:rowOff>
    </xdr:to>
    <xdr:sp fLocksText="0" macro="[0]!CopiarMedição">
      <xdr:nvSpPr>
        <xdr:cNvPr id="75" name="ShapeCopiarMed"/>
        <xdr:cNvSpPr/>
      </xdr:nvSpPr>
      <xdr:spPr>
        <a:xfrm>
          <a:off x="16285680" y="975960"/>
          <a:ext cx="360" cy="54576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Copiar da Medição</a:t>
          </a:r>
          <a:endParaRPr lang="pt-BR" sz="1100" b="0" u="none" strike="noStrike">
            <a:effectLst/>
            <a:uFillTx/>
            <a:latin typeface="Times New Roman"/>
          </a:endParaRPr>
        </a:p>
      </xdr:txBody>
    </xdr:sp>
    <xdr:clientData/>
  </xdr:twoCellAnchor>
  <xdr:twoCellAnchor editAs="twoCell">
    <xdr:from>
      <xdr:col>4</xdr:col>
      <xdr:colOff>806400</xdr:colOff>
      <xdr:row>8</xdr:row>
      <xdr:rowOff>126000</xdr:rowOff>
    </xdr:from>
    <xdr:to>
      <xdr:col>4</xdr:col>
      <xdr:colOff>1392840</xdr:colOff>
      <xdr:row>10</xdr:row>
      <xdr:rowOff>110520</xdr:rowOff>
    </xdr:to>
    <xdr:sp>
      <xdr:nvSpPr>
        <xdr:cNvPr id="76" name="AutoShape 67">
          <a:hlinkClick r:id="rId2"/>
        </xdr:cNvPr>
        <xdr:cNvSpPr/>
      </xdr:nvSpPr>
      <xdr:spPr>
        <a:xfrm>
          <a:off x="1802880" y="1373760"/>
          <a:ext cx="586440" cy="3085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CFF</a:t>
          </a:r>
          <a:endParaRPr lang="pt-BR" sz="1100" b="0" u="none" strike="noStrike">
            <a:effectLst/>
            <a:uFillTx/>
            <a:latin typeface="Times New Roman"/>
          </a:endParaRPr>
        </a:p>
      </xdr:txBody>
    </xdr:sp>
    <xdr:clientData/>
  </xdr:twoCellAnchor>
  <xdr:twoCellAnchor editAs="twoCell">
    <xdr:from>
      <xdr:col>3</xdr:col>
      <xdr:colOff>0</xdr:colOff>
      <xdr:row>0</xdr:row>
      <xdr:rowOff>21240</xdr:rowOff>
    </xdr:from>
    <xdr:to>
      <xdr:col>4</xdr:col>
      <xdr:colOff>1101960</xdr:colOff>
      <xdr:row>2</xdr:row>
      <xdr:rowOff>24120</xdr:rowOff>
    </xdr:to>
    <xdr:pic>
      <xdr:nvPicPr>
        <xdr:cNvPr id="77" name="Picture 2"/>
        <xdr:cNvPicPr/>
      </xdr:nvPicPr>
      <xdr:blipFill>
        <a:blip r:embed="rId3"/>
        <a:stretch/>
      </xdr:blipFill>
      <xdr:spPr>
        <a:xfrm>
          <a:off x="251640" y="21240"/>
          <a:ext cx="1846800" cy="383760"/>
        </a:xfrm>
        <a:prstGeom prst="rect">
          <a:avLst/>
        </a:prstGeom>
        <a:noFill/>
        <a:ln w="0">
          <a:noFill/>
        </a:ln>
      </xdr:spPr>
    </xdr:pic>
    <xdr:clientData/>
  </xdr:twoCellAnchor>
  <xdr:twoCellAnchor editAs="twoCell">
    <xdr:from>
      <xdr:col>4</xdr:col>
      <xdr:colOff>1512360</xdr:colOff>
      <xdr:row>8</xdr:row>
      <xdr:rowOff>126000</xdr:rowOff>
    </xdr:from>
    <xdr:to>
      <xdr:col>4</xdr:col>
      <xdr:colOff>2098800</xdr:colOff>
      <xdr:row>10</xdr:row>
      <xdr:rowOff>110520</xdr:rowOff>
    </xdr:to>
    <xdr:sp>
      <xdr:nvSpPr>
        <xdr:cNvPr id="78" name="AutoShape 67">
          <a:hlinkClick r:id="rId4"/>
        </xdr:cNvPr>
        <xdr:cNvSpPr/>
      </xdr:nvSpPr>
      <xdr:spPr>
        <a:xfrm>
          <a:off x="2508840" y="1373760"/>
          <a:ext cx="586440" cy="3085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RRE</a:t>
          </a:r>
          <a:endParaRPr lang="pt-BR" sz="1100" b="0" u="none" strike="noStrike">
            <a:effectLst/>
            <a:uFillTx/>
            <a:latin typeface="Times New Roman"/>
          </a:endParaRPr>
        </a:p>
      </xdr:txBody>
    </xdr:sp>
    <xdr:clientData/>
  </xdr:twoCellAnchor>
  <xdr:twoCellAnchor editAs="twoCell">
    <xdr:from>
      <xdr:col>4</xdr:col>
      <xdr:colOff>104760</xdr:colOff>
      <xdr:row>8</xdr:row>
      <xdr:rowOff>124200</xdr:rowOff>
    </xdr:from>
    <xdr:to>
      <xdr:col>4</xdr:col>
      <xdr:colOff>691200</xdr:colOff>
      <xdr:row>10</xdr:row>
      <xdr:rowOff>114120</xdr:rowOff>
    </xdr:to>
    <xdr:sp>
      <xdr:nvSpPr>
        <xdr:cNvPr id="79" name="AutoShape 67">
          <a:hlinkClick r:id="rId5"/>
        </xdr:cNvPr>
        <xdr:cNvSpPr/>
      </xdr:nvSpPr>
      <xdr:spPr>
        <a:xfrm>
          <a:off x="1101240" y="1371960"/>
          <a:ext cx="586440" cy="31392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DADOS</a:t>
          </a:r>
          <a:endParaRPr lang="pt-BR" sz="1100" b="0" u="none" strike="noStrike">
            <a:effectLst/>
            <a:uFillTx/>
            <a:latin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3</xdr:col>
          <xdr:colOff>9088560</xdr:colOff>
          <xdr:row>6</xdr:row>
          <xdr:rowOff>73440</xdr:rowOff>
        </xdr:from>
        <xdr:to>
          <xdr:col>4</xdr:col>
          <xdr:colOff>190440</xdr:colOff>
          <xdr:row>7</xdr:row>
          <xdr:rowOff>126720</xdr:rowOff>
        </xdr:to>
        <xdr:sp>
          <xdr:nvSpPr>
            <xdr:cNvPr id="1001" name="CaixaArredMed" descr="" hidden="0"/>
            <xdr:cNvSpPr/>
          </xdr:nvSpPr>
          <xdr:spPr>
            <a:xfrm>
              <a:off x="0" y="0"/>
              <a:ext cx="0" cy="0"/>
            </a:xfrm>
            <a:prstGeom prst="rect">
              <a:avLst/>
            </a:prstGeom>
          </xdr:spPr>
          <xdr:txBody>
            <a:bodyPr anchor="ctr">
              <a:noAutofit/>
            </a:bodyPr>
            <a:p>
              <a:r>
                <a:t/>
              </a:r>
            </a:p>
          </xdr:txBody>
        </xdr:sp>
        <xdr:clientData/>
      </xdr:twoCellAnchor>
    </mc:Choice>
  </mc:AlternateContent>
  <mc:AlternateContent xmlns:mc="http://schemas.openxmlformats.org/markup-compatibility/2006">
    <mc:Choice xmlns:a14="http://schemas.microsoft.com/office/drawing/2010/main" Requires="a14">
      <xdr:twoCellAnchor editAs="oneCell">
        <xdr:from>
          <xdr:col>15</xdr:col>
          <xdr:colOff>28440</xdr:colOff>
          <xdr:row>6</xdr:row>
          <xdr:rowOff>133560</xdr:rowOff>
        </xdr:from>
        <xdr:to>
          <xdr:col>16</xdr:col>
          <xdr:colOff>-344880</xdr:colOff>
          <xdr:row>8</xdr:row>
          <xdr:rowOff>9720</xdr:rowOff>
        </xdr:to>
        <xdr:sp>
          <xdr:nvSpPr>
            <xdr:cNvPr id="0" name="Botão de rotação 23" descr="" hidden="0"/>
            <xdr:cNvSpPr/>
          </xdr:nvSpPr>
          <xdr:spPr>
            <a:xfrm>
              <a:off x="0" y="0"/>
              <a:ext cx="0" cy="0"/>
            </a:xfrm>
            <a:prstGeom prst="rect">
              <a:avLst/>
            </a:prstGeom>
          </xdr:spPr>
          <xdr:txBody>
            <a:bodyPr anchor="ctr">
              <a:noAutofit/>
            </a:bodyPr>
            <a:p>
              <a:r>
                <a:t/>
              </a:r>
            </a:p>
          </xdr:txBody>
        </xdr:sp>
        <xdr:clientData/>
      </xdr:twoCellAnchor>
    </mc:Choice>
  </mc:AlternateContent>
</xdr:wsDr>
</file>

<file path=xl/drawings/drawing21.xml><?xml version="1.0" encoding="utf-8"?>
<xdr:wsDr xmlns:xdr="http://schemas.openxmlformats.org/drawingml/2006/spreadsheetDrawing" xmlns:a="http://schemas.openxmlformats.org/drawingml/2006/main" xmlns:r="http://schemas.openxmlformats.org/officeDocument/2006/relationships">
  <xdr:twoCellAnchor editAs="twoCell">
    <xdr:from>
      <xdr:col>14</xdr:col>
      <xdr:colOff>102960</xdr:colOff>
      <xdr:row>7</xdr:row>
      <xdr:rowOff>160200</xdr:rowOff>
    </xdr:from>
    <xdr:to>
      <xdr:col>24</xdr:col>
      <xdr:colOff>169200</xdr:colOff>
      <xdr:row>10</xdr:row>
      <xdr:rowOff>49320</xdr:rowOff>
    </xdr:to>
    <xdr:sp fLocksText="0">
      <xdr:nvSpPr>
        <xdr:cNvPr id="80" name="AutoShape 317"/>
        <xdr:cNvSpPr/>
      </xdr:nvSpPr>
      <xdr:spPr>
        <a:xfrm>
          <a:off x="10974960" y="1407960"/>
          <a:ext cx="2833920" cy="374760"/>
        </a:xfrm>
        <a:prstGeom prst="wedgeRectCallout">
          <a:avLst>
            <a:gd name="adj1" fmla="val 72181"/>
            <a:gd name="adj2" fmla="val 58333"/>
          </a:avLst>
        </a:prstGeom>
        <a:solidFill>
          <a:srgbClr val="ffff99"/>
        </a:solidFill>
        <a:ln w="9360">
          <a:solidFill>
            <a:srgbClr val="000000"/>
          </a:solidFill>
          <a:miter/>
        </a:ln>
      </xdr:spPr>
      <xdr:style>
        <a:lnRef idx="0"/>
        <a:fillRef idx="0"/>
        <a:effectRef idx="0"/>
        <a:fontRef idx="minor"/>
      </xdr:style>
      <xdr:txBody>
        <a:bodyPr vertOverflow="clip" lIns="27360" rIns="0" tIns="22680" bIns="0" anchor="t">
          <a:noAutofit/>
        </a:bodyPr>
        <a:p>
          <a:pPr>
            <a:lnSpc>
              <a:spcPct val="100000"/>
            </a:lnSpc>
          </a:pPr>
          <a:r>
            <a:rPr lang="pt-BR" sz="1000" b="1" u="none" strike="noStrike">
              <a:solidFill>
                <a:srgbClr val="000000"/>
              </a:solidFill>
              <a:effectLst/>
              <a:uFillTx/>
              <a:latin typeface="Arial"/>
            </a:rPr>
            <a:t>Para Metas preenchidas manualmente, digite o valor medido nas colunas à direita.</a:t>
          </a:r>
          <a:endParaRPr lang="pt-BR" sz="1000" b="0" u="none" strike="noStrike">
            <a:effectLst/>
            <a:uFillTx/>
            <a:latin typeface="Times New Roman"/>
          </a:endParaRPr>
        </a:p>
      </xdr:txBody>
    </xdr:sp>
    <xdr:clientData/>
  </xdr:twoCellAnchor>
  <xdr:twoCellAnchor editAs="twoCell">
    <xdr:from>
      <xdr:col>4</xdr:col>
      <xdr:colOff>85680</xdr:colOff>
      <xdr:row>8</xdr:row>
      <xdr:rowOff>28440</xdr:rowOff>
    </xdr:from>
    <xdr:to>
      <xdr:col>5</xdr:col>
      <xdr:colOff>142560</xdr:colOff>
      <xdr:row>10</xdr:row>
      <xdr:rowOff>10800</xdr:rowOff>
    </xdr:to>
    <xdr:sp>
      <xdr:nvSpPr>
        <xdr:cNvPr id="81" name="AutoShape 67">
          <a:hlinkClick r:id="rId1"/>
        </xdr:cNvPr>
        <xdr:cNvSpPr/>
      </xdr:nvSpPr>
      <xdr:spPr>
        <a:xfrm>
          <a:off x="337320" y="1438200"/>
          <a:ext cx="590040" cy="30600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twoCellAnchor editAs="twoCell">
    <xdr:from>
      <xdr:col>5</xdr:col>
      <xdr:colOff>240480</xdr:colOff>
      <xdr:row>8</xdr:row>
      <xdr:rowOff>31680</xdr:rowOff>
    </xdr:from>
    <xdr:to>
      <xdr:col>5</xdr:col>
      <xdr:colOff>1523520</xdr:colOff>
      <xdr:row>10</xdr:row>
      <xdr:rowOff>9000</xdr:rowOff>
    </xdr:to>
    <xdr:sp macro="[0]!IrPara_Medição">
      <xdr:nvSpPr>
        <xdr:cNvPr id="82" name="AutoShape 67"/>
        <xdr:cNvSpPr/>
      </xdr:nvSpPr>
      <xdr:spPr>
        <a:xfrm>
          <a:off x="1025280" y="1441440"/>
          <a:ext cx="1283040" cy="3009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EDITAR MEDIÇÃO</a:t>
          </a:r>
          <a:endParaRPr lang="pt-BR" sz="1100" b="0" u="none" strike="noStrike">
            <a:effectLst/>
            <a:uFillTx/>
            <a:latin typeface="Times New Roman"/>
          </a:endParaRPr>
        </a:p>
      </xdr:txBody>
    </xdr:sp>
    <xdr:clientData/>
  </xdr:twoCellAnchor>
  <xdr:twoCellAnchor editAs="twoCell">
    <xdr:from>
      <xdr:col>4</xdr:col>
      <xdr:colOff>0</xdr:colOff>
      <xdr:row>0</xdr:row>
      <xdr:rowOff>21240</xdr:rowOff>
    </xdr:from>
    <xdr:to>
      <xdr:col>5</xdr:col>
      <xdr:colOff>1303200</xdr:colOff>
      <xdr:row>1</xdr:row>
      <xdr:rowOff>25200</xdr:rowOff>
    </xdr:to>
    <xdr:pic>
      <xdr:nvPicPr>
        <xdr:cNvPr id="83" name="Picture 2"/>
        <xdr:cNvPicPr/>
      </xdr:nvPicPr>
      <xdr:blipFill>
        <a:blip r:embed="rId2"/>
        <a:stretch/>
      </xdr:blipFill>
      <xdr:spPr>
        <a:xfrm>
          <a:off x="251640" y="21240"/>
          <a:ext cx="1836360" cy="384840"/>
        </a:xfrm>
        <a:prstGeom prst="rect">
          <a:avLst/>
        </a:prstGeom>
        <a:noFill/>
        <a:ln w="0">
          <a:noFill/>
        </a:ln>
      </xdr:spPr>
    </xdr:pic>
    <xdr:clientData/>
  </xdr:twoCellAnchor>
  <xdr:twoCellAnchor editAs="twoCell">
    <xdr:from>
      <xdr:col>5</xdr:col>
      <xdr:colOff>1623600</xdr:colOff>
      <xdr:row>8</xdr:row>
      <xdr:rowOff>31680</xdr:rowOff>
    </xdr:from>
    <xdr:to>
      <xdr:col>5</xdr:col>
      <xdr:colOff>2210040</xdr:colOff>
      <xdr:row>10</xdr:row>
      <xdr:rowOff>9000</xdr:rowOff>
    </xdr:to>
    <xdr:sp>
      <xdr:nvSpPr>
        <xdr:cNvPr id="84" name="AutoShape 67">
          <a:hlinkClick r:id="rId3"/>
        </xdr:cNvPr>
        <xdr:cNvSpPr/>
      </xdr:nvSpPr>
      <xdr:spPr>
        <a:xfrm>
          <a:off x="2408400" y="1441440"/>
          <a:ext cx="586440" cy="30096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OFÍCIO</a:t>
          </a:r>
          <a:endParaRPr lang="pt-BR" sz="1100" b="0" u="none" strike="noStrike">
            <a:effectLst/>
            <a:uFillTx/>
            <a:latin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mlns:r="http://schemas.openxmlformats.org/officeDocument/2006/relationships">
  <xdr:twoCellAnchor editAs="twoCell">
    <xdr:from>
      <xdr:col>4</xdr:col>
      <xdr:colOff>459360</xdr:colOff>
      <xdr:row>1</xdr:row>
      <xdr:rowOff>64440</xdr:rowOff>
    </xdr:from>
    <xdr:to>
      <xdr:col>5</xdr:col>
      <xdr:colOff>485640</xdr:colOff>
      <xdr:row>2</xdr:row>
      <xdr:rowOff>207720</xdr:rowOff>
    </xdr:to>
    <xdr:sp macro="[0]!Plan12.InsereFigura">
      <xdr:nvSpPr>
        <xdr:cNvPr id="85" name="ShapeBrasao"/>
        <xdr:cNvSpPr/>
      </xdr:nvSpPr>
      <xdr:spPr>
        <a:xfrm>
          <a:off x="3610080" y="226440"/>
          <a:ext cx="1476000" cy="305280"/>
        </a:xfrm>
        <a:prstGeom prst="roundRect">
          <a:avLst>
            <a:gd name="adj" fmla="val 16667"/>
          </a:avLst>
        </a:prstGeom>
        <a:solidFill>
          <a:srgbClr val="ffcc99"/>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INSERIR BRASÃO</a:t>
          </a:r>
          <a:endParaRPr lang="pt-BR" sz="1100" b="0" u="none" strike="noStrike">
            <a:effectLst/>
            <a:uFillTx/>
            <a:latin typeface="Times New Roman"/>
          </a:endParaRPr>
        </a:p>
      </xdr:txBody>
    </xdr:sp>
    <xdr:clientData/>
  </xdr:twoCellAnchor>
  <xdr:twoCellAnchor editAs="twoCell">
    <xdr:from>
      <xdr:col>3</xdr:col>
      <xdr:colOff>653400</xdr:colOff>
      <xdr:row>1</xdr:row>
      <xdr:rowOff>66600</xdr:rowOff>
    </xdr:from>
    <xdr:to>
      <xdr:col>3</xdr:col>
      <xdr:colOff>1193040</xdr:colOff>
      <xdr:row>2</xdr:row>
      <xdr:rowOff>209880</xdr:rowOff>
    </xdr:to>
    <xdr:sp>
      <xdr:nvSpPr>
        <xdr:cNvPr id="86" name="AutoShape 67">
          <a:hlinkClick r:id="rId1"/>
        </xdr:cNvPr>
        <xdr:cNvSpPr/>
      </xdr:nvSpPr>
      <xdr:spPr>
        <a:xfrm>
          <a:off x="2354400" y="228600"/>
          <a:ext cx="539640" cy="3052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DADOS</a:t>
          </a:r>
          <a:endParaRPr lang="pt-BR" sz="1100" b="0" u="none" strike="noStrike">
            <a:effectLst/>
            <a:uFillTx/>
            <a:latin typeface="Times New Roman"/>
          </a:endParaRPr>
        </a:p>
      </xdr:txBody>
    </xdr:sp>
    <xdr:clientData/>
  </xdr:twoCellAnchor>
  <xdr:twoCellAnchor editAs="twoCell">
    <xdr:from>
      <xdr:col>3</xdr:col>
      <xdr:colOff>1236960</xdr:colOff>
      <xdr:row>1</xdr:row>
      <xdr:rowOff>63360</xdr:rowOff>
    </xdr:from>
    <xdr:to>
      <xdr:col>4</xdr:col>
      <xdr:colOff>398520</xdr:colOff>
      <xdr:row>2</xdr:row>
      <xdr:rowOff>207000</xdr:rowOff>
    </xdr:to>
    <xdr:sp>
      <xdr:nvSpPr>
        <xdr:cNvPr id="87" name="AutoShape 67">
          <a:hlinkClick r:id="rId2"/>
        </xdr:cNvPr>
        <xdr:cNvSpPr/>
      </xdr:nvSpPr>
      <xdr:spPr>
        <a:xfrm>
          <a:off x="2937960" y="225360"/>
          <a:ext cx="611280" cy="30564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RRE</a:t>
          </a:r>
          <a:endParaRPr lang="pt-BR" sz="1100" b="0" u="none" strike="noStrike">
            <a:effectLst/>
            <a:uFillTx/>
            <a:latin typeface="Times New Roman"/>
          </a:endParaRPr>
        </a:p>
      </xdr:txBody>
    </xdr:sp>
    <xdr:clientData/>
  </xdr:twoCellAnchor>
  <xdr:twoCellAnchor editAs="twoCell">
    <xdr:from>
      <xdr:col>3</xdr:col>
      <xdr:colOff>72360</xdr:colOff>
      <xdr:row>1</xdr:row>
      <xdr:rowOff>66600</xdr:rowOff>
    </xdr:from>
    <xdr:to>
      <xdr:col>3</xdr:col>
      <xdr:colOff>612000</xdr:colOff>
      <xdr:row>2</xdr:row>
      <xdr:rowOff>209880</xdr:rowOff>
    </xdr:to>
    <xdr:sp>
      <xdr:nvSpPr>
        <xdr:cNvPr id="88" name="AutoShape 67">
          <a:hlinkClick r:id="rId3"/>
        </xdr:cNvPr>
        <xdr:cNvSpPr/>
      </xdr:nvSpPr>
      <xdr:spPr>
        <a:xfrm>
          <a:off x="1773360" y="228600"/>
          <a:ext cx="539640" cy="305280"/>
        </a:xfrm>
        <a:prstGeom prst="roundRect">
          <a:avLst>
            <a:gd name="adj" fmla="val 16667"/>
          </a:avLst>
        </a:prstGeom>
        <a:solidFill>
          <a:srgbClr val="99ccff"/>
        </a:solidFill>
        <a:ln w="9360">
          <a:solidFill>
            <a:srgbClr val="808080"/>
          </a:solidFill>
          <a:miter/>
        </a:ln>
      </xdr:spPr>
      <xdr:style>
        <a:lnRef idx="0"/>
        <a:fillRef idx="0"/>
        <a:effectRef idx="0"/>
        <a:fontRef idx="minor"/>
      </xdr:style>
      <xdr:txBody>
        <a:bodyPr vertOverflow="clip" lIns="27360" rIns="27360" tIns="27360" bIns="27360" anchor="ctr">
          <a:noAutofit/>
        </a:bodyPr>
        <a:p>
          <a:pPr algn="ctr">
            <a:lnSpc>
              <a:spcPct val="100000"/>
            </a:lnSpc>
          </a:pPr>
          <a:r>
            <a:rPr lang="pt-BR" sz="1100" b="1" u="none" strike="noStrike">
              <a:solidFill>
                <a:srgbClr val="000000"/>
              </a:solidFill>
              <a:effectLst/>
              <a:uFillTx/>
              <a:latin typeface="Calibri"/>
            </a:rPr>
            <a:t>MENU</a:t>
          </a:r>
          <a:endParaRPr lang="pt-BR" sz="1100" b="0" u="none" strike="noStrike">
            <a:effectLst/>
            <a:uFillTx/>
            <a:latin typeface="Times New Roman"/>
          </a:endParaRPr>
        </a:p>
      </xdr:txBody>
    </xdr:sp>
    <xdr:clientData/>
  </xdr:twoCellAnchor>
</xdr:wsDr>
</file>

<file path=xl/theme/theme1.xml><?xml version="1.0" encoding="utf-8"?>
<a:theme xmlns:a="http://schemas.openxmlformats.org/drawingml/2006/main" xmlns:r="http://schemas.openxmlformats.org/officeDocument/2006/relationships" name="Tema do Office">
  <a:themeElements>
    <a:clrScheme name="Escritório">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Relationship Id="rId2" Type="http://schemas.openxmlformats.org/officeDocument/2006/relationships/vmlDrawing" Target="../drawings/vmlDrawing1.vml"/><Relationship Id="rId3" Type="http://schemas.openxmlformats.org/officeDocument/2006/relationships/ctrlProp" Target="../ctrlProps/ctrlProps3.xml"/><Relationship Id="rId4" Type="http://schemas.openxmlformats.org/officeDocument/2006/relationships/ctrlProp" Target="../ctrlProps/ctrlProps4.x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5.xml"/><Relationship Id="rId3" Type="http://schemas.openxmlformats.org/officeDocument/2006/relationships/vmlDrawing" Target="../drawings/vmlDrawing2.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3.v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7.xml"/><Relationship Id="rId3" Type="http://schemas.openxmlformats.org/officeDocument/2006/relationships/vmlDrawing" Target="../drawings/vmlDrawing4.vml"/><Relationship Id="rId4" Type="http://schemas.openxmlformats.org/officeDocument/2006/relationships/ctrlProp" Target="../ctrlProps/ctrlProps8.xml"/><Relationship Id="rId5" Type="http://schemas.openxmlformats.org/officeDocument/2006/relationships/ctrlProp" Target="../ctrlProps/ctrlProps9.xml"/><Relationship Id="rId6" Type="http://schemas.openxmlformats.org/officeDocument/2006/relationships/ctrlProp" Target="../ctrlProps/ctrlProps10.xml"/><Relationship Id="rId7" Type="http://schemas.openxmlformats.org/officeDocument/2006/relationships/ctrlProp" Target="../ctrlProps/ctrlProps11.xml"/><Relationship Id="rId8" Type="http://schemas.openxmlformats.org/officeDocument/2006/relationships/ctrlProp" Target="../ctrlProps/ctrlProps12.x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13.xml"/><Relationship Id="rId3" Type="http://schemas.openxmlformats.org/officeDocument/2006/relationships/vmlDrawing" Target="../drawings/vmlDrawing5.vml"/>
</Relationships>
</file>

<file path=xl/worksheets/_rels/sheet7.xml.rels><?xml version="1.0" encoding="UTF-8"?>
<Relationships xmlns="http://schemas.openxmlformats.org/package/2006/relationships"><Relationship Id="rId1" Type="http://schemas.openxmlformats.org/officeDocument/2006/relationships/drawing" Target="../drawings/drawing14.xml"/>
</Relationships>
</file>

<file path=xl/worksheets/_rels/sheet8.xml.rels><?xml version="1.0" encoding="UTF-8"?>
<Relationships xmlns="http://schemas.openxmlformats.org/package/2006/relationships"><Relationship Id="rId1" Type="http://schemas.openxmlformats.org/officeDocument/2006/relationships/drawing" Target="../drawings/drawing15.xml"/>
</Relationships>
</file>

<file path=xl/worksheets/_rels/sheet9.xml.rels><?xml version="1.0" encoding="UTF-8"?>
<Relationships xmlns="http://schemas.openxmlformats.org/package/2006/relationships"><Relationship Id="rId1" Type="http://schemas.openxmlformats.org/officeDocument/2006/relationships/drawing" Target="../drawings/drawing16.xml"/>
</Relationships>
</file>

<file path=xl/worksheets/_rels/sheet10.xml.rels><?xml version="1.0" encoding="UTF-8"?>
<Relationships xmlns="http://schemas.openxmlformats.org/package/2006/relationships"><Relationship Id="rId1" Type="http://schemas.openxmlformats.org/officeDocument/2006/relationships/comments" Target="../comments10.xml"/><Relationship Id="rId2" Type="http://schemas.openxmlformats.org/officeDocument/2006/relationships/drawing" Target="../drawings/drawing17.xml"/><Relationship Id="rId3" Type="http://schemas.openxmlformats.org/officeDocument/2006/relationships/vmlDrawing" Target="../drawings/vmlDrawing6.vml"/>
</Relationships>
</file>

<file path=xl/worksheets/_rels/sheet11.xml.rels><?xml version="1.0" encoding="UTF-8"?>
<Relationships xmlns="http://schemas.openxmlformats.org/package/2006/relationships"><Relationship Id="rId1" Type="http://schemas.openxmlformats.org/officeDocument/2006/relationships/drawing" Target="../drawings/drawing18.xml"/>
</Relationships>
</file>

<file path=xl/worksheets/_rels/sheet12.xml.rels><?xml version="1.0" encoding="UTF-8"?>
<Relationships xmlns="http://schemas.openxmlformats.org/package/2006/relationships"><Relationship Id="rId1" Type="http://schemas.openxmlformats.org/officeDocument/2006/relationships/comments" Target="../comments12.xml"/><Relationship Id="rId2" Type="http://schemas.openxmlformats.org/officeDocument/2006/relationships/drawing" Target="../drawings/drawing19.xml"/><Relationship Id="rId3" Type="http://schemas.openxmlformats.org/officeDocument/2006/relationships/vmlDrawing" Target="../drawings/vmlDrawing7.vml"/><Relationship Id="rId4" Type="http://schemas.openxmlformats.org/officeDocument/2006/relationships/ctrlProp" Target="../ctrlProps/ctrlProps20.xml"/>
</Relationships>
</file>

<file path=xl/worksheets/_rels/sheet13.xml.rels><?xml version="1.0" encoding="UTF-8"?>
<Relationships xmlns="http://schemas.openxmlformats.org/package/2006/relationships"><Relationship Id="rId1" Type="http://schemas.openxmlformats.org/officeDocument/2006/relationships/comments" Target="../comments13.xml"/><Relationship Id="rId2" Type="http://schemas.openxmlformats.org/officeDocument/2006/relationships/drawing" Target="../drawings/drawing21.xml"/><Relationship Id="rId3" Type="http://schemas.openxmlformats.org/officeDocument/2006/relationships/vmlDrawing" Target="../drawings/vmlDrawing8.vml"/>
</Relationships>
</file>

<file path=xl/worksheets/_rels/sheet14.xml.rels><?xml version="1.0" encoding="UTF-8"?>
<Relationships xmlns="http://schemas.openxmlformats.org/package/2006/relationships"><Relationship Id="rId1" Type="http://schemas.openxmlformats.org/officeDocument/2006/relationships/drawing" Target="../drawings/drawing2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3:E19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2.75" customHeight="false" zeroHeight="false" outlineLevelRow="0" outlineLevelCol="0"/>
  <cols>
    <col collapsed="false" customWidth="true" hidden="false" outlineLevel="0" max="1" min="1" style="0" width="8.57"/>
    <col collapsed="false" customWidth="true" hidden="false" outlineLevel="0" max="2" min="2" style="0" width="5.57"/>
    <col collapsed="false" customWidth="true" hidden="false" outlineLevel="0" max="3" min="3" style="0" width="3.57"/>
    <col collapsed="false" customWidth="true" hidden="false" outlineLevel="0" max="4" min="4" style="0" width="130.57"/>
  </cols>
  <sheetData>
    <row r="3" customFormat="false" ht="36.75" hidden="false" customHeight="true" outlineLevel="0" collapsed="false">
      <c r="B3" s="1" t="s">
        <v>0</v>
      </c>
    </row>
    <row r="5" customFormat="false" ht="17.35" hidden="false" customHeight="false" outlineLevel="0" collapsed="false">
      <c r="A5" s="2"/>
      <c r="B5" s="3"/>
      <c r="C5" s="3"/>
      <c r="D5" s="4"/>
    </row>
    <row r="6" customFormat="false" ht="17.35" hidden="false" customHeight="false" outlineLevel="0" collapsed="false">
      <c r="A6" s="5" t="s">
        <v>1</v>
      </c>
      <c r="B6" s="6"/>
      <c r="C6" s="6"/>
      <c r="D6" s="7"/>
    </row>
    <row r="7" customFormat="false" ht="13.8" hidden="false" customHeight="false" outlineLevel="0" collapsed="false">
      <c r="A7" s="8"/>
      <c r="B7" s="9" t="s">
        <v>2</v>
      </c>
      <c r="C7" s="9"/>
      <c r="D7" s="7"/>
    </row>
    <row r="8" customFormat="false" ht="13.8" hidden="false" customHeight="false" outlineLevel="0" collapsed="false">
      <c r="A8" s="8"/>
      <c r="B8" s="9"/>
      <c r="C8" s="10" t="str">
        <f aca="false">IF(D8&lt;&gt;"","▪","")</f>
        <v>▪</v>
      </c>
      <c r="D8" s="11" t="s">
        <v>3</v>
      </c>
    </row>
    <row r="9" customFormat="false" ht="13.8" hidden="false" customHeight="false" outlineLevel="0" collapsed="false">
      <c r="A9" s="8"/>
      <c r="B9" s="9"/>
      <c r="C9" s="10" t="str">
        <f aca="false">IF(D9&lt;&gt;"","▪","")</f>
        <v/>
      </c>
      <c r="D9" s="11"/>
    </row>
    <row r="10" customFormat="false" ht="17.35" hidden="false" customHeight="false" outlineLevel="0" collapsed="false">
      <c r="A10" s="12" t="s">
        <v>4</v>
      </c>
      <c r="B10" s="13"/>
      <c r="C10" s="13"/>
      <c r="D10" s="14"/>
    </row>
    <row r="11" customFormat="false" ht="13.8" hidden="false" customHeight="false" outlineLevel="0" collapsed="false">
      <c r="A11" s="8"/>
      <c r="B11" s="9" t="s">
        <v>2</v>
      </c>
      <c r="C11" s="9"/>
      <c r="D11" s="11"/>
    </row>
    <row r="12" customFormat="false" ht="13.8" hidden="false" customHeight="false" outlineLevel="0" collapsed="false">
      <c r="A12" s="8"/>
      <c r="B12" s="9"/>
      <c r="C12" s="10" t="str">
        <f aca="false">IF(D12&lt;&gt;"","▪","")</f>
        <v>▪</v>
      </c>
      <c r="D12" s="11" t="s">
        <v>5</v>
      </c>
    </row>
    <row r="13" customFormat="false" ht="13.8" hidden="false" customHeight="false" outlineLevel="0" collapsed="false">
      <c r="A13" s="8"/>
      <c r="B13" s="9" t="s">
        <v>6</v>
      </c>
      <c r="C13" s="9"/>
      <c r="D13" s="11"/>
    </row>
    <row r="14" customFormat="false" ht="13.8" hidden="false" customHeight="false" outlineLevel="0" collapsed="false">
      <c r="A14" s="8"/>
      <c r="B14" s="9"/>
      <c r="C14" s="10" t="str">
        <f aca="false">IF(D14&lt;&gt;"","▪","")</f>
        <v>▪</v>
      </c>
      <c r="D14" s="11" t="s">
        <v>7</v>
      </c>
    </row>
    <row r="15" customFormat="false" ht="13.8" hidden="false" customHeight="false" outlineLevel="0" collapsed="false">
      <c r="A15" s="8"/>
      <c r="C15" s="10" t="str">
        <f aca="false">IF(D15&lt;&gt;"","▪","")</f>
        <v>▪</v>
      </c>
      <c r="D15" s="11" t="s">
        <v>8</v>
      </c>
    </row>
    <row r="16" customFormat="false" ht="12.75" hidden="false" customHeight="false" outlineLevel="0" collapsed="false">
      <c r="A16" s="2"/>
      <c r="D16" s="15"/>
    </row>
    <row r="17" customFormat="false" ht="17.35" hidden="false" customHeight="false" outlineLevel="0" collapsed="false">
      <c r="A17" s="12" t="s">
        <v>9</v>
      </c>
      <c r="B17" s="13"/>
      <c r="C17" s="13"/>
      <c r="D17" s="14"/>
    </row>
    <row r="18" customFormat="false" ht="13.8" hidden="false" customHeight="false" outlineLevel="0" collapsed="false">
      <c r="A18" s="8"/>
      <c r="B18" s="9" t="s">
        <v>2</v>
      </c>
      <c r="C18" s="9"/>
      <c r="D18" s="11"/>
    </row>
    <row r="19" customFormat="false" ht="13.8" hidden="false" customHeight="false" outlineLevel="0" collapsed="false">
      <c r="A19" s="8"/>
      <c r="B19" s="9"/>
      <c r="C19" s="10" t="str">
        <f aca="false">IF(D19&lt;&gt;"","▪","")</f>
        <v>▪</v>
      </c>
      <c r="D19" s="11" t="s">
        <v>5</v>
      </c>
    </row>
    <row r="20" customFormat="false" ht="13.8" hidden="false" customHeight="false" outlineLevel="0" collapsed="false">
      <c r="A20" s="8"/>
      <c r="B20" s="9"/>
      <c r="C20" s="10" t="str">
        <f aca="false">IF(D20&lt;&gt;"","▪","")</f>
        <v>▪</v>
      </c>
      <c r="D20" s="11" t="s">
        <v>10</v>
      </c>
    </row>
    <row r="21" customFormat="false" ht="13.8" hidden="false" customHeight="false" outlineLevel="0" collapsed="false">
      <c r="A21" s="8"/>
      <c r="B21" s="9" t="s">
        <v>11</v>
      </c>
      <c r="C21" s="9"/>
      <c r="D21" s="11"/>
    </row>
    <row r="22" customFormat="false" ht="13.8" hidden="false" customHeight="false" outlineLevel="0" collapsed="false">
      <c r="A22" s="8"/>
      <c r="B22" s="9"/>
      <c r="C22" s="10" t="str">
        <f aca="false">IF(D22&lt;&gt;"","▪","")</f>
        <v>▪</v>
      </c>
      <c r="D22" s="11" t="s">
        <v>12</v>
      </c>
    </row>
    <row r="23" customFormat="false" ht="13.8" hidden="false" customHeight="false" outlineLevel="0" collapsed="false">
      <c r="A23" s="8"/>
      <c r="B23" s="9" t="s">
        <v>13</v>
      </c>
      <c r="C23" s="9"/>
      <c r="D23" s="11"/>
    </row>
    <row r="24" customFormat="false" ht="13.8" hidden="false" customHeight="false" outlineLevel="0" collapsed="false">
      <c r="A24" s="8"/>
      <c r="B24" s="9"/>
      <c r="C24" s="10" t="str">
        <f aca="false">IF(D24&lt;&gt;"","▪","")</f>
        <v>▪</v>
      </c>
      <c r="D24" s="11" t="s">
        <v>14</v>
      </c>
    </row>
    <row r="25" customFormat="false" ht="13.8" hidden="false" customHeight="false" outlineLevel="0" collapsed="false">
      <c r="A25" s="8"/>
      <c r="B25" s="9" t="s">
        <v>15</v>
      </c>
      <c r="C25" s="9"/>
      <c r="D25" s="11"/>
    </row>
    <row r="26" customFormat="false" ht="13.8" hidden="false" customHeight="false" outlineLevel="0" collapsed="false">
      <c r="A26" s="8"/>
      <c r="B26" s="9"/>
      <c r="C26" s="10" t="str">
        <f aca="false">IF(D26&lt;&gt;"","▪","")</f>
        <v>▪</v>
      </c>
      <c r="D26" s="11" t="s">
        <v>16</v>
      </c>
    </row>
    <row r="27" customFormat="false" ht="13.8" hidden="false" customHeight="false" outlineLevel="0" collapsed="false">
      <c r="A27" s="8"/>
      <c r="B27" s="9" t="s">
        <v>17</v>
      </c>
      <c r="C27" s="9"/>
      <c r="D27" s="11"/>
    </row>
    <row r="28" customFormat="false" ht="13.8" hidden="false" customHeight="false" outlineLevel="0" collapsed="false">
      <c r="A28" s="8"/>
      <c r="B28" s="9"/>
      <c r="C28" s="10" t="str">
        <f aca="false">IF(D28&lt;&gt;"","▪","")</f>
        <v>▪</v>
      </c>
      <c r="D28" s="11" t="s">
        <v>18</v>
      </c>
    </row>
    <row r="29" customFormat="false" ht="12.75" hidden="false" customHeight="false" outlineLevel="0" collapsed="false">
      <c r="A29" s="2"/>
      <c r="D29" s="15"/>
    </row>
    <row r="30" customFormat="false" ht="17.35" hidden="false" customHeight="false" outlineLevel="0" collapsed="false">
      <c r="A30" s="12" t="s">
        <v>19</v>
      </c>
      <c r="B30" s="13"/>
      <c r="C30" s="13"/>
      <c r="D30" s="14"/>
    </row>
    <row r="31" customFormat="false" ht="13.8" hidden="false" customHeight="false" outlineLevel="0" collapsed="false">
      <c r="A31" s="8"/>
      <c r="B31" s="9" t="s">
        <v>2</v>
      </c>
      <c r="C31" s="9"/>
      <c r="D31" s="11"/>
    </row>
    <row r="32" customFormat="false" ht="13.8" hidden="false" customHeight="false" outlineLevel="0" collapsed="false">
      <c r="A32" s="8"/>
      <c r="B32" s="9"/>
      <c r="C32" s="10" t="str">
        <f aca="false">IF(D32&lt;&gt;"","▪","")</f>
        <v>▪</v>
      </c>
      <c r="D32" s="11" t="s">
        <v>10</v>
      </c>
    </row>
    <row r="33" customFormat="false" ht="13.8" hidden="false" customHeight="false" outlineLevel="0" collapsed="false">
      <c r="A33" s="8"/>
      <c r="B33" s="9" t="s">
        <v>20</v>
      </c>
      <c r="C33" s="10"/>
      <c r="D33" s="11"/>
    </row>
    <row r="34" customFormat="false" ht="13.8" hidden="false" customHeight="false" outlineLevel="0" collapsed="false">
      <c r="A34" s="8"/>
      <c r="B34" s="9"/>
      <c r="C34" s="10" t="str">
        <f aca="false">IF(D34&lt;&gt;"","▪","")</f>
        <v>▪</v>
      </c>
      <c r="D34" s="11" t="s">
        <v>21</v>
      </c>
    </row>
    <row r="35" customFormat="false" ht="13.8" hidden="false" customHeight="false" outlineLevel="0" collapsed="false">
      <c r="A35" s="8"/>
      <c r="B35" s="9"/>
      <c r="C35" s="9"/>
      <c r="D35" s="16"/>
      <c r="E35" s="9"/>
    </row>
    <row r="36" customFormat="false" ht="12.75" hidden="false" customHeight="false" outlineLevel="0" collapsed="false">
      <c r="A36" s="2"/>
      <c r="D36" s="15"/>
    </row>
    <row r="37" customFormat="false" ht="17.35" hidden="false" customHeight="false" outlineLevel="0" collapsed="false">
      <c r="A37" s="12" t="s">
        <v>22</v>
      </c>
      <c r="B37" s="13"/>
      <c r="C37" s="13"/>
      <c r="D37" s="14"/>
    </row>
    <row r="38" customFormat="false" ht="13.8" hidden="false" customHeight="false" outlineLevel="0" collapsed="false">
      <c r="A38" s="8"/>
      <c r="B38" s="9" t="s">
        <v>23</v>
      </c>
      <c r="C38" s="9"/>
      <c r="D38" s="11"/>
    </row>
    <row r="39" customFormat="false" ht="13.8" hidden="false" customHeight="false" outlineLevel="0" collapsed="false">
      <c r="A39" s="8"/>
      <c r="B39" s="9"/>
      <c r="C39" s="10" t="str">
        <f aca="false">IF(D39&lt;&gt;"","▪","")</f>
        <v>▪</v>
      </c>
      <c r="D39" s="11" t="s">
        <v>24</v>
      </c>
    </row>
    <row r="40" customFormat="false" ht="13.8" hidden="false" customHeight="false" outlineLevel="0" collapsed="false">
      <c r="A40" s="8"/>
      <c r="B40" s="9" t="s">
        <v>13</v>
      </c>
      <c r="C40" s="9"/>
      <c r="D40" s="11"/>
    </row>
    <row r="41" customFormat="false" ht="13.8" hidden="false" customHeight="false" outlineLevel="0" collapsed="false">
      <c r="A41" s="8"/>
      <c r="B41" s="9"/>
      <c r="C41" s="10" t="str">
        <f aca="false">IF(D41&lt;&gt;"","▪","")</f>
        <v>▪</v>
      </c>
      <c r="D41" s="11" t="s">
        <v>25</v>
      </c>
    </row>
    <row r="42" customFormat="false" ht="13.8" hidden="false" customHeight="false" outlineLevel="0" collapsed="false">
      <c r="A42" s="8"/>
      <c r="B42" s="9" t="s">
        <v>15</v>
      </c>
      <c r="C42" s="9"/>
      <c r="D42" s="11"/>
      <c r="E42" s="9"/>
    </row>
    <row r="43" customFormat="false" ht="13.8" hidden="false" customHeight="false" outlineLevel="0" collapsed="false">
      <c r="A43" s="8"/>
      <c r="B43" s="9"/>
      <c r="C43" s="10" t="str">
        <f aca="false">IF(D43&lt;&gt;"","▪","")</f>
        <v>▪</v>
      </c>
      <c r="D43" s="11" t="s">
        <v>26</v>
      </c>
    </row>
    <row r="44" customFormat="false" ht="13.8" hidden="false" customHeight="false" outlineLevel="0" collapsed="false">
      <c r="A44" s="8"/>
      <c r="B44" s="9"/>
      <c r="C44" s="9"/>
      <c r="D44" s="16"/>
    </row>
    <row r="45" customFormat="false" ht="17.35" hidden="false" customHeight="false" outlineLevel="0" collapsed="false">
      <c r="A45" s="12" t="s">
        <v>27</v>
      </c>
      <c r="B45" s="13"/>
      <c r="C45" s="13"/>
      <c r="D45" s="14"/>
    </row>
    <row r="46" customFormat="false" ht="13.8" hidden="false" customHeight="false" outlineLevel="0" collapsed="false">
      <c r="A46" s="8"/>
      <c r="B46" s="9" t="s">
        <v>2</v>
      </c>
      <c r="C46" s="9"/>
      <c r="D46" s="11"/>
    </row>
    <row r="47" customFormat="false" ht="13.8" hidden="false" customHeight="false" outlineLevel="0" collapsed="false">
      <c r="A47" s="8"/>
      <c r="B47" s="9"/>
      <c r="C47" s="10" t="str">
        <f aca="false">IF(D47&lt;&gt;"","▪","")</f>
        <v>▪</v>
      </c>
      <c r="D47" s="11" t="s">
        <v>28</v>
      </c>
    </row>
    <row r="48" customFormat="false" ht="13.8" hidden="false" customHeight="false" outlineLevel="0" collapsed="false">
      <c r="A48" s="8"/>
      <c r="B48" s="9"/>
      <c r="C48" s="9"/>
      <c r="D48" s="16"/>
    </row>
    <row r="49" customFormat="false" ht="17.35" hidden="false" customHeight="false" outlineLevel="0" collapsed="false">
      <c r="A49" s="12" t="s">
        <v>29</v>
      </c>
      <c r="B49" s="13"/>
      <c r="C49" s="13"/>
      <c r="D49" s="14"/>
    </row>
    <row r="50" customFormat="false" ht="13.8" hidden="false" customHeight="false" outlineLevel="0" collapsed="false">
      <c r="A50" s="8"/>
      <c r="B50" s="9" t="s">
        <v>2</v>
      </c>
      <c r="C50" s="9"/>
      <c r="D50" s="11"/>
    </row>
    <row r="51" customFormat="false" ht="13.8" hidden="false" customHeight="false" outlineLevel="0" collapsed="false">
      <c r="A51" s="8"/>
      <c r="B51" s="9"/>
      <c r="C51" s="10" t="str">
        <f aca="false">IF(D51&lt;&gt;"","▪","")</f>
        <v>▪</v>
      </c>
      <c r="D51" s="11" t="s">
        <v>30</v>
      </c>
    </row>
    <row r="52" customFormat="false" ht="13.8" hidden="false" customHeight="false" outlineLevel="0" collapsed="false">
      <c r="A52" s="8"/>
      <c r="B52" s="9"/>
      <c r="C52" s="10" t="str">
        <f aca="false">IF(D52&lt;&gt;"","▪","")</f>
        <v>▪</v>
      </c>
      <c r="D52" s="11" t="s">
        <v>31</v>
      </c>
    </row>
    <row r="53" customFormat="false" ht="13.8" hidden="false" customHeight="false" outlineLevel="0" collapsed="false">
      <c r="A53" s="8"/>
      <c r="B53" s="9"/>
      <c r="C53" s="9"/>
      <c r="D53" s="16"/>
    </row>
    <row r="54" customFormat="false" ht="17.35" hidden="false" customHeight="false" outlineLevel="0" collapsed="false">
      <c r="A54" s="12" t="s">
        <v>32</v>
      </c>
      <c r="B54" s="13"/>
      <c r="C54" s="13"/>
      <c r="D54" s="14"/>
    </row>
    <row r="55" customFormat="false" ht="13.8" hidden="false" customHeight="false" outlineLevel="0" collapsed="false">
      <c r="A55" s="8"/>
      <c r="B55" s="9" t="s">
        <v>2</v>
      </c>
      <c r="C55" s="9"/>
      <c r="D55" s="11"/>
    </row>
    <row r="56" customFormat="false" ht="13.8" hidden="false" customHeight="false" outlineLevel="0" collapsed="false">
      <c r="A56" s="8"/>
      <c r="B56" s="9"/>
      <c r="C56" s="10" t="str">
        <f aca="false">IF(D56&lt;&gt;"","▪","")</f>
        <v>▪</v>
      </c>
      <c r="D56" s="11" t="s">
        <v>33</v>
      </c>
    </row>
    <row r="57" customFormat="false" ht="30" hidden="false" customHeight="true" outlineLevel="0" collapsed="false">
      <c r="A57" s="8"/>
      <c r="B57" s="9"/>
      <c r="C57" s="10" t="str">
        <f aca="false">IF(D57&lt;&gt;"","▪","")</f>
        <v>▪</v>
      </c>
      <c r="D57" s="11" t="s">
        <v>34</v>
      </c>
    </row>
    <row r="58" customFormat="false" ht="30" hidden="false" customHeight="true" outlineLevel="0" collapsed="false">
      <c r="A58" s="8"/>
      <c r="B58" s="9"/>
      <c r="C58" s="10" t="str">
        <f aca="false">IF(D58&lt;&gt;"","▪","")</f>
        <v>▪</v>
      </c>
      <c r="D58" s="11" t="s">
        <v>35</v>
      </c>
    </row>
    <row r="59" customFormat="false" ht="30" hidden="false" customHeight="true" outlineLevel="0" collapsed="false">
      <c r="A59" s="8"/>
      <c r="B59" s="9"/>
      <c r="C59" s="10" t="str">
        <f aca="false">IF(D59&lt;&gt;"","▪","")</f>
        <v>▪</v>
      </c>
      <c r="D59" s="11" t="s">
        <v>36</v>
      </c>
    </row>
    <row r="60" customFormat="false" ht="13.8" hidden="false" customHeight="false" outlineLevel="0" collapsed="false">
      <c r="A60" s="8"/>
      <c r="B60" s="9"/>
      <c r="C60" s="10" t="str">
        <f aca="false">IF(D60&lt;&gt;"","▪","")</f>
        <v>▪</v>
      </c>
      <c r="D60" s="11" t="s">
        <v>37</v>
      </c>
    </row>
    <row r="61" customFormat="false" ht="13.8" hidden="false" customHeight="false" outlineLevel="0" collapsed="false">
      <c r="A61" s="8"/>
      <c r="B61" s="9"/>
      <c r="C61" s="10" t="str">
        <f aca="false">IF(D61&lt;&gt;"","▪","")</f>
        <v>▪</v>
      </c>
      <c r="D61" s="11" t="s">
        <v>38</v>
      </c>
    </row>
    <row r="62" customFormat="false" ht="30" hidden="false" customHeight="true" outlineLevel="0" collapsed="false">
      <c r="A62" s="8"/>
      <c r="B62" s="9"/>
      <c r="C62" s="10" t="str">
        <f aca="false">IF(D62&lt;&gt;"","▪","")</f>
        <v>▪</v>
      </c>
      <c r="D62" s="11" t="s">
        <v>39</v>
      </c>
    </row>
    <row r="63" customFormat="false" ht="13.8" hidden="false" customHeight="false" outlineLevel="0" collapsed="false">
      <c r="A63" s="8"/>
      <c r="B63" s="9" t="s">
        <v>40</v>
      </c>
      <c r="C63" s="9"/>
      <c r="D63" s="11"/>
    </row>
    <row r="64" customFormat="false" ht="13.8" hidden="false" customHeight="false" outlineLevel="0" collapsed="false">
      <c r="A64" s="8"/>
      <c r="B64" s="9"/>
      <c r="C64" s="10" t="str">
        <f aca="false">IF(D64&lt;&gt;"","▪","")</f>
        <v>▪</v>
      </c>
      <c r="D64" s="11" t="s">
        <v>41</v>
      </c>
    </row>
    <row r="65" customFormat="false" ht="13.8" hidden="false" customHeight="false" outlineLevel="0" collapsed="false">
      <c r="A65" s="8"/>
      <c r="B65" s="9"/>
      <c r="C65" s="10" t="str">
        <f aca="false">IF(D65&lt;&gt;"","▪","")</f>
        <v>▪</v>
      </c>
      <c r="D65" s="11" t="s">
        <v>42</v>
      </c>
    </row>
    <row r="66" customFormat="false" ht="13.8" hidden="false" customHeight="false" outlineLevel="0" collapsed="false">
      <c r="A66" s="8"/>
      <c r="B66" s="9"/>
      <c r="C66" s="10"/>
      <c r="D66" s="17" t="s">
        <v>43</v>
      </c>
    </row>
    <row r="67" customFormat="false" ht="13.8" hidden="false" customHeight="false" outlineLevel="0" collapsed="false">
      <c r="A67" s="8"/>
      <c r="B67" s="9"/>
      <c r="C67" s="10" t="str">
        <f aca="false">IF(D67&lt;&gt;"","▪","")</f>
        <v>▪</v>
      </c>
      <c r="D67" s="11" t="s">
        <v>44</v>
      </c>
    </row>
    <row r="68" customFormat="false" ht="13.8" hidden="false" customHeight="false" outlineLevel="0" collapsed="false">
      <c r="A68" s="8"/>
      <c r="B68" s="9"/>
      <c r="C68" s="10"/>
      <c r="D68" s="17" t="s">
        <v>45</v>
      </c>
    </row>
    <row r="69" customFormat="false" ht="13.8" hidden="false" customHeight="false" outlineLevel="0" collapsed="false">
      <c r="A69" s="8"/>
      <c r="B69" s="9"/>
      <c r="C69" s="10" t="str">
        <f aca="false">IF(D69&lt;&gt;"","▪","")</f>
        <v>▪</v>
      </c>
      <c r="D69" s="11" t="s">
        <v>46</v>
      </c>
    </row>
    <row r="70" customFormat="false" ht="13.8" hidden="false" customHeight="false" outlineLevel="0" collapsed="false">
      <c r="A70" s="8"/>
      <c r="B70" s="9"/>
      <c r="C70" s="10" t="str">
        <f aca="false">IF(D70&lt;&gt;"","▪","")</f>
        <v>▪</v>
      </c>
      <c r="D70" s="11" t="s">
        <v>47</v>
      </c>
    </row>
    <row r="71" customFormat="false" ht="13.8" hidden="false" customHeight="false" outlineLevel="0" collapsed="false">
      <c r="A71" s="8"/>
      <c r="B71" s="9" t="s">
        <v>23</v>
      </c>
      <c r="C71" s="9"/>
      <c r="D71" s="11"/>
    </row>
    <row r="72" customFormat="false" ht="13.8" hidden="false" customHeight="false" outlineLevel="0" collapsed="false">
      <c r="A72" s="8"/>
      <c r="B72" s="9"/>
      <c r="C72" s="10" t="str">
        <f aca="false">IF(D72&lt;&gt;"","▪","")</f>
        <v>▪</v>
      </c>
      <c r="D72" s="11" t="s">
        <v>48</v>
      </c>
    </row>
    <row r="73" customFormat="false" ht="13.8" hidden="false" customHeight="false" outlineLevel="0" collapsed="false">
      <c r="A73" s="8"/>
      <c r="B73" s="9" t="s">
        <v>49</v>
      </c>
      <c r="C73" s="9"/>
      <c r="D73" s="11"/>
    </row>
    <row r="74" customFormat="false" ht="13.8" hidden="false" customHeight="false" outlineLevel="0" collapsed="false">
      <c r="A74" s="8"/>
      <c r="B74" s="9"/>
      <c r="C74" s="10" t="str">
        <f aca="false">IF(D74&lt;&gt;"","▪","")</f>
        <v>▪</v>
      </c>
      <c r="D74" s="11" t="s">
        <v>50</v>
      </c>
    </row>
    <row r="75" customFormat="false" ht="13.8" hidden="false" customHeight="false" outlineLevel="0" collapsed="false">
      <c r="A75" s="8"/>
      <c r="B75" s="9"/>
      <c r="C75" s="10" t="str">
        <f aca="false">IF(D75&lt;&gt;"","▪","")</f>
        <v>▪</v>
      </c>
      <c r="D75" s="11" t="s">
        <v>51</v>
      </c>
    </row>
    <row r="76" customFormat="false" ht="13.8" hidden="false" customHeight="false" outlineLevel="0" collapsed="false">
      <c r="A76" s="8"/>
      <c r="B76" s="9"/>
      <c r="C76" s="10" t="str">
        <f aca="false">IF(D76&lt;&gt;"","▪","")</f>
        <v>▪</v>
      </c>
      <c r="D76" s="11" t="s">
        <v>52</v>
      </c>
    </row>
    <row r="77" customFormat="false" ht="13.8" hidden="false" customHeight="false" outlineLevel="0" collapsed="false">
      <c r="A77" s="8"/>
      <c r="B77" s="9"/>
      <c r="C77" s="10" t="str">
        <f aca="false">IF(D77&lt;&gt;"","▪","")</f>
        <v>▪</v>
      </c>
      <c r="D77" s="11" t="s">
        <v>53</v>
      </c>
    </row>
    <row r="78" customFormat="false" ht="13.8" hidden="false" customHeight="false" outlineLevel="0" collapsed="false">
      <c r="A78" s="8"/>
      <c r="B78" s="9" t="s">
        <v>54</v>
      </c>
      <c r="C78" s="9"/>
      <c r="D78" s="11"/>
    </row>
    <row r="79" customFormat="false" ht="13.8" hidden="false" customHeight="false" outlineLevel="0" collapsed="false">
      <c r="A79" s="8"/>
      <c r="B79" s="9"/>
      <c r="C79" s="10" t="str">
        <f aca="false">IF(D79&lt;&gt;"","▪","")</f>
        <v>▪</v>
      </c>
      <c r="D79" s="11" t="s">
        <v>50</v>
      </c>
    </row>
    <row r="80" customFormat="false" ht="13.8" hidden="false" customHeight="false" outlineLevel="0" collapsed="false">
      <c r="A80" s="8"/>
      <c r="B80" s="9"/>
      <c r="C80" s="10" t="str">
        <f aca="false">IF(D80&lt;&gt;"","▪","")</f>
        <v>▪</v>
      </c>
      <c r="D80" s="11" t="s">
        <v>55</v>
      </c>
    </row>
    <row r="81" customFormat="false" ht="13.8" hidden="false" customHeight="false" outlineLevel="0" collapsed="false">
      <c r="A81" s="8"/>
      <c r="B81" s="9"/>
      <c r="C81" s="10" t="str">
        <f aca="false">IF(D81&lt;&gt;"","▪","")</f>
        <v>▪</v>
      </c>
      <c r="D81" s="11" t="s">
        <v>52</v>
      </c>
    </row>
    <row r="82" customFormat="false" ht="13.8" hidden="false" customHeight="false" outlineLevel="0" collapsed="false">
      <c r="A82" s="8"/>
      <c r="B82" s="9"/>
      <c r="C82" s="10" t="str">
        <f aca="false">IF(D82&lt;&gt;"","▪","")</f>
        <v>▪</v>
      </c>
      <c r="D82" s="11" t="s">
        <v>53</v>
      </c>
    </row>
    <row r="83" customFormat="false" ht="13.8" hidden="false" customHeight="false" outlineLevel="0" collapsed="false">
      <c r="A83" s="8"/>
      <c r="B83" s="9" t="s">
        <v>17</v>
      </c>
      <c r="C83" s="9"/>
      <c r="D83" s="11"/>
    </row>
    <row r="84" customFormat="false" ht="19.5" hidden="false" customHeight="true" outlineLevel="0" collapsed="false">
      <c r="A84" s="8"/>
      <c r="B84" s="9"/>
      <c r="C84" s="10" t="str">
        <f aca="false">IF(D84&lt;&gt;"","▪","")</f>
        <v>▪</v>
      </c>
      <c r="D84" s="11" t="s">
        <v>56</v>
      </c>
    </row>
    <row r="85" customFormat="false" ht="13.8" hidden="false" customHeight="false" outlineLevel="0" collapsed="false">
      <c r="A85" s="8"/>
      <c r="B85" s="9" t="s">
        <v>57</v>
      </c>
      <c r="C85" s="9"/>
      <c r="D85" s="11"/>
    </row>
    <row r="86" customFormat="false" ht="19.5" hidden="false" customHeight="true" outlineLevel="0" collapsed="false">
      <c r="A86" s="8"/>
      <c r="B86" s="9"/>
      <c r="C86" s="10" t="str">
        <f aca="false">IF(D86&lt;&gt;"","▪","")</f>
        <v>▪</v>
      </c>
      <c r="D86" s="11" t="s">
        <v>58</v>
      </c>
    </row>
    <row r="87" customFormat="false" ht="13.8" hidden="false" customHeight="false" outlineLevel="0" collapsed="false">
      <c r="A87" s="2"/>
      <c r="B87" s="18"/>
      <c r="C87" s="18"/>
      <c r="D87" s="19"/>
    </row>
    <row r="88" customFormat="false" ht="17.35" hidden="false" customHeight="false" outlineLevel="0" collapsed="false">
      <c r="A88" s="12" t="s">
        <v>59</v>
      </c>
      <c r="B88" s="13"/>
      <c r="C88" s="13"/>
      <c r="D88" s="14"/>
    </row>
    <row r="89" customFormat="false" ht="13.8" hidden="false" customHeight="false" outlineLevel="0" collapsed="false">
      <c r="A89" s="8"/>
      <c r="B89" s="9" t="s">
        <v>2</v>
      </c>
      <c r="C89" s="9"/>
      <c r="D89" s="11"/>
    </row>
    <row r="90" customFormat="false" ht="13.8" hidden="false" customHeight="false" outlineLevel="0" collapsed="false">
      <c r="A90" s="8"/>
      <c r="B90" s="9"/>
      <c r="C90" s="10" t="str">
        <f aca="false">IF(D90&lt;&gt;"","▪","")</f>
        <v>▪</v>
      </c>
      <c r="D90" s="11" t="s">
        <v>60</v>
      </c>
    </row>
    <row r="91" customFormat="false" ht="13.8" hidden="false" customHeight="false" outlineLevel="0" collapsed="false">
      <c r="A91" s="8"/>
      <c r="B91" s="9" t="s">
        <v>40</v>
      </c>
      <c r="C91" s="9"/>
      <c r="D91" s="11"/>
    </row>
    <row r="92" customFormat="false" ht="13.8" hidden="false" customHeight="false" outlineLevel="0" collapsed="false">
      <c r="A92" s="8"/>
      <c r="B92" s="9"/>
      <c r="C92" s="10" t="str">
        <f aca="false">IF(D92&lt;&gt;"","▪","")</f>
        <v>▪</v>
      </c>
      <c r="D92" s="11" t="s">
        <v>61</v>
      </c>
    </row>
    <row r="93" customFormat="false" ht="35.05" hidden="false" customHeight="false" outlineLevel="0" collapsed="false">
      <c r="A93" s="8"/>
      <c r="B93" s="9"/>
      <c r="C93" s="10" t="str">
        <f aca="false">IF(D93&lt;&gt;"","▪","")</f>
        <v>▪</v>
      </c>
      <c r="D93" s="11" t="s">
        <v>62</v>
      </c>
    </row>
    <row r="94" customFormat="false" ht="23.85" hidden="false" customHeight="false" outlineLevel="0" collapsed="false">
      <c r="A94" s="8"/>
      <c r="B94" s="9"/>
      <c r="C94" s="10" t="str">
        <f aca="false">IF(D94&lt;&gt;"","▪","")</f>
        <v>▪</v>
      </c>
      <c r="D94" s="11" t="s">
        <v>63</v>
      </c>
    </row>
    <row r="95" customFormat="false" ht="13.8" hidden="false" customHeight="false" outlineLevel="0" collapsed="false">
      <c r="A95" s="8"/>
      <c r="B95" s="9" t="s">
        <v>23</v>
      </c>
      <c r="C95" s="9"/>
      <c r="D95" s="11"/>
    </row>
    <row r="96" customFormat="false" ht="13.8" hidden="false" customHeight="false" outlineLevel="0" collapsed="false">
      <c r="A96" s="8"/>
      <c r="B96" s="9"/>
      <c r="C96" s="10" t="str">
        <f aca="false">IF(D96&lt;&gt;"","▪","")</f>
        <v>▪</v>
      </c>
      <c r="D96" s="11" t="s">
        <v>64</v>
      </c>
    </row>
    <row r="97" customFormat="false" ht="13.8" hidden="false" customHeight="false" outlineLevel="0" collapsed="false">
      <c r="A97" s="8"/>
      <c r="B97" s="9" t="s">
        <v>11</v>
      </c>
      <c r="C97" s="9"/>
      <c r="D97" s="11"/>
    </row>
    <row r="98" customFormat="false" ht="13.8" hidden="false" customHeight="false" outlineLevel="0" collapsed="false">
      <c r="A98" s="8"/>
      <c r="B98" s="9"/>
      <c r="C98" s="10" t="str">
        <f aca="false">IF(D98&lt;&gt;"","▪","")</f>
        <v>▪</v>
      </c>
      <c r="D98" s="11" t="s">
        <v>65</v>
      </c>
    </row>
    <row r="99" customFormat="false" ht="13.8" hidden="false" customHeight="false" outlineLevel="0" collapsed="false">
      <c r="A99" s="8"/>
      <c r="B99" s="9" t="s">
        <v>49</v>
      </c>
      <c r="C99" s="9"/>
      <c r="D99" s="11"/>
    </row>
    <row r="100" customFormat="false" ht="23.85" hidden="false" customHeight="false" outlineLevel="0" collapsed="false">
      <c r="A100" s="8"/>
      <c r="B100" s="9"/>
      <c r="C100" s="10" t="str">
        <f aca="false">IF(D100&lt;&gt;"","▪","")</f>
        <v>▪</v>
      </c>
      <c r="D100" s="11" t="s">
        <v>66</v>
      </c>
    </row>
    <row r="101" customFormat="false" ht="13.8" hidden="false" customHeight="false" outlineLevel="0" collapsed="false">
      <c r="A101" s="8"/>
      <c r="B101" s="9"/>
      <c r="C101" s="10" t="str">
        <f aca="false">IF(D101&lt;&gt;"","▪","")</f>
        <v>▪</v>
      </c>
      <c r="D101" s="11" t="s">
        <v>67</v>
      </c>
    </row>
    <row r="102" customFormat="false" ht="13.8" hidden="false" customHeight="false" outlineLevel="0" collapsed="false">
      <c r="A102" s="8"/>
      <c r="B102" s="9" t="s">
        <v>20</v>
      </c>
      <c r="C102" s="9"/>
      <c r="D102" s="11"/>
    </row>
    <row r="103" customFormat="false" ht="13.8" hidden="false" customHeight="false" outlineLevel="0" collapsed="false">
      <c r="A103" s="8"/>
      <c r="B103" s="9"/>
      <c r="C103" s="10" t="str">
        <f aca="false">IF(D103&lt;&gt;"","▪","")</f>
        <v>▪</v>
      </c>
      <c r="D103" s="11" t="s">
        <v>68</v>
      </c>
    </row>
    <row r="104" customFormat="false" ht="13.8" hidden="false" customHeight="false" outlineLevel="0" collapsed="false">
      <c r="A104" s="8"/>
      <c r="B104" s="9" t="s">
        <v>54</v>
      </c>
      <c r="C104" s="9"/>
      <c r="D104" s="11"/>
    </row>
    <row r="105" customFormat="false" ht="13.8" hidden="false" customHeight="false" outlineLevel="0" collapsed="false">
      <c r="A105" s="8"/>
      <c r="B105" s="9"/>
      <c r="C105" s="10" t="str">
        <f aca="false">IF(D105&lt;&gt;"","▪","")</f>
        <v>▪</v>
      </c>
      <c r="D105" s="11" t="s">
        <v>69</v>
      </c>
    </row>
    <row r="106" customFormat="false" ht="13.8" hidden="false" customHeight="false" outlineLevel="0" collapsed="false">
      <c r="A106" s="8"/>
      <c r="B106" s="9"/>
      <c r="C106" s="10" t="str">
        <f aca="false">IF(D106&lt;&gt;"","▪","")</f>
        <v>▪</v>
      </c>
      <c r="D106" s="11" t="s">
        <v>70</v>
      </c>
    </row>
    <row r="107" customFormat="false" ht="13.8" hidden="false" customHeight="false" outlineLevel="0" collapsed="false">
      <c r="A107" s="8"/>
      <c r="B107" s="9" t="s">
        <v>71</v>
      </c>
      <c r="C107" s="9"/>
      <c r="D107" s="11"/>
    </row>
    <row r="108" customFormat="false" ht="13.8" hidden="false" customHeight="false" outlineLevel="0" collapsed="false">
      <c r="A108" s="8"/>
      <c r="B108" s="9"/>
      <c r="C108" s="10" t="str">
        <f aca="false">IF(D108&lt;&gt;"","▪","")</f>
        <v>▪</v>
      </c>
      <c r="D108" s="11" t="s">
        <v>72</v>
      </c>
    </row>
    <row r="109" customFormat="false" ht="13.8" hidden="false" customHeight="false" outlineLevel="0" collapsed="false">
      <c r="A109" s="8"/>
      <c r="B109" s="9"/>
      <c r="C109" s="10" t="str">
        <f aca="false">IF(D109&lt;&gt;"","▪","")</f>
        <v>▪</v>
      </c>
      <c r="D109" s="11" t="s">
        <v>73</v>
      </c>
    </row>
    <row r="110" customFormat="false" ht="13.8" hidden="false" customHeight="false" outlineLevel="0" collapsed="false">
      <c r="A110" s="8"/>
      <c r="B110" s="9"/>
      <c r="C110" s="10" t="str">
        <f aca="false">IF(D110&lt;&gt;"","▪","")</f>
        <v>▪</v>
      </c>
      <c r="D110" s="11" t="s">
        <v>74</v>
      </c>
    </row>
    <row r="111" customFormat="false" ht="13.8" hidden="false" customHeight="false" outlineLevel="0" collapsed="false">
      <c r="A111" s="8"/>
      <c r="B111" s="9" t="s">
        <v>17</v>
      </c>
      <c r="C111" s="9"/>
      <c r="D111" s="11"/>
    </row>
    <row r="112" customFormat="false" ht="13.8" hidden="false" customHeight="false" outlineLevel="0" collapsed="false">
      <c r="A112" s="8"/>
      <c r="B112" s="9"/>
      <c r="C112" s="10" t="str">
        <f aca="false">IF(D112&lt;&gt;"","▪","")</f>
        <v>▪</v>
      </c>
      <c r="D112" s="11" t="s">
        <v>75</v>
      </c>
    </row>
    <row r="113" customFormat="false" ht="13.8" hidden="false" customHeight="false" outlineLevel="0" collapsed="false">
      <c r="A113" s="8"/>
      <c r="B113" s="9" t="s">
        <v>76</v>
      </c>
      <c r="C113" s="9"/>
      <c r="D113" s="11"/>
    </row>
    <row r="114" customFormat="false" ht="13.8" hidden="false" customHeight="false" outlineLevel="0" collapsed="false">
      <c r="A114" s="8"/>
      <c r="B114" s="9"/>
      <c r="C114" s="10" t="str">
        <f aca="false">IF(D114&lt;&gt;"","▪","")</f>
        <v>▪</v>
      </c>
      <c r="D114" s="11" t="s">
        <v>77</v>
      </c>
    </row>
    <row r="115" customFormat="false" ht="13.8" hidden="false" customHeight="false" outlineLevel="0" collapsed="false">
      <c r="A115" s="8"/>
      <c r="B115" s="9" t="s">
        <v>78</v>
      </c>
      <c r="C115" s="9"/>
      <c r="D115" s="11"/>
    </row>
    <row r="116" customFormat="false" ht="13.8" hidden="false" customHeight="false" outlineLevel="0" collapsed="false">
      <c r="A116" s="8"/>
      <c r="B116" s="9"/>
      <c r="C116" s="10" t="str">
        <f aca="false">IF(D116&lt;&gt;"","▪","")</f>
        <v>▪</v>
      </c>
      <c r="D116" s="11" t="s">
        <v>79</v>
      </c>
    </row>
    <row r="117" customFormat="false" ht="13.8" hidden="false" customHeight="false" outlineLevel="0" collapsed="false">
      <c r="A117" s="2"/>
      <c r="B117" s="18"/>
      <c r="C117" s="18"/>
      <c r="D117" s="19"/>
    </row>
    <row r="118" customFormat="false" ht="17.35" hidden="false" customHeight="false" outlineLevel="0" collapsed="false">
      <c r="A118" s="12" t="s">
        <v>80</v>
      </c>
      <c r="B118" s="13"/>
      <c r="C118" s="13"/>
      <c r="D118" s="14"/>
    </row>
    <row r="119" customFormat="false" ht="13.8" hidden="false" customHeight="false" outlineLevel="0" collapsed="false">
      <c r="A119" s="8"/>
      <c r="B119" s="9" t="s">
        <v>40</v>
      </c>
      <c r="C119" s="9"/>
      <c r="D119" s="11"/>
    </row>
    <row r="120" customFormat="false" ht="23.85" hidden="false" customHeight="false" outlineLevel="0" collapsed="false">
      <c r="A120" s="8"/>
      <c r="B120" s="9"/>
      <c r="C120" s="10" t="str">
        <f aca="false">IF(D120&lt;&gt;"","▪","")</f>
        <v>▪</v>
      </c>
      <c r="D120" s="11" t="s">
        <v>81</v>
      </c>
    </row>
    <row r="121" customFormat="false" ht="13.8" hidden="false" customHeight="false" outlineLevel="0" collapsed="false">
      <c r="A121" s="8"/>
      <c r="B121" s="9" t="s">
        <v>11</v>
      </c>
      <c r="C121" s="9"/>
      <c r="D121" s="11"/>
    </row>
    <row r="122" customFormat="false" ht="13.8" hidden="false" customHeight="false" outlineLevel="0" collapsed="false">
      <c r="A122" s="8"/>
      <c r="B122" s="9"/>
      <c r="C122" s="10" t="str">
        <f aca="false">IF(D122&lt;&gt;"","▪","")</f>
        <v>▪</v>
      </c>
      <c r="D122" s="11" t="s">
        <v>82</v>
      </c>
    </row>
    <row r="123" customFormat="false" ht="13.8" hidden="false" customHeight="false" outlineLevel="0" collapsed="false">
      <c r="A123" s="8"/>
      <c r="B123" s="9" t="s">
        <v>23</v>
      </c>
      <c r="C123" s="9"/>
      <c r="D123" s="11"/>
    </row>
    <row r="124" customFormat="false" ht="13.8" hidden="false" customHeight="false" outlineLevel="0" collapsed="false">
      <c r="A124" s="8"/>
      <c r="B124" s="9"/>
      <c r="C124" s="10" t="str">
        <f aca="false">IF(D124&lt;&gt;"","▪","")</f>
        <v>▪</v>
      </c>
      <c r="D124" s="11" t="s">
        <v>83</v>
      </c>
    </row>
    <row r="125" customFormat="false" ht="13.8" hidden="false" customHeight="false" outlineLevel="0" collapsed="false">
      <c r="A125" s="2"/>
      <c r="B125" s="18"/>
      <c r="C125" s="18"/>
      <c r="D125" s="19"/>
    </row>
    <row r="126" customFormat="false" ht="17.35" hidden="false" customHeight="false" outlineLevel="0" collapsed="false">
      <c r="A126" s="12" t="s">
        <v>84</v>
      </c>
      <c r="B126" s="13"/>
      <c r="C126" s="13"/>
      <c r="D126" s="14"/>
    </row>
    <row r="127" customFormat="false" ht="13.8" hidden="false" customHeight="false" outlineLevel="0" collapsed="false">
      <c r="A127" s="8"/>
      <c r="B127" s="9" t="s">
        <v>2</v>
      </c>
      <c r="C127" s="9"/>
      <c r="D127" s="11"/>
    </row>
    <row r="128" customFormat="false" ht="13.8" hidden="false" customHeight="false" outlineLevel="0" collapsed="false">
      <c r="A128" s="8"/>
      <c r="B128" s="9"/>
      <c r="C128" s="10" t="str">
        <f aca="false">IF(D128&lt;&gt;"","▪","")</f>
        <v>▪</v>
      </c>
      <c r="D128" s="11" t="s">
        <v>85</v>
      </c>
    </row>
    <row r="129" customFormat="false" ht="13.8" hidden="false" customHeight="false" outlineLevel="0" collapsed="false">
      <c r="A129" s="2"/>
      <c r="B129" s="18"/>
      <c r="C129" s="18"/>
      <c r="D129" s="19"/>
    </row>
    <row r="130" customFormat="false" ht="17.35" hidden="false" customHeight="false" outlineLevel="0" collapsed="false">
      <c r="A130" s="12" t="s">
        <v>86</v>
      </c>
      <c r="B130" s="13"/>
      <c r="C130" s="13"/>
      <c r="D130" s="14"/>
    </row>
    <row r="131" customFormat="false" ht="13.8" hidden="false" customHeight="false" outlineLevel="0" collapsed="false">
      <c r="A131" s="8"/>
      <c r="B131" s="9" t="s">
        <v>40</v>
      </c>
      <c r="C131" s="9"/>
      <c r="D131" s="11"/>
    </row>
    <row r="132" customFormat="false" ht="13.8" hidden="false" customHeight="false" outlineLevel="0" collapsed="false">
      <c r="A132" s="8"/>
      <c r="B132" s="9"/>
      <c r="C132" s="10" t="str">
        <f aca="false">IF(D132&lt;&gt;"","▪","")</f>
        <v>▪</v>
      </c>
      <c r="D132" s="11" t="s">
        <v>87</v>
      </c>
    </row>
    <row r="133" customFormat="false" ht="13.8" hidden="false" customHeight="false" outlineLevel="0" collapsed="false">
      <c r="A133" s="8"/>
      <c r="B133" s="9"/>
      <c r="C133" s="10" t="str">
        <f aca="false">IF(D133&lt;&gt;"","▪","")</f>
        <v>▪</v>
      </c>
      <c r="D133" s="11" t="s">
        <v>88</v>
      </c>
    </row>
    <row r="134" customFormat="false" ht="13.8" hidden="false" customHeight="false" outlineLevel="0" collapsed="false">
      <c r="A134" s="8"/>
      <c r="B134" s="9" t="s">
        <v>71</v>
      </c>
      <c r="C134" s="9"/>
      <c r="D134" s="11"/>
    </row>
    <row r="135" customFormat="false" ht="13.8" hidden="false" customHeight="false" outlineLevel="0" collapsed="false">
      <c r="A135" s="8"/>
      <c r="B135" s="9"/>
      <c r="C135" s="10" t="str">
        <f aca="false">IF(D135&lt;&gt;"","▪","")</f>
        <v>▪</v>
      </c>
      <c r="D135" s="11" t="s">
        <v>89</v>
      </c>
    </row>
    <row r="136" customFormat="false" ht="13.8" hidden="false" customHeight="false" outlineLevel="0" collapsed="false">
      <c r="A136" s="8"/>
      <c r="B136" s="9" t="s">
        <v>17</v>
      </c>
      <c r="C136" s="9"/>
      <c r="D136" s="11"/>
    </row>
    <row r="137" customFormat="false" ht="13.8" hidden="false" customHeight="false" outlineLevel="0" collapsed="false">
      <c r="A137" s="8"/>
      <c r="C137" s="10" t="str">
        <f aca="false">IF(D137&lt;&gt;"","▪","")</f>
        <v>▪</v>
      </c>
      <c r="D137" s="11" t="s">
        <v>90</v>
      </c>
    </row>
    <row r="138" customFormat="false" ht="13.8" hidden="false" customHeight="false" outlineLevel="0" collapsed="false">
      <c r="A138" s="2"/>
      <c r="B138" s="18"/>
      <c r="C138" s="18"/>
      <c r="D138" s="19"/>
    </row>
    <row r="139" customFormat="false" ht="17.35" hidden="false" customHeight="false" outlineLevel="0" collapsed="false">
      <c r="A139" s="12" t="s">
        <v>91</v>
      </c>
      <c r="B139" s="13"/>
      <c r="C139" s="13"/>
      <c r="D139" s="14"/>
    </row>
    <row r="140" customFormat="false" ht="13.8" hidden="false" customHeight="false" outlineLevel="0" collapsed="false">
      <c r="A140" s="8"/>
      <c r="B140" s="9" t="s">
        <v>40</v>
      </c>
      <c r="C140" s="9"/>
      <c r="D140" s="11"/>
    </row>
    <row r="141" customFormat="false" ht="13.8" hidden="false" customHeight="false" outlineLevel="0" collapsed="false">
      <c r="A141" s="8"/>
      <c r="B141" s="9"/>
      <c r="C141" s="10" t="str">
        <f aca="false">IF(D141&lt;&gt;"","▪","")</f>
        <v>▪</v>
      </c>
      <c r="D141" s="11" t="s">
        <v>92</v>
      </c>
    </row>
    <row r="142" customFormat="false" ht="13.8" hidden="false" customHeight="false" outlineLevel="0" collapsed="false">
      <c r="A142" s="8"/>
      <c r="B142" s="9" t="s">
        <v>23</v>
      </c>
      <c r="C142" s="9"/>
      <c r="D142" s="11"/>
    </row>
    <row r="143" customFormat="false" ht="13.8" hidden="false" customHeight="false" outlineLevel="0" collapsed="false">
      <c r="A143" s="8"/>
      <c r="B143" s="9"/>
      <c r="C143" s="10" t="str">
        <f aca="false">IF(D143&lt;&gt;"","▪","")</f>
        <v>▪</v>
      </c>
      <c r="D143" s="11" t="s">
        <v>93</v>
      </c>
    </row>
    <row r="144" customFormat="false" ht="13.8" hidden="false" customHeight="false" outlineLevel="0" collapsed="false">
      <c r="A144" s="8"/>
      <c r="B144" s="9" t="s">
        <v>11</v>
      </c>
      <c r="C144" s="9"/>
      <c r="D144" s="11"/>
    </row>
    <row r="145" customFormat="false" ht="13.8" hidden="false" customHeight="false" outlineLevel="0" collapsed="false">
      <c r="A145" s="8"/>
      <c r="C145" s="10" t="str">
        <f aca="false">IF(D145&lt;&gt;"","▪","")</f>
        <v>▪</v>
      </c>
      <c r="D145" s="11" t="s">
        <v>93</v>
      </c>
    </row>
    <row r="146" customFormat="false" ht="13.8" hidden="false" customHeight="false" outlineLevel="0" collapsed="false">
      <c r="A146" s="8"/>
      <c r="B146" s="9" t="s">
        <v>49</v>
      </c>
      <c r="C146" s="9"/>
      <c r="D146" s="11"/>
    </row>
    <row r="147" customFormat="false" ht="13.8" hidden="false" customHeight="false" outlineLevel="0" collapsed="false">
      <c r="A147" s="8"/>
      <c r="C147" s="10" t="str">
        <f aca="false">IF(D147&lt;&gt;"","▪","")</f>
        <v>▪</v>
      </c>
      <c r="D147" s="11" t="s">
        <v>94</v>
      </c>
    </row>
    <row r="148" customFormat="false" ht="13.8" hidden="false" customHeight="false" outlineLevel="0" collapsed="false">
      <c r="A148" s="8"/>
      <c r="B148" s="9" t="s">
        <v>20</v>
      </c>
      <c r="C148" s="9"/>
      <c r="D148" s="11"/>
    </row>
    <row r="149" customFormat="false" ht="13.8" hidden="false" customHeight="false" outlineLevel="0" collapsed="false">
      <c r="A149" s="8"/>
      <c r="C149" s="10" t="str">
        <f aca="false">IF(D149&lt;&gt;"","▪","")</f>
        <v>▪</v>
      </c>
      <c r="D149" s="11" t="s">
        <v>93</v>
      </c>
    </row>
    <row r="150" customFormat="false" ht="13.8" hidden="false" customHeight="false" outlineLevel="0" collapsed="false">
      <c r="A150" s="8"/>
      <c r="B150" s="9" t="s">
        <v>54</v>
      </c>
      <c r="C150" s="9"/>
      <c r="D150" s="11"/>
    </row>
    <row r="151" customFormat="false" ht="13.8" hidden="false" customHeight="false" outlineLevel="0" collapsed="false">
      <c r="A151" s="8"/>
      <c r="C151" s="10" t="str">
        <f aca="false">IF(D151&lt;&gt;"","▪","")</f>
        <v>▪</v>
      </c>
      <c r="D151" s="11" t="s">
        <v>95</v>
      </c>
    </row>
    <row r="152" customFormat="false" ht="13.8" hidden="false" customHeight="false" outlineLevel="0" collapsed="false">
      <c r="A152" s="8"/>
      <c r="B152" s="9" t="s">
        <v>71</v>
      </c>
      <c r="C152" s="9"/>
      <c r="D152" s="11"/>
    </row>
    <row r="153" customFormat="false" ht="13.8" hidden="false" customHeight="false" outlineLevel="0" collapsed="false">
      <c r="A153" s="8"/>
      <c r="C153" s="10" t="str">
        <f aca="false">IF(D153&lt;&gt;"","▪","")</f>
        <v>▪</v>
      </c>
      <c r="D153" s="11" t="s">
        <v>96</v>
      </c>
    </row>
    <row r="154" customFormat="false" ht="13.8" hidden="false" customHeight="false" outlineLevel="0" collapsed="false">
      <c r="A154" s="2"/>
      <c r="B154" s="18"/>
      <c r="C154" s="18"/>
      <c r="D154" s="19"/>
    </row>
    <row r="155" customFormat="false" ht="17.35" hidden="false" customHeight="false" outlineLevel="0" collapsed="false">
      <c r="A155" s="12" t="s">
        <v>97</v>
      </c>
      <c r="B155" s="13"/>
      <c r="C155" s="13"/>
      <c r="D155" s="14"/>
    </row>
    <row r="156" customFormat="false" ht="13.8" hidden="false" customHeight="false" outlineLevel="0" collapsed="false">
      <c r="A156" s="8"/>
      <c r="B156" s="9" t="s">
        <v>2</v>
      </c>
      <c r="C156" s="9"/>
      <c r="D156" s="11"/>
    </row>
    <row r="157" customFormat="false" ht="13.8" hidden="false" customHeight="false" outlineLevel="0" collapsed="false">
      <c r="A157" s="8"/>
      <c r="B157" s="9"/>
      <c r="C157" s="10" t="str">
        <f aca="false">IF(D157&lt;&gt;"","▪","")</f>
        <v>▪</v>
      </c>
      <c r="D157" s="11" t="s">
        <v>98</v>
      </c>
    </row>
    <row r="158" customFormat="false" ht="13.8" hidden="false" customHeight="false" outlineLevel="0" collapsed="false">
      <c r="A158" s="8"/>
      <c r="B158" s="9" t="s">
        <v>40</v>
      </c>
      <c r="C158" s="9"/>
      <c r="D158" s="11"/>
    </row>
    <row r="159" customFormat="false" ht="23.85" hidden="false" customHeight="false" outlineLevel="0" collapsed="false">
      <c r="A159" s="8"/>
      <c r="B159" s="9"/>
      <c r="C159" s="10" t="str">
        <f aca="false">IF(D159&lt;&gt;"","▪","")</f>
        <v>▪</v>
      </c>
      <c r="D159" s="11" t="s">
        <v>99</v>
      </c>
    </row>
    <row r="160" customFormat="false" ht="23.85" hidden="false" customHeight="false" outlineLevel="0" collapsed="false">
      <c r="A160" s="8"/>
      <c r="B160" s="9"/>
      <c r="C160" s="10" t="str">
        <f aca="false">IF(D160&lt;&gt;"","▪","")</f>
        <v>▪</v>
      </c>
      <c r="D160" s="11" t="s">
        <v>100</v>
      </c>
    </row>
    <row r="161" customFormat="false" ht="35.05" hidden="false" customHeight="false" outlineLevel="0" collapsed="false">
      <c r="A161" s="8"/>
      <c r="B161" s="9"/>
      <c r="C161" s="10" t="str">
        <f aca="false">IF(D161&lt;&gt;"","▪","")</f>
        <v>▪</v>
      </c>
      <c r="D161" s="11" t="s">
        <v>101</v>
      </c>
    </row>
    <row r="162" customFormat="false" ht="13.8" hidden="false" customHeight="false" outlineLevel="0" collapsed="false">
      <c r="A162" s="8"/>
      <c r="B162" s="9" t="s">
        <v>11</v>
      </c>
      <c r="C162" s="9"/>
      <c r="D162" s="11"/>
    </row>
    <row r="163" customFormat="false" ht="13.8" hidden="false" customHeight="false" outlineLevel="0" collapsed="false">
      <c r="A163" s="8"/>
      <c r="C163" s="10" t="str">
        <f aca="false">IF(D163&lt;&gt;"","▪","")</f>
        <v>▪</v>
      </c>
      <c r="D163" s="11" t="s">
        <v>102</v>
      </c>
    </row>
    <row r="164" customFormat="false" ht="13.8" hidden="false" customHeight="false" outlineLevel="0" collapsed="false">
      <c r="A164" s="8"/>
      <c r="C164" s="10" t="str">
        <f aca="false">IF(D164&lt;&gt;"","▪","")</f>
        <v>▪</v>
      </c>
      <c r="D164" s="11" t="s">
        <v>103</v>
      </c>
    </row>
    <row r="165" customFormat="false" ht="13.8" hidden="false" customHeight="false" outlineLevel="0" collapsed="false">
      <c r="A165" s="8"/>
      <c r="C165" s="10" t="str">
        <f aca="false">IF(D165&lt;&gt;"","▪","")</f>
        <v>▪</v>
      </c>
      <c r="D165" s="11" t="s">
        <v>104</v>
      </c>
    </row>
    <row r="166" customFormat="false" ht="13.8" hidden="false" customHeight="false" outlineLevel="0" collapsed="false">
      <c r="A166" s="8"/>
      <c r="C166" s="10" t="str">
        <f aca="false">IF(D166&lt;&gt;"","▪","")</f>
        <v>▪</v>
      </c>
      <c r="D166" s="11" t="s">
        <v>105</v>
      </c>
    </row>
    <row r="167" customFormat="false" ht="13.8" hidden="false" customHeight="false" outlineLevel="0" collapsed="false">
      <c r="A167" s="8"/>
      <c r="C167" s="10" t="str">
        <f aca="false">IF(D167&lt;&gt;"","▪","")</f>
        <v>▪</v>
      </c>
      <c r="D167" s="11" t="s">
        <v>106</v>
      </c>
    </row>
    <row r="168" customFormat="false" ht="13.8" hidden="false" customHeight="false" outlineLevel="0" collapsed="false">
      <c r="A168" s="8"/>
      <c r="B168" s="9" t="s">
        <v>20</v>
      </c>
      <c r="C168" s="9"/>
      <c r="D168" s="11"/>
    </row>
    <row r="169" customFormat="false" ht="23.85" hidden="false" customHeight="false" outlineLevel="0" collapsed="false">
      <c r="A169" s="8"/>
      <c r="C169" s="10" t="str">
        <f aca="false">IF(D169&lt;&gt;"","▪","")</f>
        <v>▪</v>
      </c>
      <c r="D169" s="11" t="s">
        <v>107</v>
      </c>
    </row>
    <row r="170" customFormat="false" ht="13.8" hidden="false" customHeight="false" outlineLevel="0" collapsed="false">
      <c r="A170" s="8"/>
      <c r="C170" s="10" t="str">
        <f aca="false">IF(D170&lt;&gt;"","▪","")</f>
        <v>▪</v>
      </c>
      <c r="D170" s="11" t="s">
        <v>108</v>
      </c>
    </row>
    <row r="171" customFormat="false" ht="13.8" hidden="false" customHeight="false" outlineLevel="0" collapsed="false">
      <c r="A171" s="8"/>
      <c r="C171" s="10" t="str">
        <f aca="false">IF(D171&lt;&gt;"","▪","")</f>
        <v>▪</v>
      </c>
      <c r="D171" s="11" t="s">
        <v>109</v>
      </c>
    </row>
    <row r="172" customFormat="false" ht="13.8" hidden="false" customHeight="false" outlineLevel="0" collapsed="false">
      <c r="A172" s="8"/>
      <c r="B172" s="9" t="s">
        <v>54</v>
      </c>
      <c r="C172" s="9"/>
      <c r="D172" s="11"/>
    </row>
    <row r="173" customFormat="false" ht="13.8" hidden="false" customHeight="false" outlineLevel="0" collapsed="false">
      <c r="A173" s="8"/>
      <c r="C173" s="10" t="str">
        <f aca="false">IF(D173&lt;&gt;"","▪","")</f>
        <v>▪</v>
      </c>
      <c r="D173" s="11" t="s">
        <v>95</v>
      </c>
    </row>
    <row r="174" customFormat="false" ht="13.8" hidden="false" customHeight="false" outlineLevel="0" collapsed="false">
      <c r="A174" s="8"/>
      <c r="B174" s="9" t="s">
        <v>76</v>
      </c>
      <c r="C174" s="9"/>
      <c r="D174" s="11"/>
    </row>
    <row r="175" customFormat="false" ht="13.8" hidden="false" customHeight="false" outlineLevel="0" collapsed="false">
      <c r="A175" s="8"/>
      <c r="C175" s="10" t="str">
        <f aca="false">IF(D175&lt;&gt;"","▪","")</f>
        <v>▪</v>
      </c>
      <c r="D175" s="11" t="s">
        <v>110</v>
      </c>
    </row>
    <row r="176" customFormat="false" ht="13.8" hidden="false" customHeight="false" outlineLevel="0" collapsed="false">
      <c r="A176" s="8"/>
      <c r="B176" s="9" t="s">
        <v>17</v>
      </c>
      <c r="C176" s="9"/>
      <c r="D176" s="11"/>
    </row>
    <row r="177" customFormat="false" ht="13.8" hidden="false" customHeight="false" outlineLevel="0" collapsed="false">
      <c r="A177" s="8"/>
      <c r="C177" s="10" t="str">
        <f aca="false">IF(D177&lt;&gt;"","▪","")</f>
        <v>▪</v>
      </c>
      <c r="D177" s="11" t="s">
        <v>111</v>
      </c>
    </row>
    <row r="178" customFormat="false" ht="13.8" hidden="false" customHeight="false" outlineLevel="0" collapsed="false">
      <c r="A178" s="2"/>
      <c r="B178" s="18"/>
      <c r="C178" s="18"/>
      <c r="D178" s="19"/>
    </row>
    <row r="179" customFormat="false" ht="17.35" hidden="false" customHeight="false" outlineLevel="0" collapsed="false">
      <c r="A179" s="12" t="s">
        <v>112</v>
      </c>
      <c r="B179" s="13"/>
      <c r="C179" s="13"/>
      <c r="D179" s="14"/>
    </row>
    <row r="180" customFormat="false" ht="13.8" hidden="false" customHeight="false" outlineLevel="0" collapsed="false">
      <c r="A180" s="8"/>
      <c r="B180" s="9" t="s">
        <v>2</v>
      </c>
      <c r="C180" s="9"/>
      <c r="D180" s="11"/>
    </row>
    <row r="181" customFormat="false" ht="13.8" hidden="false" customHeight="false" outlineLevel="0" collapsed="false">
      <c r="A181" s="8"/>
      <c r="B181" s="9"/>
      <c r="C181" s="10" t="str">
        <f aca="false">IF(D181&lt;&gt;"","▪","")</f>
        <v>▪</v>
      </c>
      <c r="D181" s="11" t="s">
        <v>113</v>
      </c>
    </row>
    <row r="182" customFormat="false" ht="13.8" hidden="false" customHeight="false" outlineLevel="0" collapsed="false">
      <c r="A182" s="8"/>
      <c r="B182" s="9" t="s">
        <v>40</v>
      </c>
      <c r="C182" s="9"/>
      <c r="D182" s="11"/>
    </row>
    <row r="183" customFormat="false" ht="13.8" hidden="false" customHeight="false" outlineLevel="0" collapsed="false">
      <c r="A183" s="8"/>
      <c r="B183" s="9"/>
      <c r="C183" s="10" t="str">
        <f aca="false">IF(D183&lt;&gt;"","▪","")</f>
        <v>▪</v>
      </c>
      <c r="D183" s="11" t="s">
        <v>114</v>
      </c>
    </row>
    <row r="184" customFormat="false" ht="13.8" hidden="false" customHeight="false" outlineLevel="0" collapsed="false">
      <c r="A184" s="8"/>
      <c r="B184" s="9"/>
      <c r="C184" s="10" t="str">
        <f aca="false">IF(D184&lt;&gt;"","▪","")</f>
        <v>▪</v>
      </c>
      <c r="D184" s="11" t="s">
        <v>115</v>
      </c>
    </row>
    <row r="185" customFormat="false" ht="13.8" hidden="false" customHeight="false" outlineLevel="0" collapsed="false">
      <c r="A185" s="2"/>
      <c r="B185" s="18"/>
      <c r="C185" s="18"/>
      <c r="D185" s="19"/>
    </row>
    <row r="186" customFormat="false" ht="17.35" hidden="false" customHeight="false" outlineLevel="0" collapsed="false">
      <c r="A186" s="12" t="s">
        <v>116</v>
      </c>
      <c r="B186" s="13"/>
      <c r="C186" s="13"/>
      <c r="D186" s="14"/>
    </row>
    <row r="187" customFormat="false" ht="13.8" hidden="false" customHeight="false" outlineLevel="0" collapsed="false">
      <c r="A187" s="8"/>
      <c r="B187" s="9" t="s">
        <v>11</v>
      </c>
      <c r="C187" s="9"/>
      <c r="D187" s="11"/>
    </row>
    <row r="188" customFormat="false" ht="13.8" hidden="false" customHeight="false" outlineLevel="0" collapsed="false">
      <c r="A188" s="8"/>
      <c r="B188" s="9"/>
      <c r="C188" s="10" t="str">
        <f aca="false">IF(D188&lt;&gt;"","▪","")</f>
        <v>▪</v>
      </c>
      <c r="D188" s="11" t="s">
        <v>117</v>
      </c>
    </row>
    <row r="189" customFormat="false" ht="13.8" hidden="false" customHeight="false" outlineLevel="0" collapsed="false">
      <c r="A189" s="2"/>
      <c r="B189" s="18"/>
      <c r="C189" s="18"/>
      <c r="D189" s="19"/>
    </row>
    <row r="190" customFormat="false" ht="17.35" hidden="false" customHeight="false" outlineLevel="0" collapsed="false">
      <c r="A190" s="12" t="s">
        <v>118</v>
      </c>
      <c r="B190" s="13"/>
      <c r="C190" s="13"/>
      <c r="D190" s="14"/>
    </row>
    <row r="191" customFormat="false" ht="13.8" hidden="false" customHeight="false" outlineLevel="0" collapsed="false">
      <c r="A191" s="8"/>
      <c r="B191" s="9" t="s">
        <v>23</v>
      </c>
      <c r="C191" s="9"/>
      <c r="D191" s="11"/>
    </row>
    <row r="192" customFormat="false" ht="13.8" hidden="false" customHeight="false" outlineLevel="0" collapsed="false">
      <c r="A192" s="8"/>
      <c r="B192" s="9"/>
      <c r="C192" s="10" t="str">
        <f aca="false">IF(D192&lt;&gt;"","▪","")</f>
        <v>▪</v>
      </c>
      <c r="D192" s="11" t="s">
        <v>119</v>
      </c>
    </row>
    <row r="193" customFormat="false" ht="13.8" hidden="false" customHeight="false" outlineLevel="0" collapsed="false">
      <c r="A193" s="2"/>
      <c r="B193" s="18"/>
      <c r="C193" s="18"/>
      <c r="D193" s="19"/>
    </row>
  </sheetData>
  <sheetProtection algorithmName="SHA-512" hashValue="f8Cr12f4K9wwQGQ42RaLlBqblFItNvpBO5ZdZvr39RJv9iAP1BR1n0VU83vjl4OC9shh88mkXu6oKWjRrsKANg==" saltValue="0X1B3AmXcg5e2e0pw3Dtog==" spinCount="100000" sheet="true" objects="true" scenarios="true" autoFilter="false"/>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0" pageOrder="downThenOver" orientation="portrait" blackAndWhite="false" draft="false" cellComments="none" horizontalDpi="300" verticalDpi="300" copies="1"/>
  <headerFooter differentFirst="false" differentOddEven="false">
    <oddHeader>&amp;L_</oddHeader>
    <oddFooter>&amp;LPMv3.16&amp;R&amp;P / &amp;N</oddFooter>
  </headerFooter>
  <rowBreaks count="2" manualBreakCount="2">
    <brk id="53" man="true" max="16383" min="0"/>
    <brk id="129" man="true" max="16383" min="0"/>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25"/>
  <sheetViews>
    <sheetView showFormulas="false" showGridLines="false" showRowColHeaders="true" showZeros="true" rightToLeft="false" tabSelected="false" showOutlineSymbols="true" defaultGridColor="true" view="normal" topLeftCell="A1" colorId="64" zoomScale="100" zoomScaleNormal="100" zoomScalePageLayoutView="85" workbookViewId="0">
      <selection pane="topLeft" activeCell="A1" activeCellId="0" sqref="A1"/>
    </sheetView>
  </sheetViews>
  <sheetFormatPr defaultColWidth="8.6796875" defaultRowHeight="12.75" customHeight="false" zeroHeight="false" outlineLevelRow="0" outlineLevelCol="0"/>
  <cols>
    <col collapsed="false" customWidth="true" hidden="false" outlineLevel="0" max="1" min="1" style="0" width="2.86"/>
    <col collapsed="false" customWidth="true" hidden="false" outlineLevel="0" max="2" min="2" style="0" width="5.57"/>
    <col collapsed="false" customWidth="true" hidden="false" outlineLevel="0" max="3" min="3" style="0" width="38.57"/>
    <col collapsed="false" customWidth="true" hidden="false" outlineLevel="0" max="4" min="4" style="0" width="5.57"/>
    <col collapsed="false" customWidth="true" hidden="false" outlineLevel="0" max="5" min="5" style="0" width="38.57"/>
    <col collapsed="false" customWidth="true" hidden="false" outlineLevel="0" max="6" min="6" style="0" width="5.57"/>
    <col collapsed="false" customWidth="true" hidden="false" outlineLevel="0" max="7" min="7" style="0" width="38.57"/>
    <col collapsed="false" customWidth="true" hidden="false" outlineLevel="0" max="8" min="8" style="0" width="5.57"/>
    <col collapsed="false" customWidth="true" hidden="false" outlineLevel="0" max="9" min="9" style="0" width="2.86"/>
    <col collapsed="false" customWidth="true" hidden="false" outlineLevel="0" max="10" min="10" style="0" width="19"/>
    <col collapsed="false" customWidth="true" hidden="false" outlineLevel="0" max="11" min="11" style="0" width="3"/>
    <col collapsed="false" customWidth="true" hidden="false" outlineLevel="0" max="13" min="13" style="0" width="1.57"/>
    <col collapsed="false" customWidth="true" hidden="false" outlineLevel="0" max="14" min="14" style="0" width="38.86"/>
  </cols>
  <sheetData>
    <row r="1" customFormat="false" ht="15" hidden="false" customHeight="true" outlineLevel="0" collapsed="false">
      <c r="A1" s="20"/>
      <c r="B1" s="20"/>
      <c r="C1" s="20"/>
      <c r="D1" s="20"/>
      <c r="E1" s="20"/>
      <c r="F1" s="20"/>
      <c r="G1" s="20"/>
      <c r="H1" s="20"/>
      <c r="I1" s="20"/>
      <c r="J1" s="21" t="s">
        <v>120</v>
      </c>
      <c r="K1" s="22" t="b">
        <f aca="false">TRUE()</f>
        <v>1</v>
      </c>
    </row>
    <row r="2" customFormat="false" ht="22.5" hidden="false" customHeight="true" outlineLevel="0" collapsed="false">
      <c r="A2" s="20"/>
      <c r="B2" s="23"/>
      <c r="C2" s="23"/>
      <c r="D2" s="23"/>
      <c r="E2" s="24" t="str">
        <f aca="false">CHOOSE(MATCH(Objeto,{"PM","PO"}),"PLANILHA MÚLTIPLA ","PLANILHA ORÇAMENTÁRIA ")&amp; Versao</f>
        <v>PLANILHA MÚLTIPLA v3.16</v>
      </c>
      <c r="F2" s="24"/>
      <c r="G2" s="24"/>
      <c r="H2" s="25"/>
      <c r="I2" s="23"/>
      <c r="J2" s="21" t="s">
        <v>121</v>
      </c>
      <c r="K2" s="22" t="b">
        <f aca="false">TRUE()</f>
        <v>1</v>
      </c>
    </row>
    <row r="3" customFormat="false" ht="22.5" hidden="false" customHeight="true" outlineLevel="0" collapsed="false">
      <c r="A3" s="20"/>
      <c r="B3" s="23"/>
      <c r="C3" s="23"/>
      <c r="D3" s="23"/>
      <c r="E3" s="24"/>
      <c r="F3" s="24"/>
      <c r="G3" s="24"/>
      <c r="H3" s="25"/>
      <c r="I3" s="23"/>
      <c r="O3" s="26" t="n">
        <v>1</v>
      </c>
    </row>
    <row r="4" customFormat="false" ht="16.5" hidden="false" customHeight="true" outlineLevel="0" collapsed="false">
      <c r="A4" s="20"/>
      <c r="B4" s="23"/>
      <c r="C4" s="23"/>
      <c r="D4" s="23"/>
      <c r="E4" s="23"/>
      <c r="F4" s="27"/>
      <c r="G4" s="25"/>
      <c r="H4" s="25"/>
      <c r="I4" s="23"/>
      <c r="J4" s="28" t="str">
        <f aca="false">IF(VALUE(MENU!$O$4)=2,"BM","PLE")</f>
        <v>PLE</v>
      </c>
      <c r="O4" s="26" t="n">
        <v>1</v>
      </c>
    </row>
    <row r="5" customFormat="false" ht="16.5" hidden="false" customHeight="true" outlineLevel="0" collapsed="false">
      <c r="A5" s="20"/>
      <c r="B5" s="23"/>
      <c r="C5" s="23"/>
      <c r="D5" s="23"/>
      <c r="E5" s="23"/>
      <c r="F5" s="27"/>
      <c r="G5" s="25"/>
      <c r="H5" s="25"/>
      <c r="I5" s="23"/>
      <c r="J5" s="28" t="s">
        <v>122</v>
      </c>
    </row>
    <row r="6" customFormat="false" ht="21" hidden="false" customHeight="true" outlineLevel="0" collapsed="false">
      <c r="A6" s="20"/>
      <c r="B6" s="20"/>
      <c r="C6" s="20"/>
      <c r="D6" s="20"/>
      <c r="E6" s="29" t="s">
        <v>123</v>
      </c>
      <c r="F6" s="30"/>
      <c r="G6" s="29" t="s">
        <v>124</v>
      </c>
      <c r="H6" s="20"/>
      <c r="I6" s="20"/>
      <c r="J6" s="28" t="s">
        <v>125</v>
      </c>
    </row>
    <row r="7" customFormat="false" ht="12.75" hidden="false" customHeight="false" outlineLevel="0" collapsed="false">
      <c r="A7" s="20"/>
      <c r="B7" s="20"/>
      <c r="C7" s="20"/>
      <c r="D7" s="20"/>
      <c r="E7" s="20"/>
      <c r="F7" s="20"/>
      <c r="G7" s="20"/>
      <c r="H7" s="20"/>
      <c r="I7" s="20"/>
      <c r="J7" s="28" t="s">
        <v>76</v>
      </c>
      <c r="K7" s="31"/>
      <c r="L7" s="32"/>
      <c r="M7" s="32"/>
      <c r="N7" s="33"/>
    </row>
    <row r="8" customFormat="false" ht="21" hidden="false" customHeight="true" outlineLevel="0" collapsed="false">
      <c r="A8" s="23"/>
      <c r="B8" s="34" t="str">
        <f aca="false">IF($O$3&lt;&gt;2,"DOCUMENTAÇÃO DA PROPOSTA","PROPOSTA: Para visualizar/preencher esta seção, altere o TIPO DE ORÇAMENTO para 'Proposto'")</f>
        <v>DOCUMENTAÇÃO DA PROPOSTA</v>
      </c>
      <c r="C8" s="34"/>
      <c r="D8" s="34"/>
      <c r="E8" s="34"/>
      <c r="F8" s="34"/>
      <c r="G8" s="34"/>
      <c r="H8" s="34"/>
      <c r="I8" s="20"/>
      <c r="J8" s="28" t="s">
        <v>78</v>
      </c>
      <c r="K8" s="35"/>
      <c r="L8" s="36" t="s">
        <v>126</v>
      </c>
      <c r="M8" s="36"/>
      <c r="N8" s="8"/>
    </row>
    <row r="9" customFormat="false" ht="12.75" hidden="false" customHeight="false" outlineLevel="0" collapsed="false">
      <c r="A9" s="20"/>
      <c r="B9" s="20"/>
      <c r="C9" s="20"/>
      <c r="D9" s="20"/>
      <c r="E9" s="20"/>
      <c r="F9" s="20"/>
      <c r="G9" s="20"/>
      <c r="H9" s="20"/>
      <c r="I9" s="20"/>
      <c r="K9" s="35"/>
      <c r="L9" s="0" t="s">
        <v>127</v>
      </c>
      <c r="N9" s="8"/>
    </row>
    <row r="10" customFormat="false" ht="21" hidden="false" customHeight="true" outlineLevel="0" collapsed="false">
      <c r="A10" s="20"/>
      <c r="B10" s="20"/>
      <c r="C10" s="37" t="str">
        <f aca="false" t="array" ref="C10:C10">IF(TIPOORCAMENTO&lt;&gt;"Proposto","","                    BDI                    ")</f>
        <v>                    BDI                    </v>
      </c>
      <c r="D10" s="30"/>
      <c r="E10" s="37" t="str">
        <f aca="false" t="array" ref="E10:E10">IF(TIPOORCAMENTO&lt;&gt;"Proposto","","             ORÇAMENTO             ")</f>
        <v>             ORÇAMENTO             </v>
      </c>
      <c r="F10" s="30"/>
      <c r="G10" s="38" t="str">
        <f aca="false" t="array" ref="G10:G10">IF(TIPOORCAMENTO&lt;&gt;"Proposto","","MEMÓRIA DE CÁLCULO / PLQ")</f>
        <v>MEMÓRIA DE CÁLCULO / PLQ</v>
      </c>
      <c r="H10" s="20"/>
      <c r="I10" s="20"/>
      <c r="K10" s="35"/>
      <c r="L10" s="39"/>
      <c r="M10" s="7"/>
      <c r="N10" s="40" t="s">
        <v>128</v>
      </c>
    </row>
    <row r="11" customFormat="false" ht="12.75" hidden="false" customHeight="false" outlineLevel="0" collapsed="false">
      <c r="A11" s="20"/>
      <c r="B11" s="20"/>
      <c r="C11" s="30"/>
      <c r="D11" s="30"/>
      <c r="E11" s="30"/>
      <c r="F11" s="30"/>
      <c r="G11" s="30"/>
      <c r="H11" s="20"/>
      <c r="I11" s="20"/>
      <c r="K11" s="35"/>
      <c r="N11" s="8"/>
    </row>
    <row r="12" customFormat="false" ht="21" hidden="false" customHeight="true" outlineLevel="0" collapsed="false">
      <c r="A12" s="20"/>
      <c r="B12" s="20"/>
      <c r="C12" s="37" t="str">
        <f aca="false" t="array" ref="C12:C12">IF(TIPOORCAMENTO&lt;&gt;"Proposto","","                    QCI                    ")</f>
        <v>                    QCI                    </v>
      </c>
      <c r="D12" s="30"/>
      <c r="E12" s="41" t="str">
        <f aca="false" t="array" ref="E12:E12">IF(TIPOORCAMENTO&lt;&gt;"Proposto","","CRONOGRAMA FÍSICO-FINANCEIRO")</f>
        <v>CRONOGRAMA FÍSICO-FINANCEIRO</v>
      </c>
      <c r="F12" s="30"/>
      <c r="G12" s="30"/>
      <c r="H12" s="20"/>
      <c r="I12" s="20"/>
      <c r="K12" s="35"/>
      <c r="L12" s="42"/>
      <c r="M12" s="7"/>
      <c r="N12" s="40" t="s">
        <v>129</v>
      </c>
    </row>
    <row r="13" customFormat="false" ht="12.75" hidden="false" customHeight="false" outlineLevel="0" collapsed="false">
      <c r="A13" s="20"/>
      <c r="B13" s="20"/>
      <c r="C13" s="20"/>
      <c r="D13" s="20"/>
      <c r="E13" s="20"/>
      <c r="F13" s="20"/>
      <c r="G13" s="20"/>
      <c r="H13" s="20"/>
      <c r="I13" s="20"/>
      <c r="K13" s="35"/>
      <c r="N13" s="8"/>
    </row>
    <row r="14" customFormat="false" ht="12.75" hidden="false" customHeight="false" outlineLevel="0" collapsed="false">
      <c r="A14" s="20"/>
      <c r="B14" s="20"/>
      <c r="C14" s="20" t="str">
        <f aca="true" t="array" ref="C14:C14">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20"/>
      <c r="E14" s="20"/>
      <c r="F14" s="20"/>
      <c r="G14" s="20"/>
      <c r="H14" s="20"/>
      <c r="I14" s="20"/>
      <c r="K14" s="35"/>
      <c r="N14" s="8"/>
    </row>
    <row r="15" customFormat="false" ht="12.75" hidden="false" customHeight="false" outlineLevel="0" collapsed="false">
      <c r="A15" s="20"/>
      <c r="B15" s="20"/>
      <c r="C15" s="20"/>
      <c r="D15" s="20"/>
      <c r="E15" s="20"/>
      <c r="F15" s="20"/>
      <c r="G15" s="20"/>
      <c r="H15" s="20"/>
      <c r="I15" s="20"/>
      <c r="K15" s="35"/>
      <c r="L15" s="0" t="s">
        <v>130</v>
      </c>
      <c r="N15" s="8"/>
    </row>
    <row r="16" customFormat="false" ht="21" hidden="false" customHeight="true" outlineLevel="0" collapsed="false">
      <c r="A16" s="20"/>
      <c r="B16" s="34" t="str">
        <f aca="false">IF($O$3&lt;&gt;2,"PÓS-LICITADO: Para visualizar/preencher esta seção, altere o TIPO DE ORÇAMENTO para 'Licitado'","RESULTADO DO PROCESSO LICITATÓRIO")</f>
        <v>PÓS-LICITADO: Para visualizar/preencher esta seção, altere o TIPO DE ORÇAMENTO para 'Licitado'</v>
      </c>
      <c r="C16" s="34"/>
      <c r="D16" s="34"/>
      <c r="E16" s="34"/>
      <c r="F16" s="34"/>
      <c r="G16" s="34"/>
      <c r="H16" s="34"/>
      <c r="I16" s="20"/>
      <c r="K16" s="35"/>
      <c r="L16" s="43"/>
      <c r="M16" s="7"/>
      <c r="N16" s="40" t="s">
        <v>131</v>
      </c>
    </row>
    <row r="17" customFormat="false" ht="12.75" hidden="false" customHeight="false" outlineLevel="0" collapsed="false">
      <c r="A17" s="20"/>
      <c r="B17" s="20"/>
      <c r="C17" s="20"/>
      <c r="D17" s="20"/>
      <c r="E17" s="20"/>
      <c r="F17" s="20"/>
      <c r="G17" s="20"/>
      <c r="H17" s="20"/>
      <c r="I17" s="20"/>
      <c r="K17" s="35"/>
      <c r="N17" s="8"/>
    </row>
    <row r="18" customFormat="false" ht="21" hidden="false" customHeight="true" outlineLevel="0" collapsed="false">
      <c r="A18" s="20"/>
      <c r="B18" s="20"/>
      <c r="C18" s="37" t="str">
        <f aca="false" t="array" ref="C18:C18">IF(TIPOORCAMENTO&lt;&gt;"Licitado","","             ORÇAMENTO             ")</f>
        <v/>
      </c>
      <c r="D18" s="30"/>
      <c r="E18" s="37" t="str">
        <f aca="false" t="array" ref="E18:E18">IF(TIPOORCAMENTO&lt;&gt;"Licitado","","                    QCI                    ")</f>
        <v/>
      </c>
      <c r="F18" s="30"/>
      <c r="G18" s="41" t="str">
        <f aca="false" t="array" ref="G18:G18">IF(TIPOORCAMENTO&lt;&gt;"Licitado","","CRONOGRAMA FÍSICO-FINANCEIRO")</f>
        <v/>
      </c>
      <c r="H18" s="20"/>
      <c r="I18" s="20"/>
      <c r="K18" s="35"/>
      <c r="L18" s="44"/>
      <c r="M18" s="7"/>
      <c r="N18" s="40" t="s">
        <v>132</v>
      </c>
    </row>
    <row r="19" customFormat="false" ht="12.75" hidden="false" customHeight="false" outlineLevel="0" collapsed="false">
      <c r="A19" s="20"/>
      <c r="B19" s="20"/>
      <c r="C19" s="20"/>
      <c r="D19" s="20"/>
      <c r="E19" s="20"/>
      <c r="F19" s="20"/>
      <c r="G19" s="20"/>
      <c r="H19" s="20"/>
      <c r="I19" s="20"/>
      <c r="K19" s="45"/>
      <c r="L19" s="46"/>
      <c r="M19" s="46"/>
      <c r="N19" s="2"/>
    </row>
    <row r="20" customFormat="false" ht="21" hidden="false" customHeight="true" outlineLevel="0" collapsed="false">
      <c r="A20" s="23"/>
      <c r="B20" s="34" t="str">
        <f aca="false">IF($O$3&lt;&gt;2,"ACOMPANHAMENTO: Para visualizar/preencher esta seção, altere o TIPO DE ORÇAMENTO para 'Licitado'","ACOMPANHAMENTO DO EMPREENDIMENTO")</f>
        <v>ACOMPANHAMENTO: Para visualizar/preencher esta seção, altere o TIPO DE ORÇAMENTO para 'Licitado'</v>
      </c>
      <c r="C20" s="34"/>
      <c r="D20" s="34"/>
      <c r="E20" s="34"/>
      <c r="F20" s="34"/>
      <c r="G20" s="34"/>
      <c r="H20" s="34"/>
      <c r="I20" s="20"/>
    </row>
    <row r="21" customFormat="false" ht="12.75" hidden="false" customHeight="false" outlineLevel="0" collapsed="false">
      <c r="A21" s="20"/>
      <c r="B21" s="20"/>
      <c r="C21" s="20"/>
      <c r="D21" s="20"/>
      <c r="E21" s="20"/>
      <c r="F21" s="20"/>
      <c r="G21" s="20"/>
      <c r="H21" s="20"/>
      <c r="I21" s="20"/>
    </row>
    <row r="22" customFormat="false" ht="21" hidden="false" customHeight="true" outlineLevel="0" collapsed="false">
      <c r="A22" s="20"/>
      <c r="B22" s="20"/>
      <c r="C22" s="47" t="str">
        <f aca="false" t="array" ref="C22:C22">IF(OR(TIPOORCAMENTO&lt;&gt;"Licitado",ACOMPANHAMENTO&lt;&gt;"PLE"),"","PLAN. DE LEVANT. DE EVENTOS - PLE")</f>
        <v/>
      </c>
      <c r="D22" s="30"/>
      <c r="E22" s="37" t="str">
        <f aca="false" t="array" ref="E22:E22">IF(TIPOORCAMENTO&lt;&gt;"Licitado","","                    RRE                    ")</f>
        <v/>
      </c>
      <c r="F22" s="30"/>
      <c r="G22" s="38" t="str">
        <f aca="false" t="array" ref="G22:G22">IF(OR(TIPOORCAMENTO&lt;&gt;"Licitado",ACOMPANHAMENTO&lt;&gt;"BM"),"","  BOLETIM DE MEDIÇÃO - BM  ")</f>
        <v/>
      </c>
      <c r="H22" s="20"/>
      <c r="I22" s="20"/>
    </row>
    <row r="23" customFormat="false" ht="12.75" hidden="false" customHeight="false" outlineLevel="0" collapsed="false">
      <c r="A23" s="20"/>
      <c r="B23" s="20"/>
      <c r="C23" s="30"/>
      <c r="D23" s="30"/>
      <c r="E23" s="30"/>
      <c r="F23" s="30"/>
      <c r="G23" s="30"/>
      <c r="H23" s="20"/>
      <c r="I23" s="20"/>
    </row>
    <row r="24" customFormat="false" ht="21" hidden="false" customHeight="true" outlineLevel="0" collapsed="false">
      <c r="A24" s="20"/>
      <c r="B24" s="20"/>
      <c r="C24" s="30"/>
      <c r="D24" s="30"/>
      <c r="E24" s="47" t="str">
        <f aca="false" t="array" ref="E24:E24">IF(TIPOORCAMENTO&lt;&gt;"Licitado","","OF. DE SOLICITAÇÃO DE DESBLOQUEIO")</f>
        <v/>
      </c>
      <c r="F24" s="30"/>
      <c r="G24" s="30"/>
      <c r="H24" s="20"/>
      <c r="I24" s="20"/>
    </row>
    <row r="25" customFormat="false" ht="12.75" hidden="false" customHeight="false" outlineLevel="0" collapsed="false">
      <c r="A25" s="20"/>
      <c r="B25" s="20"/>
      <c r="C25" s="20"/>
      <c r="D25" s="20"/>
      <c r="E25" s="20"/>
      <c r="F25" s="20"/>
      <c r="G25" s="20"/>
      <c r="H25" s="20"/>
      <c r="I25" s="20"/>
    </row>
  </sheetData>
  <sheetProtection algorithmName="SHA-512" hashValue="nF7667AiESI4BXURSKhuH9Hra66CdmnjE3zvk7OlGIUm9OPioNDf+h2b8Uv/PAzKr4rd5ar/SQim6PpKTh18PQ==" saltValue="WD7+pudxPQYSgfvA15lLdQ==" spinCount="100000" sheet="true" objects="true" scenarios="true" autoFilter="false"/>
  <mergeCells count="4">
    <mergeCell ref="E2:G3"/>
    <mergeCell ref="B8:H8"/>
    <mergeCell ref="B16:H16"/>
    <mergeCell ref="B20:H20"/>
  </mergeCells>
  <conditionalFormatting sqref="C10:G14">
    <cfRule type="expression" priority="2" aboveAverage="0" equalAverage="0" bottom="0" percent="0" rank="0" text="" dxfId="0">
      <formula>TIPOORCAMENTO="Licitado"</formula>
    </cfRule>
  </conditionalFormatting>
  <conditionalFormatting sqref="C18:G18 E22:E24">
    <cfRule type="expression" priority="3" aboveAverage="0" equalAverage="0" bottom="0" percent="0" rank="0" text="" dxfId="1">
      <formula>TIPOORCAMENTO&lt;&gt;"Licitado"</formula>
    </cfRule>
  </conditionalFormatting>
  <conditionalFormatting sqref="C22">
    <cfRule type="expression" priority="4" aboveAverage="0" equalAverage="0" bottom="0" percent="0" rank="0" text="" dxfId="2">
      <formula>OR(TIPOORCAMENTO&lt;&gt;"Licitado",ACOMPANHAMENTO&lt;&gt;"PLE")</formula>
    </cfRule>
  </conditionalFormatting>
  <conditionalFormatting sqref="G22">
    <cfRule type="expression" priority="5" aboveAverage="0" equalAverage="0" bottom="0" percent="0" rank="0" text="" dxfId="3">
      <formula>OR(TIPOORCAMENTO&lt;&gt;"Licitado",ACOMPANHAMENTO&lt;&gt;"BM")</formula>
    </cfRule>
  </conditionalFormatting>
  <conditionalFormatting sqref="B16:H16 B20:H20">
    <cfRule type="expression" priority="6" aboveAverage="0" equalAverage="0" bottom="0" percent="0" rank="0" text="" dxfId="4">
      <formula>$O$3&lt;&gt;2</formula>
    </cfRule>
  </conditionalFormatting>
  <conditionalFormatting sqref="B8:H8">
    <cfRule type="expression" priority="7" aboveAverage="0" equalAverage="0" bottom="0" percent="0" rank="0" text="" dxfId="5">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M13"/>
    <hyperlink ref="G10" location="CÁLCULO!D13" display="#CÁLCULO.D13"/>
    <hyperlink ref="C12" location="QCI!D13" display="#QCI.D13"/>
    <hyperlink ref="E12" location="CRONO!G12" display="#CRONO.G12"/>
    <hyperlink ref="C18" location="ORÇAMENTO!AM15" display="#ORÇAMENTO.AM15"/>
    <hyperlink ref="E18" location="QCI!D13" display="#QCI.D13"/>
    <hyperlink ref="G18" location="CRONO!G12" display="#CRONO.G12"/>
    <hyperlink ref="C22" location="PLE!J8" display="#PLE.J8"/>
    <hyperlink ref="E22" location="RRE!E13" display="#RRE.E13"/>
    <hyperlink ref="G22" location="BM!D13" display="#BM.D13"/>
    <hyperlink ref="E24" location="Ofício!C6" display="#Ofício!C6"/>
  </hyperlinks>
  <printOptions headings="false" gridLines="false" gridLinesSet="true" horizontalCentered="false" verticalCentered="false"/>
  <pageMargins left="0.7875" right="0.7875" top="0.786805555555556" bottom="0.786805555555556" header="5.70833333333333" footer="0.590277777777778"/>
  <pageSetup paperSize="9" scale="58"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colBreaks count="1" manualBreakCount="1">
    <brk id="9" man="true" max="65535" min="0"/>
  </colBreaks>
  <drawing r:id="rId1"/>
  <legacyDrawing r:id="rId2"/>
  <mc:AlternateContent xmlns:mc="http://schemas.openxmlformats.org/markup-compatibility/2006">
    <mc:Choice Requires="x14">
      <controls>
        <mc:AlternateContent xmlns:mc="http://schemas.openxmlformats.org/markup-compatibility/2006">
          <mc:Choice Requires="x14">
            <control shapeId="1001" r:id="rId3" name="Importar Fórmulas para o Custo Unitário (aba ORÇAMENTO)">
              <controlPr defaultSize="0" locked="1" autoFill="0" autoLine="0" autoPict="0" print="true" altText="Check Box 95">
                <anchor moveWithCells="true" sizeWithCells="false">
                  <from>
                    <xdr:col>10</xdr:col>
                    <xdr:colOff>38160</xdr:colOff>
                    <xdr:row>0</xdr:row>
                    <xdr:rowOff>47520</xdr:rowOff>
                  </from>
                  <to>
                    <xdr:col>13</xdr:col>
                    <xdr:colOff>2371320</xdr:colOff>
                    <xdr:row>1</xdr:row>
                    <xdr:rowOff>28440</xdr:rowOff>
                  </to>
                </anchor>
              </controlPr>
            </control>
          </mc:Choice>
        </mc:AlternateContent>
        <mc:AlternateContent xmlns:mc="http://schemas.openxmlformats.org/markup-compatibility/2006">
          <mc:Choice Requires="x14">
            <control shapeId="1002" r:id="rId4" name="Importar Fórmulas para as Quantidades da PLQ (aba CÁLCULO)">
              <controlPr defaultSize="0" locked="1" autoFill="0" autoLine="0" autoPict="0" print="true" altText="Check Box 96">
                <anchor moveWithCells="true" sizeWithCells="false">
                  <from>
                    <xdr:col>10</xdr:col>
                    <xdr:colOff>38160</xdr:colOff>
                    <xdr:row>1</xdr:row>
                    <xdr:rowOff>66600</xdr:rowOff>
                  </from>
                  <to>
                    <xdr:col>13</xdr:col>
                    <xdr:colOff>2390400</xdr:colOff>
                    <xdr:row>2</xdr:row>
                    <xdr:rowOff>-57240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AW2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2.75" customHeight="false" zeroHeight="false" outlineLevelRow="0" outlineLevelCol="0"/>
  <cols>
    <col collapsed="false" customWidth="true" hidden="false" outlineLevel="0" max="1" min="1" style="0" width="10.57"/>
    <col collapsed="false" customWidth="true" hidden="false" outlineLevel="0" max="2" min="2" style="7" width="42.57"/>
    <col collapsed="false" customWidth="true" hidden="false" outlineLevel="0" max="3" min="3" style="7" width="53.42"/>
    <col collapsed="false" customWidth="true" hidden="false" outlineLevel="0" max="4" min="4" style="0" width="80.57"/>
    <col collapsed="false" customWidth="true" hidden="false" outlineLevel="0" max="6" min="5" style="0" width="9.14"/>
    <col collapsed="false" customWidth="true" hidden="true" outlineLevel="0" max="10" min="7" style="0" width="30.71"/>
    <col collapsed="false" customWidth="true" hidden="true" outlineLevel="0" max="11" min="11" style="0" width="9.14"/>
    <col collapsed="false" customWidth="true" hidden="true" outlineLevel="0" max="12" min="12" style="0" width="14.42"/>
    <col collapsed="false" customWidth="true" hidden="true" outlineLevel="0" max="15" min="13" style="0" width="9.14"/>
    <col collapsed="false" customWidth="true" hidden="true" outlineLevel="0" max="16" min="16" style="48" width="9.14"/>
    <col collapsed="false" customWidth="true" hidden="true" outlineLevel="0" max="48" min="17" style="0" width="9.14"/>
    <col collapsed="false" customWidth="true" hidden="true" outlineLevel="0" max="49" min="49" style="0" width="15.57"/>
    <col collapsed="false" customWidth="true" hidden="false" outlineLevel="0" max="50" min="50" style="0" width="9.14"/>
  </cols>
  <sheetData>
    <row r="1" customFormat="false" ht="15.75" hidden="false" customHeight="true" outlineLevel="0" collapsed="false">
      <c r="B1" s="49" t="s">
        <v>133</v>
      </c>
      <c r="C1" s="50"/>
      <c r="D1" s="51" t="str">
        <f aca="false">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52" t="s">
        <v>134</v>
      </c>
      <c r="H1" s="52" t="s">
        <v>135</v>
      </c>
      <c r="I1" s="52" t="s">
        <v>136</v>
      </c>
      <c r="J1" s="52" t="s">
        <v>137</v>
      </c>
      <c r="M1" s="53"/>
      <c r="N1" s="54" t="s">
        <v>138</v>
      </c>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V1" s="55" t="s">
        <v>139</v>
      </c>
      <c r="AW1" s="56"/>
    </row>
    <row r="2" customFormat="false" ht="12.75" hidden="false" customHeight="true" outlineLevel="0" collapsed="false">
      <c r="B2" s="49"/>
      <c r="G2" s="0" t="s">
        <v>140</v>
      </c>
      <c r="H2" s="0" t="s">
        <v>140</v>
      </c>
      <c r="I2" s="0" t="s">
        <v>140</v>
      </c>
      <c r="J2" s="0" t="s">
        <v>141</v>
      </c>
      <c r="L2" s="52" t="s">
        <v>142</v>
      </c>
      <c r="M2" s="57" t="s">
        <v>143</v>
      </c>
      <c r="N2" s="58" t="n">
        <f aca="false">COUNTA(M:M)-1</f>
        <v>3</v>
      </c>
      <c r="O2" s="57" t="s">
        <v>144</v>
      </c>
      <c r="P2" s="58" t="n">
        <f aca="false">COUNTA(O:O)-1</f>
        <v>6</v>
      </c>
      <c r="Q2" s="57" t="s">
        <v>145</v>
      </c>
      <c r="R2" s="58" t="n">
        <f aca="false">COUNTA(Q:Q)-1</f>
        <v>6</v>
      </c>
      <c r="S2" s="57" t="s">
        <v>146</v>
      </c>
      <c r="T2" s="58" t="n">
        <f aca="false">COUNTA(S:S)-1</f>
        <v>6</v>
      </c>
      <c r="U2" s="57" t="s">
        <v>147</v>
      </c>
      <c r="V2" s="58" t="n">
        <f aca="false">COUNTA(U:U)-1</f>
        <v>11</v>
      </c>
      <c r="W2" s="57" t="s">
        <v>148</v>
      </c>
      <c r="X2" s="58" t="n">
        <f aca="false">COUNTA(W:W)-1</f>
        <v>8</v>
      </c>
      <c r="Y2" s="57" t="s">
        <v>149</v>
      </c>
      <c r="Z2" s="58" t="n">
        <f aca="false">COUNTA(Y:Y)-1</f>
        <v>4</v>
      </c>
      <c r="AA2" s="57" t="s">
        <v>150</v>
      </c>
      <c r="AB2" s="58" t="n">
        <f aca="false">COUNTA(AA:AA)-1</f>
        <v>6</v>
      </c>
      <c r="AC2" s="57" t="s">
        <v>151</v>
      </c>
      <c r="AD2" s="58" t="n">
        <f aca="false">COUNTA(AC:AC)-1</f>
        <v>2</v>
      </c>
      <c r="AE2" s="57" t="s">
        <v>152</v>
      </c>
      <c r="AF2" s="58" t="n">
        <f aca="false">COUNTA(AE:AE)-1</f>
        <v>2</v>
      </c>
      <c r="AG2" s="57" t="s">
        <v>153</v>
      </c>
      <c r="AH2" s="58" t="n">
        <f aca="false">COUNTA(AG:AG)-1</f>
        <v>2</v>
      </c>
      <c r="AI2" s="57" t="s">
        <v>154</v>
      </c>
      <c r="AJ2" s="58" t="n">
        <f aca="false">COUNTA(AI:AI)-1</f>
        <v>1</v>
      </c>
      <c r="AK2" s="57" t="s">
        <v>155</v>
      </c>
      <c r="AL2" s="58" t="n">
        <f aca="false">COUNTA(AK:AK)-1</f>
        <v>1</v>
      </c>
      <c r="AM2" s="57" t="s">
        <v>156</v>
      </c>
      <c r="AN2" s="58" t="n">
        <f aca="false">COUNTA(AM:AM)-1</f>
        <v>1</v>
      </c>
      <c r="AO2" s="57" t="s">
        <v>157</v>
      </c>
      <c r="AP2" s="58" t="n">
        <f aca="false">COUNTA(AO:AO)-1</f>
        <v>3</v>
      </c>
      <c r="AQ2" s="57" t="s">
        <v>158</v>
      </c>
      <c r="AR2" s="58" t="n">
        <f aca="false">COUNTA(AQ:AQ)-1</f>
        <v>1</v>
      </c>
      <c r="AS2" s="57" t="s">
        <v>159</v>
      </c>
      <c r="AT2" s="58" t="n">
        <f aca="false">COUNTA(AS:AS)-1</f>
        <v>4</v>
      </c>
      <c r="AV2" s="59" t="s">
        <v>160</v>
      </c>
      <c r="AW2" s="60" t="s">
        <v>161</v>
      </c>
    </row>
    <row r="3" customFormat="false" ht="13.8" hidden="false" customHeight="false" outlineLevel="0" collapsed="false">
      <c r="B3" s="61" t="s">
        <v>162</v>
      </c>
      <c r="C3" s="61"/>
      <c r="D3" s="62" t="str">
        <f aca="false">IF(COUNTIF(D4:D13,"◄")=0,"","Falta preencher a linha "&amp;MATCH("◄",D4:D13,0)+ROW(D3))</f>
        <v>Falta preencher a linha 4</v>
      </c>
      <c r="G3" s="0" t="s">
        <v>163</v>
      </c>
      <c r="H3" s="0" t="s">
        <v>164</v>
      </c>
      <c r="I3" s="0" t="s">
        <v>165</v>
      </c>
      <c r="J3" s="0" t="s">
        <v>166</v>
      </c>
      <c r="L3" s="63" t="s">
        <v>143</v>
      </c>
      <c r="M3" s="0" t="s">
        <v>167</v>
      </c>
      <c r="N3" s="48" t="s">
        <v>168</v>
      </c>
      <c r="O3" s="63" t="s">
        <v>169</v>
      </c>
      <c r="P3" s="48" t="s">
        <v>170</v>
      </c>
      <c r="Q3" s="0" t="s">
        <v>171</v>
      </c>
      <c r="R3" s="48" t="s">
        <v>170</v>
      </c>
      <c r="S3" s="0" t="s">
        <v>172</v>
      </c>
      <c r="T3" s="48" t="s">
        <v>173</v>
      </c>
      <c r="U3" s="0" t="s">
        <v>174</v>
      </c>
      <c r="V3" s="48" t="s">
        <v>175</v>
      </c>
      <c r="W3" s="0" t="s">
        <v>176</v>
      </c>
      <c r="X3" s="48" t="s">
        <v>168</v>
      </c>
      <c r="Y3" s="0" t="s">
        <v>177</v>
      </c>
      <c r="Z3" s="48" t="s">
        <v>168</v>
      </c>
      <c r="AA3" s="0" t="s">
        <v>178</v>
      </c>
      <c r="AB3" s="48" t="s">
        <v>168</v>
      </c>
      <c r="AC3" s="0" t="s">
        <v>179</v>
      </c>
      <c r="AD3" s="48" t="s">
        <v>170</v>
      </c>
      <c r="AE3" s="0" t="s">
        <v>180</v>
      </c>
      <c r="AF3" s="48" t="s">
        <v>170</v>
      </c>
      <c r="AG3" s="0" t="s">
        <v>153</v>
      </c>
      <c r="AH3" s="48" t="s">
        <v>170</v>
      </c>
      <c r="AI3" s="0" t="s">
        <v>154</v>
      </c>
      <c r="AJ3" s="48" t="s">
        <v>168</v>
      </c>
      <c r="AK3" s="0" t="s">
        <v>155</v>
      </c>
      <c r="AL3" s="48" t="s">
        <v>168</v>
      </c>
      <c r="AM3" s="0" t="s">
        <v>156</v>
      </c>
      <c r="AN3" s="48" t="s">
        <v>168</v>
      </c>
      <c r="AO3" s="0" t="s">
        <v>181</v>
      </c>
      <c r="AP3" s="48" t="s">
        <v>168</v>
      </c>
      <c r="AQ3" s="0" t="s">
        <v>158</v>
      </c>
      <c r="AR3" s="48" t="s">
        <v>182</v>
      </c>
      <c r="AS3" s="0" t="s">
        <v>183</v>
      </c>
      <c r="AT3" s="48" t="s">
        <v>184</v>
      </c>
      <c r="AV3" s="0" t="s">
        <v>182</v>
      </c>
      <c r="AW3" s="0" t="s">
        <v>182</v>
      </c>
    </row>
    <row r="4" customFormat="false" ht="12.75" hidden="false" customHeight="false" outlineLevel="0" collapsed="false">
      <c r="B4" s="64" t="s">
        <v>134</v>
      </c>
      <c r="C4" s="65" t="s">
        <v>140</v>
      </c>
      <c r="D4" s="66" t="str">
        <f aca="true">IF(OR(OFFSET(D4,0,-1)="",OFFSET(D4,0,-1)="(SELECIONAR)"),"◄","")</f>
        <v>◄</v>
      </c>
      <c r="G4" s="0" t="s">
        <v>185</v>
      </c>
      <c r="H4" s="0" t="s">
        <v>186</v>
      </c>
      <c r="I4" s="0" t="s">
        <v>187</v>
      </c>
      <c r="L4" s="63" t="s">
        <v>144</v>
      </c>
      <c r="M4" s="0" t="s">
        <v>188</v>
      </c>
      <c r="N4" s="48" t="s">
        <v>168</v>
      </c>
      <c r="O4" s="0" t="s">
        <v>189</v>
      </c>
      <c r="P4" s="48" t="s">
        <v>170</v>
      </c>
      <c r="Q4" s="0" t="s">
        <v>190</v>
      </c>
      <c r="R4" s="48" t="s">
        <v>170</v>
      </c>
      <c r="S4" s="0" t="s">
        <v>191</v>
      </c>
      <c r="T4" s="48" t="s">
        <v>173</v>
      </c>
      <c r="U4" s="0" t="s">
        <v>192</v>
      </c>
      <c r="V4" s="48" t="s">
        <v>175</v>
      </c>
      <c r="W4" s="0" t="s">
        <v>193</v>
      </c>
      <c r="X4" s="48" t="s">
        <v>173</v>
      </c>
      <c r="Y4" s="0" t="s">
        <v>194</v>
      </c>
      <c r="Z4" s="48" t="s">
        <v>168</v>
      </c>
      <c r="AA4" s="0" t="s">
        <v>195</v>
      </c>
      <c r="AB4" s="48" t="s">
        <v>196</v>
      </c>
      <c r="AC4" s="0" t="s">
        <v>197</v>
      </c>
      <c r="AD4" s="48" t="s">
        <v>170</v>
      </c>
      <c r="AE4" s="0" t="s">
        <v>198</v>
      </c>
      <c r="AF4" s="48" t="s">
        <v>170</v>
      </c>
      <c r="AG4" s="0" t="s">
        <v>199</v>
      </c>
      <c r="AH4" s="48" t="s">
        <v>170</v>
      </c>
      <c r="AJ4" s="48"/>
      <c r="AL4" s="48"/>
      <c r="AN4" s="48"/>
      <c r="AO4" s="0" t="s">
        <v>200</v>
      </c>
      <c r="AP4" s="48" t="s">
        <v>168</v>
      </c>
      <c r="AS4" s="0" t="s">
        <v>201</v>
      </c>
      <c r="AT4" s="48" t="s">
        <v>184</v>
      </c>
      <c r="AV4" s="0" t="s">
        <v>202</v>
      </c>
      <c r="AW4" s="0" t="s">
        <v>203</v>
      </c>
    </row>
    <row r="5" customFormat="false" ht="12.75" hidden="false" customHeight="false" outlineLevel="0" collapsed="false">
      <c r="B5" s="67" t="s">
        <v>204</v>
      </c>
      <c r="C5" s="68"/>
      <c r="D5" s="66" t="str">
        <f aca="true">IF(OFFSET(D5,0,-1)="","◄","")</f>
        <v>◄</v>
      </c>
      <c r="H5" s="0" t="s">
        <v>205</v>
      </c>
      <c r="I5" s="0" t="s">
        <v>206</v>
      </c>
      <c r="L5" s="63" t="s">
        <v>145</v>
      </c>
      <c r="M5" s="0" t="s">
        <v>207</v>
      </c>
      <c r="N5" s="48" t="s">
        <v>168</v>
      </c>
      <c r="O5" s="0" t="s">
        <v>208</v>
      </c>
      <c r="P5" s="48" t="s">
        <v>170</v>
      </c>
      <c r="Q5" s="0" t="s">
        <v>209</v>
      </c>
      <c r="R5" s="48" t="s">
        <v>173</v>
      </c>
      <c r="S5" s="0" t="s">
        <v>210</v>
      </c>
      <c r="T5" s="48" t="s">
        <v>173</v>
      </c>
      <c r="U5" s="0" t="s">
        <v>211</v>
      </c>
      <c r="V5" s="48" t="s">
        <v>175</v>
      </c>
      <c r="W5" s="0" t="s">
        <v>212</v>
      </c>
      <c r="X5" s="48" t="s">
        <v>173</v>
      </c>
      <c r="Y5" s="0" t="s">
        <v>213</v>
      </c>
      <c r="Z5" s="48" t="s">
        <v>173</v>
      </c>
      <c r="AA5" s="0" t="s">
        <v>214</v>
      </c>
      <c r="AB5" s="48" t="s">
        <v>196</v>
      </c>
      <c r="AD5" s="48"/>
      <c r="AF5" s="48"/>
      <c r="AH5" s="48"/>
      <c r="AJ5" s="48"/>
      <c r="AL5" s="48"/>
      <c r="AN5" s="48"/>
      <c r="AO5" s="0" t="s">
        <v>215</v>
      </c>
      <c r="AP5" s="48" t="s">
        <v>168</v>
      </c>
      <c r="AS5" s="0" t="s">
        <v>216</v>
      </c>
      <c r="AT5" s="48" t="s">
        <v>184</v>
      </c>
      <c r="AV5" s="0" t="s">
        <v>217</v>
      </c>
      <c r="AW5" s="0" t="s">
        <v>218</v>
      </c>
    </row>
    <row r="6" customFormat="false" ht="12.75" hidden="false" customHeight="false" outlineLevel="0" collapsed="false">
      <c r="B6" s="67" t="s">
        <v>219</v>
      </c>
      <c r="C6" s="68"/>
      <c r="D6" s="66" t="str">
        <f aca="true">IF(OFFSET(D6,0,-1)="","◄","")</f>
        <v>◄</v>
      </c>
      <c r="I6" s="0" t="s">
        <v>220</v>
      </c>
      <c r="L6" s="63" t="s">
        <v>146</v>
      </c>
      <c r="O6" s="0" t="s">
        <v>221</v>
      </c>
      <c r="P6" s="48" t="s">
        <v>170</v>
      </c>
      <c r="Q6" s="0" t="s">
        <v>222</v>
      </c>
      <c r="R6" s="48" t="s">
        <v>170</v>
      </c>
      <c r="S6" s="0" t="s">
        <v>223</v>
      </c>
      <c r="T6" s="48" t="s">
        <v>170</v>
      </c>
      <c r="U6" s="0" t="s">
        <v>224</v>
      </c>
      <c r="V6" s="48" t="s">
        <v>173</v>
      </c>
      <c r="W6" s="0" t="s">
        <v>225</v>
      </c>
      <c r="X6" s="48" t="s">
        <v>173</v>
      </c>
      <c r="Y6" s="0" t="s">
        <v>226</v>
      </c>
      <c r="Z6" s="48" t="s">
        <v>173</v>
      </c>
      <c r="AA6" s="0" t="s">
        <v>227</v>
      </c>
      <c r="AB6" s="48" t="s">
        <v>168</v>
      </c>
      <c r="AS6" s="0" t="s">
        <v>228</v>
      </c>
      <c r="AT6" s="48" t="s">
        <v>184</v>
      </c>
      <c r="AV6" s="0" t="s">
        <v>229</v>
      </c>
      <c r="AW6" s="0" t="s">
        <v>230</v>
      </c>
    </row>
    <row r="7" customFormat="false" ht="12.75" hidden="false" customHeight="false" outlineLevel="0" collapsed="false">
      <c r="B7" s="69" t="s">
        <v>231</v>
      </c>
      <c r="C7" s="70"/>
      <c r="D7" s="66" t="str">
        <f aca="true">IF(OFFSET(D7,0,-1)="","◄","")</f>
        <v>◄</v>
      </c>
      <c r="I7" s="0" t="s">
        <v>232</v>
      </c>
      <c r="L7" s="63" t="s">
        <v>147</v>
      </c>
      <c r="O7" s="0" t="s">
        <v>233</v>
      </c>
      <c r="P7" s="48" t="s">
        <v>170</v>
      </c>
      <c r="Q7" s="0" t="s">
        <v>234</v>
      </c>
      <c r="R7" s="48" t="s">
        <v>170</v>
      </c>
      <c r="S7" s="0" t="s">
        <v>235</v>
      </c>
      <c r="T7" s="48" t="s">
        <v>196</v>
      </c>
      <c r="U7" s="0" t="s">
        <v>236</v>
      </c>
      <c r="V7" s="48" t="s">
        <v>175</v>
      </c>
      <c r="W7" s="0" t="s">
        <v>237</v>
      </c>
      <c r="X7" s="48" t="s">
        <v>175</v>
      </c>
      <c r="AA7" s="0" t="s">
        <v>238</v>
      </c>
      <c r="AB7" s="48" t="s">
        <v>168</v>
      </c>
      <c r="AV7" s="0" t="s">
        <v>239</v>
      </c>
      <c r="AW7" s="0" t="s">
        <v>240</v>
      </c>
    </row>
    <row r="8" customFormat="false" ht="12.75" hidden="false" customHeight="false" outlineLevel="0" collapsed="false">
      <c r="B8" s="69" t="s">
        <v>241</v>
      </c>
      <c r="C8" s="70"/>
      <c r="D8" s="66" t="str">
        <f aca="true">IF(AND(Import.TipoArredondamento="TransfereGOV",OFFSET(D8,0,-1)=""),"◄","")</f>
        <v>◄</v>
      </c>
      <c r="I8" s="0" t="s">
        <v>242</v>
      </c>
      <c r="L8" s="63" t="s">
        <v>148</v>
      </c>
      <c r="O8" s="0" t="s">
        <v>243</v>
      </c>
      <c r="P8" s="48" t="s">
        <v>170</v>
      </c>
      <c r="Q8" s="0" t="s">
        <v>244</v>
      </c>
      <c r="R8" s="48" t="s">
        <v>170</v>
      </c>
      <c r="S8" s="0" t="s">
        <v>245</v>
      </c>
      <c r="T8" s="48" t="s">
        <v>175</v>
      </c>
      <c r="U8" s="0" t="s">
        <v>246</v>
      </c>
      <c r="V8" s="48" t="s">
        <v>175</v>
      </c>
      <c r="W8" s="0" t="s">
        <v>247</v>
      </c>
      <c r="X8" s="48" t="s">
        <v>175</v>
      </c>
      <c r="AA8" s="0" t="s">
        <v>248</v>
      </c>
      <c r="AB8" s="48" t="s">
        <v>170</v>
      </c>
      <c r="AV8" s="0" t="s">
        <v>249</v>
      </c>
      <c r="AW8" s="0" t="s">
        <v>250</v>
      </c>
    </row>
    <row r="9" customFormat="false" ht="12.75" hidden="false" customHeight="false" outlineLevel="0" collapsed="false">
      <c r="B9" s="69" t="str">
        <f aca="false">IF(C4="FGTS","Valor de Financiamento Contratado (R$):","Valor do Repasse Contratado (R$):")</f>
        <v>Valor do Repasse Contratado (R$):</v>
      </c>
      <c r="C9" s="71"/>
      <c r="D9" s="66" t="str">
        <f aca="true">IF(OFFSET(D9,0,-1)="","◄","")</f>
        <v>◄</v>
      </c>
      <c r="I9" s="0" t="s">
        <v>251</v>
      </c>
      <c r="L9" s="63" t="s">
        <v>149</v>
      </c>
      <c r="U9" s="0" t="s">
        <v>252</v>
      </c>
      <c r="V9" s="48" t="s">
        <v>173</v>
      </c>
      <c r="W9" s="0" t="s">
        <v>253</v>
      </c>
      <c r="X9" s="48" t="s">
        <v>175</v>
      </c>
      <c r="AV9" s="0" t="s">
        <v>254</v>
      </c>
      <c r="AW9" s="0" t="s">
        <v>255</v>
      </c>
    </row>
    <row r="10" customFormat="false" ht="12.75" hidden="false" customHeight="false" outlineLevel="0" collapsed="false">
      <c r="B10" s="69" t="s">
        <v>256</v>
      </c>
      <c r="C10" s="71"/>
      <c r="D10" s="66" t="str">
        <f aca="true">IF(OFFSET(D10,0,-1)="","◄","")</f>
        <v>◄</v>
      </c>
      <c r="L10" s="63" t="s">
        <v>150</v>
      </c>
      <c r="U10" s="0" t="s">
        <v>257</v>
      </c>
      <c r="V10" s="48" t="s">
        <v>196</v>
      </c>
      <c r="W10" s="0" t="s">
        <v>258</v>
      </c>
      <c r="X10" s="48" t="s">
        <v>168</v>
      </c>
      <c r="AV10" s="0" t="s">
        <v>259</v>
      </c>
      <c r="AW10" s="0" t="s">
        <v>260</v>
      </c>
    </row>
    <row r="11" customFormat="false" ht="12.75" hidden="false" customHeight="false" outlineLevel="0" collapsed="false">
      <c r="B11" s="69" t="s">
        <v>261</v>
      </c>
      <c r="C11" s="72"/>
      <c r="D11" s="66" t="str">
        <f aca="true">IF(OFFSET(D11,0,-1)="","◄","")</f>
        <v>◄</v>
      </c>
      <c r="L11" s="63" t="s">
        <v>151</v>
      </c>
      <c r="U11" s="0" t="s">
        <v>262</v>
      </c>
      <c r="V11" s="48" t="s">
        <v>173</v>
      </c>
      <c r="AV11" s="0" t="s">
        <v>263</v>
      </c>
      <c r="AW11" s="0" t="s">
        <v>264</v>
      </c>
    </row>
    <row r="12" customFormat="false" ht="12.75" hidden="false" customHeight="false" outlineLevel="0" collapsed="false">
      <c r="B12" s="69" t="s">
        <v>265</v>
      </c>
      <c r="C12" s="71"/>
      <c r="L12" s="63" t="s">
        <v>152</v>
      </c>
      <c r="U12" s="0" t="s">
        <v>176</v>
      </c>
      <c r="V12" s="48" t="s">
        <v>168</v>
      </c>
      <c r="AV12" s="0" t="s">
        <v>266</v>
      </c>
      <c r="AW12" s="0" t="s">
        <v>267</v>
      </c>
    </row>
    <row r="13" customFormat="false" ht="12.75" hidden="false" customHeight="false" outlineLevel="0" collapsed="false">
      <c r="B13" s="73" t="s">
        <v>268</v>
      </c>
      <c r="C13" s="74"/>
      <c r="L13" s="63" t="s">
        <v>153</v>
      </c>
      <c r="U13" s="0" t="s">
        <v>269</v>
      </c>
      <c r="V13" s="48" t="s">
        <v>173</v>
      </c>
      <c r="AV13" s="0" t="s">
        <v>270</v>
      </c>
      <c r="AW13" s="0" t="s">
        <v>271</v>
      </c>
    </row>
    <row r="14" customFormat="false" ht="12.75" hidden="false" customHeight="false" outlineLevel="0" collapsed="false">
      <c r="C14" s="75"/>
      <c r="L14" s="63" t="s">
        <v>154</v>
      </c>
      <c r="AV14" s="0" t="s">
        <v>272</v>
      </c>
      <c r="AW14" s="0" t="s">
        <v>273</v>
      </c>
    </row>
    <row r="15" customFormat="false" ht="13.8" hidden="false" customHeight="false" outlineLevel="0" collapsed="false">
      <c r="B15" s="61" t="s">
        <v>274</v>
      </c>
      <c r="C15" s="61"/>
      <c r="D15" s="62" t="str">
        <f aca="false">IF(COUNTIF(D16:D19,"◄")=0,"","Falta preencher a linha "&amp;MATCH("◄",D16:D19,0)+ROW(D15))</f>
        <v/>
      </c>
      <c r="L15" s="63" t="s">
        <v>155</v>
      </c>
      <c r="AV15" s="0" t="s">
        <v>275</v>
      </c>
      <c r="AW15" s="0" t="s">
        <v>276</v>
      </c>
    </row>
    <row r="16" customFormat="false" ht="12.75" hidden="false" customHeight="false" outlineLevel="0" collapsed="false">
      <c r="B16" s="76" t="s">
        <v>277</v>
      </c>
      <c r="C16" s="77" t="s">
        <v>278</v>
      </c>
      <c r="D16" s="66" t="str">
        <f aca="true">IF(OFFSET(D16,0,-1)="","◄","")</f>
        <v/>
      </c>
      <c r="L16" s="63" t="s">
        <v>156</v>
      </c>
      <c r="AV16" s="0" t="s">
        <v>279</v>
      </c>
      <c r="AW16" s="0" t="s">
        <v>280</v>
      </c>
    </row>
    <row r="17" customFormat="false" ht="12.75" hidden="false" customHeight="false" outlineLevel="0" collapsed="false">
      <c r="B17" s="69" t="s">
        <v>281</v>
      </c>
      <c r="C17" s="77" t="s">
        <v>278</v>
      </c>
      <c r="D17" s="66" t="str">
        <f aca="true">IF(OFFSET(D17,0,-1)="","◄","")</f>
        <v/>
      </c>
      <c r="L17" s="63" t="s">
        <v>157</v>
      </c>
      <c r="AV17" s="0" t="s">
        <v>282</v>
      </c>
      <c r="AW17" s="0" t="s">
        <v>283</v>
      </c>
    </row>
    <row r="18" customFormat="false" ht="12.75" hidden="false" customHeight="false" outlineLevel="0" collapsed="false">
      <c r="B18" s="69" t="s">
        <v>284</v>
      </c>
      <c r="C18" s="78" t="s">
        <v>186</v>
      </c>
      <c r="D18" s="66" t="str">
        <f aca="true">IF(OR(OFFSET(D18,0,-1)="",OFFSET(D18,0,-1)="(SELECIONAR)"),"◄","")</f>
        <v/>
      </c>
      <c r="L18" s="63" t="s">
        <v>158</v>
      </c>
      <c r="AV18" s="0" t="s">
        <v>285</v>
      </c>
      <c r="AW18" s="0" t="s">
        <v>286</v>
      </c>
    </row>
    <row r="19" customFormat="false" ht="12.75" hidden="false" customHeight="false" outlineLevel="0" collapsed="false">
      <c r="B19" s="79" t="s">
        <v>287</v>
      </c>
      <c r="C19" s="80" t="n">
        <v>45901</v>
      </c>
      <c r="D19" s="66" t="str">
        <f aca="true">IF(OFFSET(D19,0,-1)="","◄","")</f>
        <v/>
      </c>
      <c r="L19" s="63" t="s">
        <v>159</v>
      </c>
      <c r="AV19" s="0" t="s">
        <v>288</v>
      </c>
      <c r="AW19" s="0" t="s">
        <v>289</v>
      </c>
    </row>
    <row r="20" customFormat="false" ht="12.75" hidden="false" customHeight="false" outlineLevel="0" collapsed="false">
      <c r="C20" s="81"/>
      <c r="L20" s="63"/>
      <c r="AV20" s="0" t="s">
        <v>290</v>
      </c>
      <c r="AW20" s="0" t="s">
        <v>291</v>
      </c>
    </row>
    <row r="21" customFormat="false" ht="13.8" hidden="false" customHeight="false" outlineLevel="0" collapsed="false">
      <c r="B21" s="61" t="s">
        <v>292</v>
      </c>
      <c r="C21" s="61"/>
      <c r="D21" s="62" t="str">
        <f aca="false">IF(COUNTIF(D22:D25,"◄")=0,"","Falta preencher a linha "&amp;MATCH("◄",D22:D25,0)+ROW(D21))</f>
        <v>Falta preencher a linha 24</v>
      </c>
      <c r="L21" s="63"/>
      <c r="AV21" s="0" t="s">
        <v>293</v>
      </c>
      <c r="AW21" s="0" t="s">
        <v>294</v>
      </c>
    </row>
    <row r="22" customFormat="false" ht="12.75" hidden="false" customHeight="false" outlineLevel="0" collapsed="false">
      <c r="B22" s="67" t="s">
        <v>295</v>
      </c>
      <c r="C22" s="82" t="s">
        <v>296</v>
      </c>
      <c r="D22" s="66" t="str">
        <f aca="true">IF(OFFSET(D22,0,-1)="","◄","")</f>
        <v/>
      </c>
      <c r="AV22" s="0" t="s">
        <v>297</v>
      </c>
      <c r="AW22" s="0" t="s">
        <v>298</v>
      </c>
    </row>
    <row r="23" customFormat="false" ht="12.75" hidden="false" customHeight="false" outlineLevel="0" collapsed="false">
      <c r="B23" s="69" t="s">
        <v>299</v>
      </c>
      <c r="C23" s="70" t="s">
        <v>300</v>
      </c>
      <c r="D23" s="66" t="str">
        <f aca="true">IF(OFFSET(D23,0,-1)="","◄","")</f>
        <v/>
      </c>
      <c r="AV23" s="0" t="s">
        <v>301</v>
      </c>
      <c r="AW23" s="0" t="s">
        <v>302</v>
      </c>
    </row>
    <row r="24" customFormat="false" ht="12.75" hidden="false" customHeight="false" outlineLevel="0" collapsed="false">
      <c r="B24" s="69" t="s">
        <v>303</v>
      </c>
      <c r="C24" s="70"/>
      <c r="D24" s="66" t="str">
        <f aca="true">IF(OFFSET(D24,0,-1)="","◄","")</f>
        <v>◄</v>
      </c>
      <c r="AV24" s="0" t="s">
        <v>304</v>
      </c>
      <c r="AW24" s="0" t="s">
        <v>305</v>
      </c>
    </row>
    <row r="25" customFormat="false" ht="12.75" hidden="false" customHeight="false" outlineLevel="0" collapsed="false">
      <c r="B25" s="73" t="s">
        <v>306</v>
      </c>
      <c r="C25" s="83" t="n">
        <v>45991</v>
      </c>
      <c r="D25" s="66"/>
      <c r="AV25" s="0" t="s">
        <v>307</v>
      </c>
      <c r="AW25" s="0" t="s">
        <v>308</v>
      </c>
    </row>
    <row r="26" customFormat="false" ht="12.75" hidden="false" customHeight="false" outlineLevel="0" collapsed="false">
      <c r="AV26" s="0" t="s">
        <v>309</v>
      </c>
      <c r="AW26" s="0" t="s">
        <v>310</v>
      </c>
    </row>
    <row r="27" customFormat="false" ht="13.8" hidden="false" customHeight="false" outlineLevel="0" collapsed="false">
      <c r="B27" s="61" t="s">
        <v>311</v>
      </c>
      <c r="C27" s="61"/>
      <c r="D27" s="62" t="str">
        <f aca="false">IF(COUNTIF(D28:D29,"◄")=0,"","Falta preencher a linha "&amp;MATCH("◄",D28:D29,0)+ROW(D27))</f>
        <v/>
      </c>
      <c r="AV27" s="0" t="s">
        <v>312</v>
      </c>
      <c r="AW27" s="0" t="s">
        <v>313</v>
      </c>
    </row>
    <row r="28" customFormat="false" ht="12.75" hidden="false" customHeight="false" outlineLevel="0" collapsed="false">
      <c r="B28" s="64" t="s">
        <v>295</v>
      </c>
      <c r="C28" s="84" t="s">
        <v>314</v>
      </c>
      <c r="D28" s="66" t="str">
        <f aca="true">IF(OFFSET(D28,0,-1)="","◄","")</f>
        <v/>
      </c>
      <c r="AV28" s="0" t="s">
        <v>315</v>
      </c>
      <c r="AW28" s="0" t="s">
        <v>316</v>
      </c>
    </row>
    <row r="29" customFormat="false" ht="12.75" hidden="false" customHeight="false" outlineLevel="0" collapsed="false">
      <c r="B29" s="73" t="s">
        <v>317</v>
      </c>
      <c r="C29" s="85" t="s">
        <v>318</v>
      </c>
      <c r="D29" s="66" t="str">
        <f aca="true">IF(OFFSET(D29,0,-1)="","◄","")</f>
        <v/>
      </c>
      <c r="AV29" s="0" t="s">
        <v>319</v>
      </c>
      <c r="AW29" s="0" t="s">
        <v>320</v>
      </c>
    </row>
    <row r="30" customFormat="false" ht="15" hidden="false" customHeight="false" outlineLevel="0" collapsed="false">
      <c r="B30" s="49"/>
      <c r="AV30" s="0" t="s">
        <v>321</v>
      </c>
      <c r="AW30" s="0" t="s">
        <v>320</v>
      </c>
    </row>
    <row r="31" customFormat="false" ht="12.75" hidden="false" customHeight="false" outlineLevel="0" collapsed="false">
      <c r="B31" s="86" t="s">
        <v>322</v>
      </c>
      <c r="C31" s="87" t="s">
        <v>166</v>
      </c>
      <c r="D31" s="66" t="str">
        <f aca="true">IF(OFFSET(D31,0,-1)="","◄ Falta definir o método de arredondamento.","")</f>
        <v/>
      </c>
      <c r="AV31" s="0" t="s">
        <v>323</v>
      </c>
      <c r="AW31" s="0" t="s">
        <v>324</v>
      </c>
    </row>
    <row r="32" customFormat="false" ht="12.75" hidden="false" customHeight="true" outlineLevel="0" collapsed="false">
      <c r="B32" s="49"/>
      <c r="AV32" s="0" t="s">
        <v>325</v>
      </c>
      <c r="AW32" s="0" t="s">
        <v>326</v>
      </c>
    </row>
    <row r="33" customFormat="false" ht="12.75" hidden="false" customHeight="true" outlineLevel="0" collapsed="false">
      <c r="B33" s="49" t="s">
        <v>327</v>
      </c>
      <c r="AV33" s="0" t="s">
        <v>328</v>
      </c>
      <c r="AW33" s="0" t="s">
        <v>329</v>
      </c>
    </row>
    <row r="34" customFormat="false" ht="15" hidden="false" customHeight="false" outlineLevel="0" collapsed="false">
      <c r="B34" s="49"/>
      <c r="AV34" s="0" t="s">
        <v>330</v>
      </c>
      <c r="AW34" s="0" t="s">
        <v>328</v>
      </c>
    </row>
    <row r="35" customFormat="false" ht="12.75" hidden="false" customHeight="true" outlineLevel="0" collapsed="false">
      <c r="B35" s="61" t="s">
        <v>331</v>
      </c>
      <c r="C35" s="61"/>
      <c r="D35" s="62" t="str">
        <f aca="false">IF(COUNTIF(D36:D39,"◄")=0,"","Falta preencher a linha "&amp;MATCH("◄",D36:D39,0)+ROW(D35))</f>
        <v/>
      </c>
      <c r="AV35" s="0" t="s">
        <v>332</v>
      </c>
      <c r="AW35" s="0" t="s">
        <v>333</v>
      </c>
    </row>
    <row r="36" customFormat="false" ht="12.75" hidden="false" customHeight="false" outlineLevel="0" collapsed="false">
      <c r="B36" s="64" t="s">
        <v>334</v>
      </c>
      <c r="C36" s="88"/>
      <c r="D36" s="66" t="str">
        <f aca="true" t="array" ref="D36:D36">IF(AND(TIPOORCAMENTO="Licitado",OFFSET(D36,0,-1)=""),"◄","")</f>
        <v/>
      </c>
      <c r="AV36" s="0" t="s">
        <v>335</v>
      </c>
      <c r="AW36" s="0" t="s">
        <v>336</v>
      </c>
    </row>
    <row r="37" customFormat="false" ht="12.75" hidden="false" customHeight="false" outlineLevel="0" collapsed="false">
      <c r="B37" s="67" t="s">
        <v>337</v>
      </c>
      <c r="C37" s="68"/>
      <c r="D37" s="66" t="str">
        <f aca="true" t="array" ref="D37:D37">IF(AND(TIPOORCAMENTO="Licitado",OFFSET(D37,0,-1)=""),"◄","")</f>
        <v/>
      </c>
      <c r="AV37" s="0" t="s">
        <v>338</v>
      </c>
      <c r="AW37" s="0" t="s">
        <v>339</v>
      </c>
    </row>
    <row r="38" customFormat="false" ht="12.75" hidden="false" customHeight="false" outlineLevel="0" collapsed="false">
      <c r="B38" s="69" t="s">
        <v>340</v>
      </c>
      <c r="C38" s="70"/>
      <c r="D38" s="66" t="str">
        <f aca="true" t="array" ref="D38:D38">IF(AND(TIPOORCAMENTO="Licitado",OFFSET(D38,0,-1)=""),"◄","")</f>
        <v/>
      </c>
      <c r="AV38" s="0" t="s">
        <v>341</v>
      </c>
      <c r="AW38" s="0" t="s">
        <v>342</v>
      </c>
    </row>
    <row r="39" customFormat="false" ht="12.75" hidden="false" customHeight="false" outlineLevel="0" collapsed="false">
      <c r="B39" s="69" t="s">
        <v>343</v>
      </c>
      <c r="C39" s="70"/>
      <c r="D39" s="66" t="str">
        <f aca="true" t="array" ref="D39:D39">IF(AND(TIPOORCAMENTO="Licitado",OFFSET(D39,0,-1)=""),"◄","")</f>
        <v/>
      </c>
      <c r="AV39" s="0" t="s">
        <v>344</v>
      </c>
      <c r="AW39" s="0" t="s">
        <v>345</v>
      </c>
    </row>
    <row r="40" customFormat="false" ht="12.75" hidden="false" customHeight="false" outlineLevel="0" collapsed="false">
      <c r="B40" s="69" t="s">
        <v>346</v>
      </c>
      <c r="C40" s="78" t="s">
        <v>140</v>
      </c>
      <c r="D40" s="66" t="str">
        <f aca="true" t="array" ref="D40:D40">IF(AND(TIPOORCAMENTO="Licitado",OR(OFFSET(D40,0,-1)="",OFFSET(D40,0,-1)="(SELECIONAR)")),"◄","")</f>
        <v/>
      </c>
      <c r="AV40" s="0" t="s">
        <v>347</v>
      </c>
      <c r="AW40" s="0" t="s">
        <v>348</v>
      </c>
    </row>
    <row r="41" customFormat="false" ht="12.75" hidden="false" customHeight="false" outlineLevel="0" collapsed="false">
      <c r="B41" s="79" t="s">
        <v>349</v>
      </c>
      <c r="C41" s="89"/>
      <c r="D41" s="66" t="str">
        <f aca="true" t="array" ref="D41:D41">IF(AND(TIPOORCAMENTO="Licitado",OFFSET(D41,0,-1)=""),"◄","")</f>
        <v/>
      </c>
      <c r="AV41" s="0" t="s">
        <v>350</v>
      </c>
      <c r="AW41" s="0" t="s">
        <v>351</v>
      </c>
    </row>
    <row r="42" customFormat="false" ht="15" hidden="false" customHeight="false" outlineLevel="0" collapsed="false">
      <c r="B42" s="49"/>
      <c r="AV42" s="0" t="s">
        <v>352</v>
      </c>
      <c r="AW42" s="0" t="s">
        <v>353</v>
      </c>
    </row>
    <row r="43" customFormat="false" ht="12.75" hidden="false" customHeight="true" outlineLevel="0" collapsed="false">
      <c r="B43" s="49"/>
      <c r="AV43" s="0" t="s">
        <v>354</v>
      </c>
      <c r="AW43" s="0" t="s">
        <v>355</v>
      </c>
    </row>
    <row r="44" customFormat="false" ht="12.75" hidden="false" customHeight="true" outlineLevel="0" collapsed="false">
      <c r="B44" s="49" t="s">
        <v>356</v>
      </c>
      <c r="AV44" s="0" t="s">
        <v>357</v>
      </c>
      <c r="AW44" s="0" t="s">
        <v>358</v>
      </c>
    </row>
    <row r="45" customFormat="false" ht="15" hidden="false" customHeight="false" outlineLevel="0" collapsed="false">
      <c r="B45" s="49"/>
      <c r="AV45" s="0" t="s">
        <v>359</v>
      </c>
      <c r="AW45" s="0" t="s">
        <v>360</v>
      </c>
    </row>
    <row r="46" customFormat="false" ht="12.75" hidden="false" customHeight="true" outlineLevel="0" collapsed="false">
      <c r="B46" s="61" t="s">
        <v>361</v>
      </c>
      <c r="C46" s="61"/>
      <c r="D46" s="62" t="str">
        <f aca="false">IF(COUNTIF(D47:D48,"◄")=0,"","Falta preencher a linha "&amp;MATCH("◄",D47:D48,0)+ROW(D46))</f>
        <v/>
      </c>
      <c r="AV46" s="0" t="s">
        <v>362</v>
      </c>
      <c r="AW46" s="0" t="s">
        <v>363</v>
      </c>
    </row>
    <row r="47" customFormat="false" ht="12.75" hidden="false" customHeight="false" outlineLevel="0" collapsed="false">
      <c r="B47" s="64" t="s">
        <v>364</v>
      </c>
      <c r="C47" s="88"/>
      <c r="D47" s="66" t="str">
        <f aca="true" t="array" ref="D47:D47">IF(AND(TIPOORCAMENTO="Licitado",OFFSET(D47,0,-1)="",IFERROR(RRE!$O$28,0)&gt;0),"◄","")</f>
        <v/>
      </c>
      <c r="AV47" s="0" t="s">
        <v>365</v>
      </c>
      <c r="AW47" s="0" t="s">
        <v>366</v>
      </c>
    </row>
    <row r="48" customFormat="false" ht="12.75" hidden="false" customHeight="false" outlineLevel="0" collapsed="false">
      <c r="B48" s="79" t="s">
        <v>367</v>
      </c>
      <c r="C48" s="90"/>
      <c r="D48" s="66" t="str">
        <f aca="true" t="array" ref="D48:D48">IF(AND(TIPOORCAMENTO="Licitado",OFFSET(D48,0,-1)="",IFERROR(RRE!$O$28,0)&gt;0),"◄","")</f>
        <v/>
      </c>
      <c r="AV48" s="0" t="s">
        <v>368</v>
      </c>
      <c r="AW48" s="0" t="s">
        <v>369</v>
      </c>
    </row>
    <row r="49" customFormat="false" ht="15" hidden="false" customHeight="false" outlineLevel="0" collapsed="false">
      <c r="B49" s="49"/>
      <c r="AV49" s="0" t="s">
        <v>370</v>
      </c>
      <c r="AW49" s="0" t="s">
        <v>371</v>
      </c>
    </row>
    <row r="50" customFormat="false" ht="12.75" hidden="false" customHeight="true" outlineLevel="0" collapsed="false">
      <c r="B50" s="61" t="s">
        <v>372</v>
      </c>
      <c r="C50" s="61"/>
      <c r="D50" s="62" t="str">
        <f aca="false">IF(COUNTIF(D51:D54,"◄")=0,"","Falta preencher a linha "&amp;MATCH("◄",D51:D54,0)+ROW(D50))</f>
        <v/>
      </c>
      <c r="AV50" s="0" t="s">
        <v>373</v>
      </c>
      <c r="AW50" s="0" t="s">
        <v>374</v>
      </c>
    </row>
    <row r="51" customFormat="false" ht="12.75" hidden="false" customHeight="false" outlineLevel="0" collapsed="false">
      <c r="B51" s="64" t="s">
        <v>295</v>
      </c>
      <c r="C51" s="91"/>
      <c r="D51" s="66" t="str">
        <f aca="true" t="array" ref="D51:D51">IF(AND(TIPOORCAMENTO="Licitado",OFFSET(D51,0,-1)="",IFERROR(RRE!$O$28,0)&gt;0),"◄","")</f>
        <v/>
      </c>
      <c r="AV51" s="0" t="s">
        <v>375</v>
      </c>
      <c r="AW51" s="0" t="s">
        <v>376</v>
      </c>
    </row>
    <row r="52" customFormat="false" ht="12.75" hidden="false" customHeight="false" outlineLevel="0" collapsed="false">
      <c r="B52" s="69" t="s">
        <v>377</v>
      </c>
      <c r="C52" s="70"/>
      <c r="D52" s="66" t="str">
        <f aca="true" t="array" ref="D52:D52">IF(AND(TIPOORCAMENTO="Licitado",OFFSET(D52,0,-1)="",IFERROR(RRE!$O$28,0)&gt;0),"◄","")</f>
        <v/>
      </c>
      <c r="AV52" s="0" t="s">
        <v>378</v>
      </c>
      <c r="AW52" s="0" t="s">
        <v>379</v>
      </c>
    </row>
    <row r="53" customFormat="false" ht="12.75" hidden="false" customHeight="false" outlineLevel="0" collapsed="false">
      <c r="B53" s="69" t="s">
        <v>380</v>
      </c>
      <c r="C53" s="70"/>
      <c r="D53" s="66" t="str">
        <f aca="true" t="array" ref="D53:D53">IF(AND(TIPOORCAMENTO="Licitado",OFFSET(D53,0,-1)="",IFERROR(RRE!$O$28,0)&gt;0),"◄","")</f>
        <v/>
      </c>
      <c r="AV53" s="0" t="s">
        <v>381</v>
      </c>
      <c r="AW53" s="0" t="s">
        <v>382</v>
      </c>
    </row>
    <row r="54" customFormat="false" ht="12.75" hidden="false" customHeight="false" outlineLevel="0" collapsed="false">
      <c r="B54" s="73" t="s">
        <v>383</v>
      </c>
      <c r="C54" s="92"/>
      <c r="D54" s="66" t="str">
        <f aca="true" t="array" ref="D54:D54">IF(AND(TIPOORCAMENTO="Licitado",OFFSET(D54,0,-1)="",IFERROR(RRE!$O$28,0)&gt;0),"◄","")</f>
        <v/>
      </c>
      <c r="AV54" s="0" t="s">
        <v>384</v>
      </c>
      <c r="AW54" s="0" t="s">
        <v>385</v>
      </c>
    </row>
    <row r="55" customFormat="false" ht="12.75" hidden="false" customHeight="false" outlineLevel="0" collapsed="false">
      <c r="C55" s="81"/>
      <c r="AV55" s="0" t="s">
        <v>386</v>
      </c>
      <c r="AW55" s="0" t="s">
        <v>387</v>
      </c>
    </row>
    <row r="56" customFormat="false" ht="12.75" hidden="false" customHeight="false" outlineLevel="0" collapsed="false">
      <c r="AV56" s="0" t="s">
        <v>388</v>
      </c>
      <c r="AW56" s="0" t="s">
        <v>389</v>
      </c>
    </row>
    <row r="57" customFormat="false" ht="15" hidden="false" customHeight="false" outlineLevel="0" collapsed="false">
      <c r="B57" s="49" t="s">
        <v>390</v>
      </c>
      <c r="AV57" s="0" t="s">
        <v>391</v>
      </c>
      <c r="AW57" s="0" t="s">
        <v>392</v>
      </c>
    </row>
    <row r="58" customFormat="false" ht="15" hidden="false" customHeight="false" outlineLevel="0" collapsed="false">
      <c r="B58" s="49"/>
      <c r="AV58" s="0" t="s">
        <v>393</v>
      </c>
      <c r="AW58" s="0" t="s">
        <v>394</v>
      </c>
    </row>
    <row r="59" customFormat="false" ht="13.8" hidden="false" customHeight="false" outlineLevel="0" collapsed="false">
      <c r="B59" s="61" t="s">
        <v>395</v>
      </c>
      <c r="C59" s="61"/>
      <c r="AV59" s="0" t="s">
        <v>396</v>
      </c>
      <c r="AW59" s="0" t="s">
        <v>397</v>
      </c>
    </row>
    <row r="60" customFormat="false" ht="12.75" hidden="false" customHeight="false" outlineLevel="0" collapsed="false">
      <c r="B60" s="64" t="s">
        <v>295</v>
      </c>
      <c r="C60" s="91"/>
      <c r="AV60" s="0" t="s">
        <v>398</v>
      </c>
      <c r="AW60" s="0" t="s">
        <v>399</v>
      </c>
    </row>
    <row r="61" customFormat="false" ht="12.75" hidden="false" customHeight="false" outlineLevel="0" collapsed="false">
      <c r="B61" s="79" t="s">
        <v>400</v>
      </c>
      <c r="C61" s="93"/>
      <c r="AV61" s="0" t="s">
        <v>401</v>
      </c>
      <c r="AW61" s="0" t="s">
        <v>402</v>
      </c>
    </row>
    <row r="62" customFormat="false" ht="12.75" hidden="false" customHeight="false" outlineLevel="0" collapsed="false">
      <c r="AV62" s="0" t="s">
        <v>403</v>
      </c>
      <c r="AW62" s="0" t="s">
        <v>404</v>
      </c>
    </row>
    <row r="63" customFormat="false" ht="12.75" hidden="false" customHeight="false" outlineLevel="0" collapsed="false">
      <c r="AV63" s="0" t="s">
        <v>405</v>
      </c>
      <c r="AW63" s="0" t="s">
        <v>406</v>
      </c>
    </row>
    <row r="64" customFormat="false" ht="12.75" hidden="false" customHeight="false" outlineLevel="0" collapsed="false">
      <c r="AV64" s="0" t="s">
        <v>407</v>
      </c>
      <c r="AW64" s="0" t="s">
        <v>408</v>
      </c>
    </row>
    <row r="65" customFormat="false" ht="12.75" hidden="false" customHeight="false" outlineLevel="0" collapsed="false">
      <c r="AV65" s="0" t="s">
        <v>409</v>
      </c>
      <c r="AW65" s="0" t="s">
        <v>410</v>
      </c>
    </row>
    <row r="66" customFormat="false" ht="12.75" hidden="false" customHeight="false" outlineLevel="0" collapsed="false">
      <c r="AV66" s="0" t="s">
        <v>411</v>
      </c>
      <c r="AW66" s="0" t="s">
        <v>412</v>
      </c>
    </row>
    <row r="67" customFormat="false" ht="12.75" hidden="false" customHeight="false" outlineLevel="0" collapsed="false">
      <c r="AV67" s="0" t="s">
        <v>413</v>
      </c>
      <c r="AW67" s="0" t="s">
        <v>414</v>
      </c>
    </row>
    <row r="68" customFormat="false" ht="12.75" hidden="false" customHeight="false" outlineLevel="0" collapsed="false">
      <c r="AV68" s="0" t="s">
        <v>415</v>
      </c>
      <c r="AW68" s="0" t="s">
        <v>416</v>
      </c>
    </row>
    <row r="69" customFormat="false" ht="12.75" hidden="false" customHeight="false" outlineLevel="0" collapsed="false">
      <c r="AV69" s="0" t="s">
        <v>417</v>
      </c>
      <c r="AW69" s="0" t="s">
        <v>418</v>
      </c>
    </row>
    <row r="70" customFormat="false" ht="12.75" hidden="false" customHeight="false" outlineLevel="0" collapsed="false">
      <c r="AV70" s="0" t="s">
        <v>419</v>
      </c>
      <c r="AW70" s="0" t="s">
        <v>420</v>
      </c>
    </row>
    <row r="71" customFormat="false" ht="12.75" hidden="false" customHeight="false" outlineLevel="0" collapsed="false">
      <c r="AV71" s="0" t="s">
        <v>421</v>
      </c>
      <c r="AW71" s="0" t="s">
        <v>422</v>
      </c>
    </row>
    <row r="72" customFormat="false" ht="12.75" hidden="false" customHeight="false" outlineLevel="0" collapsed="false">
      <c r="AV72" s="0" t="s">
        <v>423</v>
      </c>
      <c r="AW72" s="0" t="s">
        <v>424</v>
      </c>
    </row>
    <row r="73" customFormat="false" ht="12.75" hidden="false" customHeight="false" outlineLevel="0" collapsed="false">
      <c r="AV73" s="0" t="s">
        <v>425</v>
      </c>
      <c r="AW73" s="0" t="s">
        <v>426</v>
      </c>
    </row>
    <row r="74" customFormat="false" ht="12.75" hidden="false" customHeight="false" outlineLevel="0" collapsed="false">
      <c r="AV74" s="0" t="s">
        <v>427</v>
      </c>
      <c r="AW74" s="0" t="s">
        <v>428</v>
      </c>
    </row>
    <row r="75" customFormat="false" ht="12.75" hidden="false" customHeight="false" outlineLevel="0" collapsed="false">
      <c r="AV75" s="0" t="s">
        <v>429</v>
      </c>
      <c r="AW75" s="0" t="s">
        <v>430</v>
      </c>
    </row>
    <row r="76" customFormat="false" ht="12.75" hidden="false" customHeight="false" outlineLevel="0" collapsed="false">
      <c r="AV76" s="0" t="s">
        <v>431</v>
      </c>
      <c r="AW76" s="0" t="s">
        <v>432</v>
      </c>
    </row>
    <row r="77" customFormat="false" ht="12.75" hidden="false" customHeight="false" outlineLevel="0" collapsed="false">
      <c r="AV77" s="0" t="s">
        <v>433</v>
      </c>
      <c r="AW77" s="0" t="s">
        <v>434</v>
      </c>
    </row>
    <row r="78" customFormat="false" ht="12.75" hidden="false" customHeight="false" outlineLevel="0" collapsed="false">
      <c r="AV78" s="0" t="s">
        <v>435</v>
      </c>
      <c r="AW78" s="0" t="s">
        <v>436</v>
      </c>
    </row>
    <row r="79" customFormat="false" ht="12.75" hidden="false" customHeight="false" outlineLevel="0" collapsed="false">
      <c r="AV79" s="0" t="s">
        <v>437</v>
      </c>
      <c r="AW79" s="0" t="s">
        <v>438</v>
      </c>
    </row>
    <row r="80" customFormat="false" ht="12.75" hidden="false" customHeight="false" outlineLevel="0" collapsed="false">
      <c r="AV80" s="0" t="s">
        <v>439</v>
      </c>
      <c r="AW80" s="0" t="s">
        <v>440</v>
      </c>
    </row>
    <row r="81" customFormat="false" ht="12.75" hidden="false" customHeight="false" outlineLevel="0" collapsed="false">
      <c r="AV81" s="0" t="s">
        <v>441</v>
      </c>
      <c r="AW81" s="0" t="s">
        <v>442</v>
      </c>
    </row>
    <row r="82" customFormat="false" ht="12.75" hidden="false" customHeight="false" outlineLevel="0" collapsed="false">
      <c r="AV82" s="0" t="s">
        <v>443</v>
      </c>
      <c r="AW82" s="0" t="s">
        <v>444</v>
      </c>
    </row>
    <row r="83" customFormat="false" ht="12.75" hidden="false" customHeight="false" outlineLevel="0" collapsed="false">
      <c r="AV83" s="0" t="s">
        <v>445</v>
      </c>
      <c r="AW83" s="0" t="s">
        <v>446</v>
      </c>
    </row>
    <row r="84" customFormat="false" ht="12.75" hidden="false" customHeight="false" outlineLevel="0" collapsed="false">
      <c r="AV84" s="0" t="s">
        <v>447</v>
      </c>
      <c r="AW84" s="0" t="s">
        <v>448</v>
      </c>
    </row>
    <row r="85" customFormat="false" ht="12.75" hidden="false" customHeight="false" outlineLevel="0" collapsed="false">
      <c r="AV85" s="0" t="s">
        <v>449</v>
      </c>
      <c r="AW85" s="0" t="s">
        <v>450</v>
      </c>
    </row>
    <row r="86" customFormat="false" ht="12.75" hidden="false" customHeight="false" outlineLevel="0" collapsed="false">
      <c r="AV86" s="0" t="s">
        <v>451</v>
      </c>
      <c r="AW86" s="0" t="s">
        <v>452</v>
      </c>
    </row>
    <row r="87" customFormat="false" ht="12.75" hidden="false" customHeight="false" outlineLevel="0" collapsed="false">
      <c r="AV87" s="0" t="s">
        <v>453</v>
      </c>
      <c r="AW87" s="0" t="s">
        <v>454</v>
      </c>
    </row>
    <row r="88" customFormat="false" ht="12.75" hidden="false" customHeight="false" outlineLevel="0" collapsed="false">
      <c r="AV88" s="0" t="s">
        <v>455</v>
      </c>
      <c r="AW88" s="0" t="s">
        <v>456</v>
      </c>
    </row>
    <row r="89" customFormat="false" ht="12.75" hidden="false" customHeight="false" outlineLevel="0" collapsed="false">
      <c r="AV89" s="0" t="s">
        <v>457</v>
      </c>
      <c r="AW89" s="0" t="s">
        <v>458</v>
      </c>
    </row>
    <row r="90" customFormat="false" ht="12.75" hidden="false" customHeight="false" outlineLevel="0" collapsed="false">
      <c r="AV90" s="0" t="s">
        <v>459</v>
      </c>
      <c r="AW90" s="0" t="s">
        <v>460</v>
      </c>
    </row>
    <row r="91" customFormat="false" ht="12.75" hidden="false" customHeight="false" outlineLevel="0" collapsed="false">
      <c r="AV91" s="0" t="s">
        <v>461</v>
      </c>
      <c r="AW91" s="0" t="s">
        <v>462</v>
      </c>
    </row>
    <row r="92" customFormat="false" ht="12.75" hidden="false" customHeight="false" outlineLevel="0" collapsed="false">
      <c r="AV92" s="0" t="s">
        <v>463</v>
      </c>
      <c r="AW92" s="0" t="s">
        <v>464</v>
      </c>
    </row>
    <row r="93" customFormat="false" ht="12.75" hidden="false" customHeight="false" outlineLevel="0" collapsed="false">
      <c r="AV93" s="0" t="s">
        <v>465</v>
      </c>
      <c r="AW93" s="0" t="s">
        <v>466</v>
      </c>
    </row>
    <row r="94" customFormat="false" ht="12.75" hidden="false" customHeight="false" outlineLevel="0" collapsed="false">
      <c r="AV94" s="0" t="s">
        <v>467</v>
      </c>
      <c r="AW94" s="0" t="s">
        <v>468</v>
      </c>
    </row>
    <row r="95" customFormat="false" ht="12.75" hidden="false" customHeight="false" outlineLevel="0" collapsed="false">
      <c r="AV95" s="0" t="s">
        <v>469</v>
      </c>
      <c r="AW95" s="0" t="s">
        <v>469</v>
      </c>
    </row>
    <row r="96" customFormat="false" ht="12.75" hidden="false" customHeight="false" outlineLevel="0" collapsed="false">
      <c r="AV96" s="0" t="s">
        <v>470</v>
      </c>
      <c r="AW96" s="0" t="s">
        <v>471</v>
      </c>
    </row>
    <row r="97" customFormat="false" ht="12.75" hidden="false" customHeight="false" outlineLevel="0" collapsed="false">
      <c r="AV97" s="0" t="s">
        <v>472</v>
      </c>
      <c r="AW97" s="0" t="s">
        <v>473</v>
      </c>
    </row>
    <row r="98" customFormat="false" ht="12.75" hidden="false" customHeight="false" outlineLevel="0" collapsed="false">
      <c r="AV98" s="0" t="s">
        <v>474</v>
      </c>
      <c r="AW98" s="0" t="s">
        <v>474</v>
      </c>
    </row>
    <row r="99" customFormat="false" ht="12.75" hidden="false" customHeight="false" outlineLevel="0" collapsed="false">
      <c r="AV99" s="0" t="s">
        <v>475</v>
      </c>
      <c r="AW99" s="0" t="s">
        <v>475</v>
      </c>
    </row>
    <row r="100" customFormat="false" ht="12.75" hidden="false" customHeight="false" outlineLevel="0" collapsed="false">
      <c r="AV100" s="0" t="s">
        <v>475</v>
      </c>
      <c r="AW100" s="0" t="s">
        <v>475</v>
      </c>
    </row>
    <row r="101" customFormat="false" ht="12.75" hidden="false" customHeight="false" outlineLevel="0" collapsed="false">
      <c r="AV101" s="0" t="s">
        <v>476</v>
      </c>
      <c r="AW101" s="0" t="s">
        <v>477</v>
      </c>
    </row>
    <row r="102" customFormat="false" ht="12.75" hidden="false" customHeight="false" outlineLevel="0" collapsed="false">
      <c r="AV102" s="0" t="s">
        <v>478</v>
      </c>
      <c r="AW102" s="0" t="s">
        <v>479</v>
      </c>
    </row>
    <row r="103" customFormat="false" ht="12.75" hidden="false" customHeight="false" outlineLevel="0" collapsed="false">
      <c r="AV103" s="0" t="s">
        <v>480</v>
      </c>
      <c r="AW103" s="0" t="s">
        <v>481</v>
      </c>
    </row>
    <row r="104" customFormat="false" ht="12.75" hidden="false" customHeight="false" outlineLevel="0" collapsed="false">
      <c r="AV104" s="0" t="s">
        <v>482</v>
      </c>
      <c r="AW104" s="0" t="s">
        <v>483</v>
      </c>
    </row>
    <row r="105" customFormat="false" ht="12.75" hidden="false" customHeight="false" outlineLevel="0" collapsed="false">
      <c r="AV105" s="0" t="s">
        <v>484</v>
      </c>
      <c r="AW105" s="0" t="s">
        <v>485</v>
      </c>
    </row>
    <row r="106" customFormat="false" ht="12.75" hidden="false" customHeight="false" outlineLevel="0" collapsed="false">
      <c r="AV106" s="0" t="s">
        <v>486</v>
      </c>
      <c r="AW106" s="0" t="s">
        <v>487</v>
      </c>
    </row>
    <row r="107" customFormat="false" ht="12.75" hidden="false" customHeight="false" outlineLevel="0" collapsed="false">
      <c r="AV107" s="0" t="s">
        <v>488</v>
      </c>
      <c r="AW107" s="0" t="s">
        <v>489</v>
      </c>
    </row>
    <row r="108" customFormat="false" ht="12.75" hidden="false" customHeight="false" outlineLevel="0" collapsed="false">
      <c r="AV108" s="0" t="s">
        <v>490</v>
      </c>
      <c r="AW108" s="0" t="s">
        <v>491</v>
      </c>
    </row>
    <row r="109" customFormat="false" ht="12.75" hidden="false" customHeight="false" outlineLevel="0" collapsed="false">
      <c r="AV109" s="0" t="s">
        <v>492</v>
      </c>
      <c r="AW109" s="0" t="s">
        <v>493</v>
      </c>
    </row>
    <row r="110" customFormat="false" ht="12.75" hidden="false" customHeight="false" outlineLevel="0" collapsed="false">
      <c r="AV110" s="0" t="s">
        <v>494</v>
      </c>
      <c r="AW110" s="0" t="s">
        <v>495</v>
      </c>
    </row>
    <row r="111" customFormat="false" ht="12.75" hidden="false" customHeight="false" outlineLevel="0" collapsed="false">
      <c r="AV111" s="0" t="s">
        <v>496</v>
      </c>
      <c r="AW111" s="0" t="s">
        <v>497</v>
      </c>
    </row>
    <row r="112" customFormat="false" ht="12.75" hidden="false" customHeight="false" outlineLevel="0" collapsed="false">
      <c r="AV112" s="0" t="s">
        <v>498</v>
      </c>
      <c r="AW112" s="0" t="s">
        <v>499</v>
      </c>
    </row>
    <row r="113" customFormat="false" ht="12.75" hidden="false" customHeight="false" outlineLevel="0" collapsed="false">
      <c r="AV113" s="0" t="s">
        <v>500</v>
      </c>
      <c r="AW113" s="0" t="s">
        <v>501</v>
      </c>
    </row>
    <row r="114" customFormat="false" ht="12.75" hidden="false" customHeight="false" outlineLevel="0" collapsed="false">
      <c r="AV114" s="0" t="s">
        <v>502</v>
      </c>
      <c r="AW114" s="0" t="s">
        <v>503</v>
      </c>
    </row>
    <row r="115" customFormat="false" ht="12.75" hidden="false" customHeight="false" outlineLevel="0" collapsed="false">
      <c r="AV115" s="0" t="s">
        <v>504</v>
      </c>
      <c r="AW115" s="0" t="s">
        <v>505</v>
      </c>
    </row>
    <row r="116" customFormat="false" ht="12.75" hidden="false" customHeight="false" outlineLevel="0" collapsed="false">
      <c r="AV116" s="0" t="s">
        <v>506</v>
      </c>
      <c r="AW116" s="0" t="s">
        <v>507</v>
      </c>
    </row>
    <row r="117" customFormat="false" ht="12.75" hidden="false" customHeight="false" outlineLevel="0" collapsed="false">
      <c r="AV117" s="0" t="s">
        <v>508</v>
      </c>
      <c r="AW117" s="0" t="s">
        <v>509</v>
      </c>
    </row>
    <row r="118" customFormat="false" ht="12.75" hidden="false" customHeight="false" outlineLevel="0" collapsed="false">
      <c r="AV118" s="0" t="s">
        <v>510</v>
      </c>
      <c r="AW118" s="0" t="s">
        <v>511</v>
      </c>
    </row>
    <row r="119" customFormat="false" ht="12.75" hidden="false" customHeight="false" outlineLevel="0" collapsed="false">
      <c r="AV119" s="0" t="s">
        <v>512</v>
      </c>
      <c r="AW119" s="0" t="s">
        <v>512</v>
      </c>
    </row>
    <row r="120" customFormat="false" ht="12.75" hidden="false" customHeight="false" outlineLevel="0" collapsed="false">
      <c r="AV120" s="0" t="s">
        <v>513</v>
      </c>
      <c r="AW120" s="0" t="s">
        <v>513</v>
      </c>
    </row>
    <row r="121" customFormat="false" ht="12.75" hidden="false" customHeight="false" outlineLevel="0" collapsed="false">
      <c r="AV121" s="0" t="s">
        <v>514</v>
      </c>
      <c r="AW121" s="0" t="s">
        <v>515</v>
      </c>
    </row>
    <row r="122" customFormat="false" ht="12.75" hidden="false" customHeight="false" outlineLevel="0" collapsed="false">
      <c r="AV122" s="0" t="s">
        <v>516</v>
      </c>
      <c r="AW122" s="0" t="s">
        <v>517</v>
      </c>
    </row>
    <row r="123" customFormat="false" ht="12.75" hidden="false" customHeight="false" outlineLevel="0" collapsed="false">
      <c r="AV123" s="0" t="s">
        <v>518</v>
      </c>
      <c r="AW123" s="0" t="s">
        <v>519</v>
      </c>
    </row>
    <row r="124" customFormat="false" ht="12.75" hidden="false" customHeight="false" outlineLevel="0" collapsed="false">
      <c r="AV124" s="0" t="s">
        <v>520</v>
      </c>
      <c r="AW124" s="0" t="s">
        <v>521</v>
      </c>
    </row>
    <row r="125" customFormat="false" ht="12.75" hidden="false" customHeight="false" outlineLevel="0" collapsed="false">
      <c r="AV125" s="0" t="s">
        <v>522</v>
      </c>
      <c r="AW125" s="0" t="s">
        <v>523</v>
      </c>
    </row>
    <row r="126" customFormat="false" ht="12.75" hidden="false" customHeight="false" outlineLevel="0" collapsed="false">
      <c r="AV126" s="0" t="s">
        <v>524</v>
      </c>
      <c r="AW126" s="0" t="s">
        <v>525</v>
      </c>
    </row>
    <row r="127" customFormat="false" ht="12.75" hidden="false" customHeight="false" outlineLevel="0" collapsed="false">
      <c r="AV127" s="0" t="s">
        <v>526</v>
      </c>
      <c r="AW127" s="0" t="s">
        <v>527</v>
      </c>
    </row>
    <row r="128" customFormat="false" ht="12.75" hidden="false" customHeight="false" outlineLevel="0" collapsed="false">
      <c r="AV128" s="0" t="s">
        <v>528</v>
      </c>
      <c r="AW128" s="0" t="s">
        <v>529</v>
      </c>
    </row>
    <row r="129" customFormat="false" ht="12.75" hidden="false" customHeight="false" outlineLevel="0" collapsed="false">
      <c r="AV129" s="0" t="s">
        <v>530</v>
      </c>
      <c r="AW129" s="0" t="s">
        <v>531</v>
      </c>
    </row>
    <row r="130" customFormat="false" ht="12.75" hidden="false" customHeight="false" outlineLevel="0" collapsed="false">
      <c r="AV130" s="0" t="s">
        <v>532</v>
      </c>
      <c r="AW130" s="0" t="s">
        <v>533</v>
      </c>
    </row>
    <row r="131" customFormat="false" ht="12.75" hidden="false" customHeight="false" outlineLevel="0" collapsed="false">
      <c r="AV131" s="0" t="s">
        <v>534</v>
      </c>
      <c r="AW131" s="0" t="s">
        <v>535</v>
      </c>
    </row>
    <row r="132" customFormat="false" ht="12.75" hidden="false" customHeight="false" outlineLevel="0" collapsed="false">
      <c r="AV132" s="0" t="s">
        <v>536</v>
      </c>
      <c r="AW132" s="0" t="s">
        <v>537</v>
      </c>
    </row>
    <row r="133" customFormat="false" ht="12.75" hidden="false" customHeight="false" outlineLevel="0" collapsed="false">
      <c r="AV133" s="0" t="s">
        <v>538</v>
      </c>
      <c r="AW133" s="0" t="s">
        <v>539</v>
      </c>
    </row>
    <row r="134" customFormat="false" ht="12.75" hidden="false" customHeight="false" outlineLevel="0" collapsed="false">
      <c r="AV134" s="0" t="s">
        <v>540</v>
      </c>
      <c r="AW134" s="0" t="s">
        <v>541</v>
      </c>
    </row>
    <row r="135" customFormat="false" ht="12.75" hidden="false" customHeight="false" outlineLevel="0" collapsed="false">
      <c r="AV135" s="0" t="s">
        <v>542</v>
      </c>
      <c r="AW135" s="0" t="s">
        <v>543</v>
      </c>
    </row>
    <row r="136" customFormat="false" ht="12.75" hidden="false" customHeight="false" outlineLevel="0" collapsed="false">
      <c r="AV136" s="0" t="s">
        <v>544</v>
      </c>
      <c r="AW136" s="0" t="s">
        <v>545</v>
      </c>
    </row>
    <row r="137" customFormat="false" ht="12.75" hidden="false" customHeight="false" outlineLevel="0" collapsed="false">
      <c r="AV137" s="0" t="s">
        <v>546</v>
      </c>
      <c r="AW137" s="0" t="s">
        <v>547</v>
      </c>
    </row>
    <row r="138" customFormat="false" ht="12.75" hidden="false" customHeight="false" outlineLevel="0" collapsed="false">
      <c r="AV138" s="0" t="s">
        <v>548</v>
      </c>
      <c r="AW138" s="0" t="s">
        <v>549</v>
      </c>
    </row>
    <row r="139" customFormat="false" ht="12.75" hidden="false" customHeight="false" outlineLevel="0" collapsed="false">
      <c r="AV139" s="0" t="s">
        <v>550</v>
      </c>
      <c r="AW139" s="0" t="s">
        <v>551</v>
      </c>
    </row>
    <row r="140" customFormat="false" ht="12.75" hidden="false" customHeight="false" outlineLevel="0" collapsed="false">
      <c r="AV140" s="0" t="s">
        <v>552</v>
      </c>
      <c r="AW140" s="0" t="s">
        <v>553</v>
      </c>
    </row>
    <row r="141" customFormat="false" ht="12.75" hidden="false" customHeight="false" outlineLevel="0" collapsed="false">
      <c r="AV141" s="0" t="s">
        <v>554</v>
      </c>
      <c r="AW141" s="0" t="s">
        <v>555</v>
      </c>
    </row>
    <row r="142" customFormat="false" ht="12.75" hidden="false" customHeight="false" outlineLevel="0" collapsed="false">
      <c r="AV142" s="0" t="s">
        <v>556</v>
      </c>
      <c r="AW142" s="0" t="s">
        <v>557</v>
      </c>
    </row>
    <row r="143" customFormat="false" ht="12.75" hidden="false" customHeight="false" outlineLevel="0" collapsed="false">
      <c r="AV143" s="0" t="s">
        <v>541</v>
      </c>
      <c r="AW143" s="0" t="s">
        <v>541</v>
      </c>
    </row>
    <row r="144" customFormat="false" ht="12.75" hidden="false" customHeight="false" outlineLevel="0" collapsed="false">
      <c r="AV144" s="0" t="s">
        <v>558</v>
      </c>
      <c r="AW144" s="0" t="s">
        <v>558</v>
      </c>
    </row>
    <row r="145" customFormat="false" ht="12.75" hidden="false" customHeight="false" outlineLevel="0" collapsed="false">
      <c r="AV145" s="0" t="s">
        <v>559</v>
      </c>
      <c r="AW145" s="0" t="s">
        <v>559</v>
      </c>
    </row>
    <row r="146" customFormat="false" ht="12.75" hidden="false" customHeight="false" outlineLevel="0" collapsed="false">
      <c r="AV146" s="0" t="s">
        <v>560</v>
      </c>
      <c r="AW146" s="0" t="s">
        <v>545</v>
      </c>
    </row>
    <row r="147" customFormat="false" ht="12.75" hidden="false" customHeight="false" outlineLevel="0" collapsed="false">
      <c r="AV147" s="0" t="s">
        <v>561</v>
      </c>
      <c r="AW147" s="0" t="s">
        <v>562</v>
      </c>
    </row>
    <row r="148" customFormat="false" ht="12.75" hidden="false" customHeight="false" outlineLevel="0" collapsed="false">
      <c r="AV148" s="0" t="s">
        <v>563</v>
      </c>
      <c r="AW148" s="0" t="s">
        <v>564</v>
      </c>
    </row>
    <row r="149" customFormat="false" ht="12.75" hidden="false" customHeight="false" outlineLevel="0" collapsed="false">
      <c r="AV149" s="0" t="s">
        <v>565</v>
      </c>
      <c r="AW149" s="0" t="s">
        <v>566</v>
      </c>
    </row>
    <row r="150" customFormat="false" ht="12.75" hidden="false" customHeight="false" outlineLevel="0" collapsed="false">
      <c r="AV150" s="0" t="s">
        <v>565</v>
      </c>
      <c r="AW150" s="0" t="s">
        <v>566</v>
      </c>
    </row>
    <row r="151" customFormat="false" ht="12.75" hidden="false" customHeight="false" outlineLevel="0" collapsed="false">
      <c r="AV151" s="0" t="s">
        <v>567</v>
      </c>
      <c r="AW151" s="0" t="s">
        <v>567</v>
      </c>
    </row>
    <row r="152" customFormat="false" ht="12.75" hidden="false" customHeight="false" outlineLevel="0" collapsed="false">
      <c r="AV152" s="0" t="s">
        <v>568</v>
      </c>
      <c r="AW152" s="0" t="s">
        <v>569</v>
      </c>
    </row>
    <row r="153" customFormat="false" ht="12.75" hidden="false" customHeight="false" outlineLevel="0" collapsed="false">
      <c r="AV153" s="0" t="s">
        <v>570</v>
      </c>
      <c r="AW153" s="0" t="s">
        <v>571</v>
      </c>
    </row>
    <row r="154" customFormat="false" ht="12.75" hidden="false" customHeight="false" outlineLevel="0" collapsed="false">
      <c r="AV154" s="0" t="s">
        <v>572</v>
      </c>
      <c r="AW154" s="0" t="s">
        <v>573</v>
      </c>
    </row>
    <row r="155" customFormat="false" ht="12.75" hidden="false" customHeight="false" outlineLevel="0" collapsed="false">
      <c r="AV155" s="0" t="s">
        <v>574</v>
      </c>
      <c r="AW155" s="0" t="s">
        <v>575</v>
      </c>
    </row>
    <row r="156" customFormat="false" ht="12.75" hidden="false" customHeight="false" outlineLevel="0" collapsed="false">
      <c r="AV156" s="0" t="s">
        <v>576</v>
      </c>
      <c r="AW156" s="0" t="s">
        <v>577</v>
      </c>
    </row>
    <row r="157" customFormat="false" ht="12.75" hidden="false" customHeight="false" outlineLevel="0" collapsed="false">
      <c r="AV157" s="0" t="s">
        <v>578</v>
      </c>
      <c r="AW157" s="0" t="s">
        <v>579</v>
      </c>
    </row>
    <row r="158" customFormat="false" ht="12.75" hidden="false" customHeight="false" outlineLevel="0" collapsed="false">
      <c r="AV158" s="0" t="s">
        <v>580</v>
      </c>
      <c r="AW158" s="0" t="s">
        <v>581</v>
      </c>
    </row>
    <row r="159" customFormat="false" ht="12.75" hidden="false" customHeight="false" outlineLevel="0" collapsed="false">
      <c r="AV159" s="0" t="s">
        <v>582</v>
      </c>
      <c r="AW159" s="0" t="s">
        <v>583</v>
      </c>
    </row>
    <row r="160" customFormat="false" ht="12.75" hidden="false" customHeight="false" outlineLevel="0" collapsed="false">
      <c r="AV160" s="0" t="s">
        <v>584</v>
      </c>
      <c r="AW160" s="0" t="s">
        <v>585</v>
      </c>
    </row>
    <row r="161" customFormat="false" ht="12.75" hidden="false" customHeight="false" outlineLevel="0" collapsed="false">
      <c r="AV161" s="0" t="s">
        <v>586</v>
      </c>
      <c r="AW161" s="0" t="s">
        <v>587</v>
      </c>
    </row>
    <row r="162" customFormat="false" ht="12.75" hidden="false" customHeight="false" outlineLevel="0" collapsed="false">
      <c r="AV162" s="0" t="s">
        <v>588</v>
      </c>
      <c r="AW162" s="0" t="s">
        <v>589</v>
      </c>
    </row>
    <row r="163" customFormat="false" ht="12.75" hidden="false" customHeight="false" outlineLevel="0" collapsed="false">
      <c r="AV163" s="0" t="s">
        <v>590</v>
      </c>
      <c r="AW163" s="0" t="s">
        <v>591</v>
      </c>
    </row>
    <row r="164" customFormat="false" ht="12.75" hidden="false" customHeight="false" outlineLevel="0" collapsed="false">
      <c r="AV164" s="0" t="s">
        <v>592</v>
      </c>
      <c r="AW164" s="0" t="s">
        <v>593</v>
      </c>
    </row>
    <row r="165" customFormat="false" ht="12.75" hidden="false" customHeight="false" outlineLevel="0" collapsed="false">
      <c r="AV165" s="0" t="s">
        <v>594</v>
      </c>
      <c r="AW165" s="0" t="s">
        <v>595</v>
      </c>
    </row>
    <row r="166" customFormat="false" ht="12.75" hidden="false" customHeight="false" outlineLevel="0" collapsed="false">
      <c r="AV166" s="0" t="s">
        <v>596</v>
      </c>
      <c r="AW166" s="0" t="s">
        <v>596</v>
      </c>
    </row>
    <row r="167" customFormat="false" ht="12.75" hidden="false" customHeight="false" outlineLevel="0" collapsed="false">
      <c r="AV167" s="0" t="s">
        <v>597</v>
      </c>
      <c r="AW167" s="0" t="s">
        <v>598</v>
      </c>
    </row>
    <row r="168" customFormat="false" ht="12.75" hidden="false" customHeight="false" outlineLevel="0" collapsed="false">
      <c r="AV168" s="0" t="s">
        <v>599</v>
      </c>
      <c r="AW168" s="0" t="s">
        <v>600</v>
      </c>
    </row>
    <row r="169" customFormat="false" ht="12.75" hidden="false" customHeight="false" outlineLevel="0" collapsed="false">
      <c r="AV169" s="0" t="s">
        <v>601</v>
      </c>
      <c r="AW169" s="0" t="s">
        <v>602</v>
      </c>
    </row>
    <row r="170" customFormat="false" ht="12.75" hidden="false" customHeight="false" outlineLevel="0" collapsed="false">
      <c r="AV170" s="0" t="s">
        <v>603</v>
      </c>
      <c r="AW170" s="0" t="s">
        <v>604</v>
      </c>
    </row>
    <row r="171" customFormat="false" ht="12.75" hidden="false" customHeight="false" outlineLevel="0" collapsed="false">
      <c r="AV171" s="0" t="s">
        <v>605</v>
      </c>
      <c r="AW171" s="0" t="s">
        <v>606</v>
      </c>
    </row>
    <row r="172" customFormat="false" ht="12.75" hidden="false" customHeight="false" outlineLevel="0" collapsed="false">
      <c r="AV172" s="0" t="s">
        <v>607</v>
      </c>
      <c r="AW172" s="0" t="s">
        <v>608</v>
      </c>
    </row>
    <row r="173" customFormat="false" ht="12.75" hidden="false" customHeight="false" outlineLevel="0" collapsed="false">
      <c r="AV173" s="0" t="s">
        <v>609</v>
      </c>
      <c r="AW173" s="0" t="s">
        <v>610</v>
      </c>
    </row>
    <row r="174" customFormat="false" ht="12.75" hidden="false" customHeight="false" outlineLevel="0" collapsed="false">
      <c r="AV174" s="0" t="s">
        <v>611</v>
      </c>
      <c r="AW174" s="0" t="s">
        <v>612</v>
      </c>
    </row>
    <row r="175" customFormat="false" ht="12.75" hidden="false" customHeight="false" outlineLevel="0" collapsed="false">
      <c r="AV175" s="0" t="s">
        <v>613</v>
      </c>
      <c r="AW175" s="0" t="s">
        <v>614</v>
      </c>
    </row>
    <row r="176" customFormat="false" ht="12.75" hidden="false" customHeight="false" outlineLevel="0" collapsed="false">
      <c r="AV176" s="0" t="s">
        <v>615</v>
      </c>
      <c r="AW176" s="0" t="s">
        <v>616</v>
      </c>
    </row>
    <row r="177" customFormat="false" ht="12.75" hidden="false" customHeight="false" outlineLevel="0" collapsed="false">
      <c r="AV177" s="0" t="s">
        <v>617</v>
      </c>
      <c r="AW177" s="0" t="s">
        <v>618</v>
      </c>
    </row>
    <row r="178" customFormat="false" ht="12.75" hidden="false" customHeight="false" outlineLevel="0" collapsed="false">
      <c r="AV178" s="0" t="s">
        <v>619</v>
      </c>
      <c r="AW178" s="0" t="s">
        <v>620</v>
      </c>
    </row>
    <row r="179" customFormat="false" ht="12.75" hidden="false" customHeight="false" outlineLevel="0" collapsed="false">
      <c r="AV179" s="0" t="s">
        <v>621</v>
      </c>
      <c r="AW179" s="0" t="s">
        <v>622</v>
      </c>
    </row>
    <row r="180" customFormat="false" ht="12.75" hidden="false" customHeight="false" outlineLevel="0" collapsed="false">
      <c r="AV180" s="0" t="s">
        <v>623</v>
      </c>
      <c r="AW180" s="0" t="s">
        <v>624</v>
      </c>
    </row>
    <row r="181" customFormat="false" ht="12.75" hidden="false" customHeight="false" outlineLevel="0" collapsed="false">
      <c r="AV181" s="0" t="s">
        <v>625</v>
      </c>
      <c r="AW181" s="0" t="s">
        <v>626</v>
      </c>
    </row>
    <row r="182" customFormat="false" ht="12.75" hidden="false" customHeight="false" outlineLevel="0" collapsed="false">
      <c r="AV182" s="0" t="s">
        <v>627</v>
      </c>
      <c r="AW182" s="0" t="s">
        <v>628</v>
      </c>
    </row>
    <row r="183" customFormat="false" ht="12.75" hidden="false" customHeight="false" outlineLevel="0" collapsed="false">
      <c r="AV183" s="0" t="s">
        <v>629</v>
      </c>
      <c r="AW183" s="0" t="s">
        <v>630</v>
      </c>
    </row>
    <row r="184" customFormat="false" ht="12.75" hidden="false" customHeight="false" outlineLevel="0" collapsed="false">
      <c r="AV184" s="0" t="s">
        <v>631</v>
      </c>
      <c r="AW184" s="0" t="s">
        <v>632</v>
      </c>
    </row>
    <row r="185" customFormat="false" ht="12.75" hidden="false" customHeight="false" outlineLevel="0" collapsed="false">
      <c r="AV185" s="0" t="s">
        <v>633</v>
      </c>
      <c r="AW185" s="0" t="s">
        <v>634</v>
      </c>
    </row>
    <row r="186" customFormat="false" ht="12.75" hidden="false" customHeight="false" outlineLevel="0" collapsed="false">
      <c r="AV186" s="0" t="s">
        <v>635</v>
      </c>
      <c r="AW186" s="0" t="s">
        <v>636</v>
      </c>
    </row>
    <row r="187" customFormat="false" ht="12.75" hidden="false" customHeight="false" outlineLevel="0" collapsed="false">
      <c r="AV187" s="0" t="s">
        <v>637</v>
      </c>
      <c r="AW187" s="0" t="s">
        <v>638</v>
      </c>
    </row>
    <row r="188" customFormat="false" ht="12.75" hidden="false" customHeight="false" outlineLevel="0" collapsed="false">
      <c r="AV188" s="0" t="s">
        <v>639</v>
      </c>
      <c r="AW188" s="0" t="s">
        <v>640</v>
      </c>
    </row>
    <row r="189" customFormat="false" ht="12.75" hidden="false" customHeight="false" outlineLevel="0" collapsed="false">
      <c r="AV189" s="0" t="s">
        <v>641</v>
      </c>
      <c r="AW189" s="0" t="s">
        <v>642</v>
      </c>
    </row>
    <row r="190" customFormat="false" ht="12.75" hidden="false" customHeight="false" outlineLevel="0" collapsed="false">
      <c r="AV190" s="0" t="s">
        <v>643</v>
      </c>
      <c r="AW190" s="0" t="s">
        <v>644</v>
      </c>
    </row>
    <row r="191" customFormat="false" ht="12.75" hidden="false" customHeight="false" outlineLevel="0" collapsed="false">
      <c r="AV191" s="0" t="s">
        <v>645</v>
      </c>
      <c r="AW191" s="0" t="s">
        <v>646</v>
      </c>
    </row>
    <row r="192" customFormat="false" ht="12.75" hidden="false" customHeight="false" outlineLevel="0" collapsed="false">
      <c r="AV192" s="0" t="s">
        <v>647</v>
      </c>
      <c r="AW192" s="0" t="s">
        <v>648</v>
      </c>
    </row>
    <row r="193" customFormat="false" ht="12.75" hidden="false" customHeight="false" outlineLevel="0" collapsed="false">
      <c r="AV193" s="0" t="s">
        <v>649</v>
      </c>
      <c r="AW193" s="0" t="s">
        <v>650</v>
      </c>
    </row>
    <row r="194" customFormat="false" ht="12.75" hidden="false" customHeight="false" outlineLevel="0" collapsed="false">
      <c r="AV194" s="0" t="s">
        <v>651</v>
      </c>
      <c r="AW194" s="0" t="s">
        <v>652</v>
      </c>
    </row>
    <row r="195" customFormat="false" ht="12.75" hidden="false" customHeight="false" outlineLevel="0" collapsed="false">
      <c r="AV195" s="0" t="s">
        <v>653</v>
      </c>
      <c r="AW195" s="0" t="s">
        <v>654</v>
      </c>
    </row>
    <row r="196" customFormat="false" ht="12.75" hidden="false" customHeight="false" outlineLevel="0" collapsed="false">
      <c r="AV196" s="0" t="s">
        <v>655</v>
      </c>
      <c r="AW196" s="0" t="s">
        <v>656</v>
      </c>
    </row>
    <row r="197" customFormat="false" ht="12.75" hidden="false" customHeight="false" outlineLevel="0" collapsed="false">
      <c r="AV197" s="0" t="s">
        <v>657</v>
      </c>
      <c r="AW197" s="0" t="s">
        <v>658</v>
      </c>
    </row>
    <row r="198" customFormat="false" ht="12.75" hidden="false" customHeight="false" outlineLevel="0" collapsed="false">
      <c r="AV198" s="0" t="s">
        <v>659</v>
      </c>
      <c r="AW198" s="0" t="s">
        <v>660</v>
      </c>
    </row>
    <row r="199" customFormat="false" ht="12.75" hidden="false" customHeight="false" outlineLevel="0" collapsed="false">
      <c r="AV199" s="0" t="s">
        <v>661</v>
      </c>
      <c r="AW199" s="0" t="s">
        <v>662</v>
      </c>
    </row>
    <row r="200" customFormat="false" ht="12.75" hidden="false" customHeight="false" outlineLevel="0" collapsed="false">
      <c r="AV200" s="0" t="s">
        <v>663</v>
      </c>
      <c r="AW200" s="0" t="s">
        <v>664</v>
      </c>
    </row>
    <row r="201" customFormat="false" ht="12.75" hidden="false" customHeight="false" outlineLevel="0" collapsed="false">
      <c r="AV201" s="0" t="s">
        <v>665</v>
      </c>
      <c r="AW201" s="0" t="s">
        <v>666</v>
      </c>
    </row>
    <row r="202" customFormat="false" ht="12.75" hidden="false" customHeight="false" outlineLevel="0" collapsed="false">
      <c r="AV202" s="0" t="s">
        <v>667</v>
      </c>
      <c r="AW202" s="0" t="s">
        <v>668</v>
      </c>
    </row>
    <row r="203" customFormat="false" ht="12.75" hidden="false" customHeight="false" outlineLevel="0" collapsed="false">
      <c r="AV203" s="0" t="s">
        <v>669</v>
      </c>
      <c r="AW203" s="0" t="s">
        <v>670</v>
      </c>
    </row>
    <row r="204" customFormat="false" ht="12.75" hidden="false" customHeight="false" outlineLevel="0" collapsed="false">
      <c r="AV204" s="0" t="s">
        <v>671</v>
      </c>
      <c r="AW204" s="0" t="s">
        <v>672</v>
      </c>
    </row>
    <row r="205" customFormat="false" ht="12.75" hidden="false" customHeight="false" outlineLevel="0" collapsed="false">
      <c r="AV205" s="0" t="s">
        <v>673</v>
      </c>
      <c r="AW205" s="0" t="s">
        <v>674</v>
      </c>
    </row>
    <row r="206" customFormat="false" ht="12.75" hidden="false" customHeight="false" outlineLevel="0" collapsed="false">
      <c r="AV206" s="0" t="s">
        <v>675</v>
      </c>
      <c r="AW206" s="0" t="s">
        <v>676</v>
      </c>
    </row>
    <row r="207" customFormat="false" ht="12.75" hidden="false" customHeight="false" outlineLevel="0" collapsed="false">
      <c r="AV207" s="0" t="s">
        <v>677</v>
      </c>
      <c r="AW207" s="0" t="s">
        <v>678</v>
      </c>
    </row>
    <row r="208" customFormat="false" ht="12.75" hidden="false" customHeight="false" outlineLevel="0" collapsed="false">
      <c r="AV208" s="0" t="s">
        <v>679</v>
      </c>
      <c r="AW208" s="0" t="s">
        <v>680</v>
      </c>
    </row>
    <row r="209" customFormat="false" ht="12.75" hidden="false" customHeight="false" outlineLevel="0" collapsed="false">
      <c r="AV209" s="0" t="s">
        <v>681</v>
      </c>
      <c r="AW209" s="0" t="s">
        <v>682</v>
      </c>
    </row>
    <row r="210" customFormat="false" ht="12.75" hidden="false" customHeight="false" outlineLevel="0" collapsed="false">
      <c r="AV210" s="0" t="s">
        <v>683</v>
      </c>
      <c r="AW210" s="0" t="s">
        <v>684</v>
      </c>
    </row>
    <row r="211" customFormat="false" ht="12.75" hidden="false" customHeight="false" outlineLevel="0" collapsed="false">
      <c r="AV211" s="0" t="s">
        <v>685</v>
      </c>
      <c r="AW211" s="0" t="s">
        <v>685</v>
      </c>
    </row>
    <row r="212" customFormat="false" ht="12.75" hidden="false" customHeight="false" outlineLevel="0" collapsed="false">
      <c r="AV212" s="0" t="s">
        <v>686</v>
      </c>
      <c r="AW212" s="0" t="s">
        <v>686</v>
      </c>
    </row>
    <row r="213" customFormat="false" ht="12.75" hidden="false" customHeight="false" outlineLevel="0" collapsed="false">
      <c r="AV213" s="0" t="s">
        <v>687</v>
      </c>
      <c r="AW213" s="0" t="s">
        <v>688</v>
      </c>
    </row>
    <row r="214" customFormat="false" ht="12.75" hidden="false" customHeight="false" outlineLevel="0" collapsed="false">
      <c r="AV214" s="0" t="s">
        <v>689</v>
      </c>
      <c r="AW214" s="0" t="s">
        <v>688</v>
      </c>
    </row>
    <row r="215" customFormat="false" ht="12.75" hidden="false" customHeight="false" outlineLevel="0" collapsed="false">
      <c r="AV215" s="0" t="s">
        <v>690</v>
      </c>
      <c r="AW215" s="0" t="s">
        <v>690</v>
      </c>
    </row>
    <row r="216" customFormat="false" ht="12.75" hidden="false" customHeight="false" outlineLevel="0" collapsed="false">
      <c r="AV216" s="0" t="s">
        <v>691</v>
      </c>
      <c r="AW216" s="0" t="s">
        <v>691</v>
      </c>
    </row>
    <row r="217" customFormat="false" ht="12.75" hidden="false" customHeight="false" outlineLevel="0" collapsed="false">
      <c r="AV217" s="0" t="s">
        <v>692</v>
      </c>
      <c r="AW217" s="0" t="s">
        <v>693</v>
      </c>
    </row>
    <row r="218" customFormat="false" ht="12.75" hidden="false" customHeight="false" outlineLevel="0" collapsed="false">
      <c r="AV218" s="0" t="s">
        <v>694</v>
      </c>
      <c r="AW218" s="0" t="s">
        <v>695</v>
      </c>
    </row>
    <row r="219" customFormat="false" ht="12.75" hidden="false" customHeight="false" outlineLevel="0" collapsed="false">
      <c r="AV219" s="0" t="s">
        <v>696</v>
      </c>
      <c r="AW219" s="0" t="s">
        <v>696</v>
      </c>
    </row>
    <row r="220" customFormat="false" ht="12.75" hidden="false" customHeight="false" outlineLevel="0" collapsed="false">
      <c r="AV220" s="0" t="s">
        <v>697</v>
      </c>
      <c r="AW220" s="0" t="s">
        <v>698</v>
      </c>
    </row>
    <row r="222" customFormat="false" ht="12.75" hidden="false" customHeight="false" outlineLevel="0" collapsed="false">
      <c r="AV222" s="59"/>
      <c r="AW222" s="60"/>
    </row>
  </sheetData>
  <sheetProtection algorithmName="SHA-512" hashValue="G8pt5oFBVBKxdRsWrYyRZsA5ynN8ov0ngkBHNVQ9xwlD9Q8C2yb3ftrTiXZxAiwt9Lv5q1TBVMGcDo7kamrV/w==" saltValue="gPDlu4FqcKbK2uYlZspUSg==" spinCount="100000" sheet="true" objects="true" scenarios="true" autoFilter="false"/>
  <mergeCells count="9">
    <mergeCell ref="N1:AT1"/>
    <mergeCell ref="B3:C3"/>
    <mergeCell ref="B15:C15"/>
    <mergeCell ref="B21:C21"/>
    <mergeCell ref="B27:C27"/>
    <mergeCell ref="B35:C35"/>
    <mergeCell ref="B46:C46"/>
    <mergeCell ref="B50:C50"/>
    <mergeCell ref="B59:C59"/>
  </mergeCells>
  <conditionalFormatting sqref="B57:C58">
    <cfRule type="expression" priority="2" aboveAverage="0" equalAverage="0" bottom="0" percent="0" rank="0" text="" dxfId="6">
      <formula>CAIXA.Modo=0</formula>
    </cfRule>
  </conditionalFormatting>
  <conditionalFormatting sqref="B59:C61">
    <cfRule type="expression" priority="3" aboveAverage="0" equalAverage="0" bottom="0" percent="0" rank="0" text="" dxfId="7">
      <formula>CAIXA.Modo=0</formula>
    </cfRule>
  </conditionalFormatting>
  <dataValidations count="7">
    <dataValidation allowBlank="true" error="Digite somente datas válidas no formato mm/aaaa." errorStyle="stop" errorTitle="Dados inválidos" operator="between" showDropDown="false" showErrorMessage="true" showInputMessage="false" sqref="C19 C25 C36 C41 C47:C48" type="date">
      <formula1>36526</formula1>
      <formula2>72686</formula2>
    </dataValidation>
    <dataValidation allowBlank="true" error="Selecione na lista o regime previdênciário." errorStyle="stop" errorTitle="Erro:" operator="between" prompt="Selecione na lista o regime previdênciário." showDropDown="false" showErrorMessage="true" showInputMessage="true" sqref="C18" type="list">
      <formula1>DADOS.Lista.RegimePreviden</formula1>
      <formula2>0</formula2>
    </dataValidation>
    <dataValidation allowBlank="true" error="Digite um valor em percentual.&#10;&#10;Ou seja um valor de 0% (zero) até 100% (cem). " errorStyle="stop" operator="between" showDropDown="false" showErrorMessage="true" showInputMessage="false" sqref="C11 C13:C14" type="decimal">
      <formula1>0</formula1>
      <formula2>1</formula2>
    </dataValidation>
    <dataValidation allowBlank="true" error="Selecione na lista a fonte de recursos." errorStyle="stop" errorTitle="Erro:" operator="between" prompt="Selecione na lista a fonte de recursos." showDropDown="false" showErrorMessage="true" showInputMessage="true" sqref="C4" type="list">
      <formula1>DADOS.Lista.FonteRecursos</formula1>
      <formula2>0</formula2>
    </dataValidation>
    <dataValidation allowBlank="true" error="Digite um valor maior do que 0." errorStyle="stop" operator="greaterThan" showDropDown="false" showErrorMessage="true" showInputMessage="false" sqref="C12" type="decimal">
      <formula1>0</formula1>
      <formula2>0</formula2>
    </dataValidation>
    <dataValidation allowBlank="true" error="Selecione na lista o regime de execução do CTEF." errorStyle="stop" errorTitle="Erro:" operator="between" prompt="Selecione na lista o regime de execução do CTEF." showDropDown="false" showErrorMessage="true" showInputMessage="true" sqref="C40" type="list">
      <formula1>DADOS.Lista.RegimeExecução</formula1>
      <formula2>0</formula2>
    </dataValidation>
    <dataValidation allowBlank="true" error="Selecione na lista a metodologia de arredondamento das frentes de obra." errorStyle="stop" errorTitle="Erro:" operator="between" prompt="Selecione na lista a metodologia de arredondamento das frentes de obra.&#10;&#10;Para CR que tramitam no TransfereGOV, obrigatoriamente, selecione a opção “TransfereGOV”.&#10;&#10;Para outros CR, preferencialmente, selecione a opção &quot;Tradicional&quot;.&#10;" showDropDown="false" showErrorMessage="true" showInputMessage="true" sqref="C31" type="list">
      <formula1>DADOS.Lista.Arredondamento</formula1>
      <formula2>0</formula2>
    </dataValidation>
  </dataValidations>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0" pageOrder="downThenOver" orientation="portrait" blackAndWhite="false" draft="false" cellComments="none" horizontalDpi="300" verticalDpi="300" copies="1"/>
  <headerFooter differentFirst="false" differentOddEven="false">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Z146"/>
  <sheetViews>
    <sheetView showFormulas="false" showGridLines="false" showRowColHeaders="true" showZeros="true" rightToLeft="false" tabSelected="false" showOutlineSymbols="true" defaultGridColor="true" view="normal" topLeftCell="H1" colorId="64" zoomScale="85" zoomScaleNormal="85" zoomScalePageLayoutView="100" workbookViewId="0">
      <pane xSplit="0" ySplit="11" topLeftCell="A12" activePane="bottomLeft" state="frozen"/>
      <selection pane="topLeft" activeCell="H1" activeCellId="0" sqref="H1"/>
      <selection pane="bottomLeft" activeCell="A1" activeCellId="0" sqref="A1"/>
    </sheetView>
  </sheetViews>
  <sheetFormatPr defaultColWidth="8.6796875" defaultRowHeight="12.75" customHeight="false" zeroHeight="false" outlineLevelRow="0" outlineLevelCol="0"/>
  <cols>
    <col collapsed="false" customWidth="true" hidden="true" outlineLevel="0" max="4" min="1" style="94" width="5.57"/>
    <col collapsed="false" customWidth="true" hidden="true" outlineLevel="0" max="6" min="5" style="94" width="11.43"/>
    <col collapsed="false" customWidth="true" hidden="true" outlineLevel="0" max="7" min="7" style="94" width="11.85"/>
    <col collapsed="false" customWidth="true" hidden="false" outlineLevel="0" max="8" min="8" style="0" width="10.57"/>
    <col collapsed="false" customWidth="true" hidden="false" outlineLevel="0" max="9" min="9" style="0" width="3.57"/>
    <col collapsed="false" customWidth="true" hidden="false" outlineLevel="0" max="15" min="10" style="94" width="10.57"/>
    <col collapsed="false" customWidth="true" hidden="false" outlineLevel="0" max="16" min="16" style="94" width="12.86"/>
    <col collapsed="false" customWidth="true" hidden="false" outlineLevel="0" max="19" min="17" style="94" width="10.57"/>
  </cols>
  <sheetData>
    <row r="1" customFormat="false" ht="15" hidden="false" customHeight="false" outlineLevel="0" collapsed="false">
      <c r="E1" s="95" t="s">
        <v>699</v>
      </c>
      <c r="F1" s="95" t="s">
        <v>700</v>
      </c>
      <c r="G1" s="95" t="s">
        <v>701</v>
      </c>
      <c r="O1" s="96" t="str">
        <f aca="false">"Quadro de Composição do BDI"</f>
        <v>Quadro de Composição do BDI</v>
      </c>
      <c r="R1" s="97" t="s">
        <v>702</v>
      </c>
      <c r="S1" s="97"/>
    </row>
    <row r="2" customFormat="false" ht="12.75" hidden="false" customHeight="false" outlineLevel="0" collapsed="false">
      <c r="A2" s="94" t="s">
        <v>703</v>
      </c>
      <c r="B2" s="98" t="s">
        <v>704</v>
      </c>
      <c r="C2" s="94" t="str">
        <f aca="false">CONCATENATE(A2,"-",B2)</f>
        <v>Construção e Reforma de Edifícios-AC</v>
      </c>
      <c r="E2" s="99" t="n">
        <v>0.03</v>
      </c>
      <c r="F2" s="99" t="n">
        <v>0.04</v>
      </c>
      <c r="G2" s="99" t="n">
        <v>0.055</v>
      </c>
      <c r="R2" s="58" t="s">
        <v>705</v>
      </c>
      <c r="S2" s="58"/>
    </row>
    <row r="3" customFormat="false" ht="12.75" hidden="false" customHeight="false" outlineLevel="0" collapsed="false">
      <c r="A3" s="94" t="str">
        <f aca="false">A2</f>
        <v>Construção e Reforma de Edifícios</v>
      </c>
      <c r="B3" s="98" t="s">
        <v>706</v>
      </c>
      <c r="C3" s="94" t="str">
        <f aca="false">CONCATENATE(A3,"-",B3)</f>
        <v>Construção e Reforma de Edifícios-SG</v>
      </c>
      <c r="E3" s="99" t="n">
        <v>0.008</v>
      </c>
      <c r="F3" s="99" t="n">
        <v>0.008</v>
      </c>
      <c r="G3" s="99" t="n">
        <v>0.01</v>
      </c>
    </row>
    <row r="4" customFormat="false" ht="12.75" hidden="false" customHeight="false" outlineLevel="0" collapsed="false">
      <c r="A4" s="94" t="str">
        <f aca="false">A3</f>
        <v>Construção e Reforma de Edifícios</v>
      </c>
      <c r="B4" s="98" t="s">
        <v>707</v>
      </c>
      <c r="C4" s="94" t="str">
        <f aca="false">CONCATENATE(A4,"-",B4)</f>
        <v>Construção e Reforma de Edifícios-R</v>
      </c>
      <c r="E4" s="99" t="n">
        <v>0.0097</v>
      </c>
      <c r="F4" s="99" t="n">
        <v>0.0127</v>
      </c>
      <c r="G4" s="99" t="n">
        <v>0.0127</v>
      </c>
      <c r="J4" s="100" t="s">
        <v>708</v>
      </c>
      <c r="K4" s="100"/>
      <c r="L4" s="100" t="s">
        <v>709</v>
      </c>
      <c r="M4" s="100"/>
      <c r="N4" s="100" t="s">
        <v>710</v>
      </c>
      <c r="O4" s="100"/>
      <c r="P4" s="100"/>
      <c r="Q4" s="100"/>
      <c r="R4" s="100"/>
      <c r="S4" s="100"/>
    </row>
    <row r="5" customFormat="false" ht="12.75" hidden="false" customHeight="true" outlineLevel="0" collapsed="false">
      <c r="A5" s="94" t="str">
        <f aca="false">A4</f>
        <v>Construção e Reforma de Edifícios</v>
      </c>
      <c r="B5" s="98" t="s">
        <v>711</v>
      </c>
      <c r="C5" s="94" t="str">
        <f aca="false">CONCATENATE(A5,"-",B5)</f>
        <v>Construção e Reforma de Edifícios-DF</v>
      </c>
      <c r="E5" s="99" t="n">
        <v>0.0059</v>
      </c>
      <c r="F5" s="99" t="n">
        <v>0.0123</v>
      </c>
      <c r="G5" s="99" t="n">
        <v>0.0139</v>
      </c>
      <c r="J5" s="101" t="n">
        <f aca="false">Import.CR</f>
        <v>0</v>
      </c>
      <c r="K5" s="101"/>
      <c r="L5" s="101" t="n">
        <f aca="false">Import.TransfereGOV</f>
        <v>0</v>
      </c>
      <c r="M5" s="101"/>
      <c r="N5" s="101" t="n">
        <f aca="false">Import.Proponente</f>
        <v>0</v>
      </c>
      <c r="O5" s="101"/>
      <c r="P5" s="101"/>
      <c r="Q5" s="101"/>
      <c r="R5" s="101"/>
      <c r="S5" s="101"/>
    </row>
    <row r="6" customFormat="false" ht="12.75" hidden="false" customHeight="false" outlineLevel="0" collapsed="false">
      <c r="A6" s="94" t="str">
        <f aca="false">A5</f>
        <v>Construção e Reforma de Edifícios</v>
      </c>
      <c r="B6" s="98" t="s">
        <v>712</v>
      </c>
      <c r="C6" s="94" t="str">
        <f aca="false">CONCATENATE(A6,"-",B6)</f>
        <v>Construção e Reforma de Edifícios-L</v>
      </c>
      <c r="E6" s="99" t="n">
        <v>0.0616</v>
      </c>
      <c r="F6" s="99" t="n">
        <v>0.074</v>
      </c>
      <c r="G6" s="99" t="n">
        <v>0.0896</v>
      </c>
      <c r="I6" s="102" t="s">
        <v>713</v>
      </c>
      <c r="J6" s="103"/>
      <c r="K6" s="103"/>
      <c r="L6" s="103"/>
      <c r="M6" s="103"/>
      <c r="N6" s="103"/>
      <c r="O6" s="103"/>
      <c r="P6" s="103"/>
      <c r="Q6" s="103"/>
      <c r="R6" s="103"/>
      <c r="S6" s="103"/>
    </row>
    <row r="7" customFormat="false" ht="23.85" hidden="false" customHeight="false" outlineLevel="0" collapsed="false">
      <c r="A7" s="94" t="str">
        <f aca="false">A6</f>
        <v>Construção e Reforma de Edifícios</v>
      </c>
      <c r="B7" s="104" t="s">
        <v>714</v>
      </c>
      <c r="C7" s="94" t="str">
        <f aca="false">CONCATENATE(A7,"-",B7)</f>
        <v>Construção e Reforma de Edifícios-BDI PAD</v>
      </c>
      <c r="E7" s="99" t="n">
        <v>0.2034</v>
      </c>
      <c r="F7" s="99" t="n">
        <v>0.2212</v>
      </c>
      <c r="G7" s="99" t="n">
        <v>0.25</v>
      </c>
      <c r="I7" s="102"/>
      <c r="J7" s="100" t="s">
        <v>715</v>
      </c>
      <c r="K7" s="100"/>
      <c r="L7" s="100"/>
      <c r="M7" s="100"/>
      <c r="N7" s="100"/>
      <c r="O7" s="100"/>
      <c r="P7" s="100"/>
      <c r="Q7" s="100"/>
      <c r="R7" s="100"/>
      <c r="S7" s="100"/>
      <c r="U7" s="51" t="str">
        <f aca="false">IF(OR(U10&lt;&gt;"",U11&lt;&gt;""),"Falta preencher os percentuais do ISS",IF(U14&lt;&gt;"","Falta preencher o BDI 1",IF(U54&lt;&gt;"","Falta preencher o BDI 2",IF(U94&lt;&gt;"","Falta preencher o BDI 3",""))))</f>
        <v/>
      </c>
    </row>
    <row r="8" customFormat="false" ht="15" hidden="false" customHeight="false" outlineLevel="0" collapsed="false">
      <c r="A8" s="94" t="s">
        <v>716</v>
      </c>
      <c r="B8" s="98" t="s">
        <v>704</v>
      </c>
      <c r="C8" s="94" t="str">
        <f aca="false">CONCATENATE(A8,"-",B8)</f>
        <v>Construção de Praças Urbanas, Rodovias, Ferrovias e recapeamento e pavimentação de vias urbanas-AC</v>
      </c>
      <c r="E8" s="99" t="n">
        <v>0.038</v>
      </c>
      <c r="F8" s="99" t="n">
        <v>0.0401</v>
      </c>
      <c r="G8" s="99" t="n">
        <v>0.0467</v>
      </c>
      <c r="I8" s="102"/>
      <c r="J8" s="105" t="str">
        <f aca="false">Import.Apelido&amp;" / "&amp;Import.DescLote</f>
        <v>REVITALIZAÇÃO DIVERSAS RUAS / REVITALIZAÇÃO DIVERSAS RUAS</v>
      </c>
      <c r="K8" s="105"/>
      <c r="L8" s="105"/>
      <c r="M8" s="105"/>
      <c r="N8" s="105"/>
      <c r="O8" s="105"/>
      <c r="P8" s="105"/>
      <c r="Q8" s="105"/>
      <c r="R8" s="105"/>
      <c r="S8" s="105"/>
      <c r="U8" s="51" t="str">
        <f aca="false">IF(U29="FORA DO INTERVALO","BDI 1 fora do intervalo",IF(U69="FORA DO INTERVALO","BDI 2 fora do intervalo",IF(U109="FORA DO INTERVALO","BDI 3 fora do intervalo","")))</f>
        <v/>
      </c>
    </row>
    <row r="9" customFormat="false" ht="12.75" hidden="false" customHeight="false" outlineLevel="0" collapsed="false">
      <c r="A9" s="94" t="s">
        <v>716</v>
      </c>
      <c r="B9" s="98" t="s">
        <v>706</v>
      </c>
      <c r="C9" s="94" t="str">
        <f aca="false">CONCATENATE(A9,"-",B9)</f>
        <v>Construção de Praças Urbanas, Rodovias, Ferrovias e recapeamento e pavimentação de vias urbanas-SG</v>
      </c>
      <c r="E9" s="99" t="n">
        <v>0.0032</v>
      </c>
      <c r="F9" s="99" t="n">
        <v>0.004</v>
      </c>
      <c r="G9" s="99" t="n">
        <v>0.0074</v>
      </c>
      <c r="I9" s="102"/>
      <c r="J9" s="103"/>
      <c r="K9" s="103"/>
      <c r="L9" s="103"/>
      <c r="M9" s="103"/>
      <c r="N9" s="103"/>
      <c r="O9" s="103"/>
      <c r="P9" s="103"/>
      <c r="Q9" s="103"/>
      <c r="R9" s="103"/>
      <c r="S9" s="103"/>
    </row>
    <row r="10" customFormat="false" ht="12.75" hidden="false" customHeight="true" outlineLevel="0" collapsed="false">
      <c r="A10" s="94" t="s">
        <v>716</v>
      </c>
      <c r="B10" s="98" t="s">
        <v>707</v>
      </c>
      <c r="C10" s="94" t="str">
        <f aca="false">CONCATENATE(A10,"-",B10)</f>
        <v>Construção de Praças Urbanas, Rodovias, Ferrovias e recapeamento e pavimentação de vias urbanas-R</v>
      </c>
      <c r="E10" s="99" t="n">
        <v>0.005</v>
      </c>
      <c r="F10" s="99" t="n">
        <v>0.0056</v>
      </c>
      <c r="G10" s="99" t="n">
        <v>0.0097</v>
      </c>
      <c r="I10" s="102"/>
      <c r="J10" s="106" t="s">
        <v>717</v>
      </c>
      <c r="K10" s="106"/>
      <c r="L10" s="106"/>
      <c r="M10" s="106"/>
      <c r="N10" s="106"/>
      <c r="O10" s="106"/>
      <c r="P10" s="106"/>
      <c r="Q10" s="106"/>
      <c r="R10" s="107" t="n">
        <v>1</v>
      </c>
      <c r="S10" s="107"/>
      <c r="U10" s="108" t="str">
        <f aca="false">IF(R10="","Falta definir a base de cálculo para o ISS","")</f>
        <v/>
      </c>
    </row>
    <row r="11" customFormat="false" ht="12.75" hidden="false" customHeight="true" outlineLevel="0" collapsed="false">
      <c r="A11" s="94" t="s">
        <v>716</v>
      </c>
      <c r="B11" s="98" t="s">
        <v>711</v>
      </c>
      <c r="C11" s="94" t="str">
        <f aca="false">CONCATENATE(A11,"-",B11)</f>
        <v>Construção de Praças Urbanas, Rodovias, Ferrovias e recapeamento e pavimentação de vias urbanas-DF</v>
      </c>
      <c r="E11" s="99" t="n">
        <v>0.0102</v>
      </c>
      <c r="F11" s="99" t="n">
        <v>0.0111</v>
      </c>
      <c r="G11" s="99" t="n">
        <v>0.0121</v>
      </c>
      <c r="I11" s="109" t="s">
        <v>718</v>
      </c>
      <c r="J11" s="110" t="s">
        <v>719</v>
      </c>
      <c r="K11" s="110"/>
      <c r="L11" s="110"/>
      <c r="M11" s="110"/>
      <c r="N11" s="110"/>
      <c r="O11" s="110"/>
      <c r="P11" s="110"/>
      <c r="Q11" s="110"/>
      <c r="R11" s="107" t="n">
        <v>0.03</v>
      </c>
      <c r="S11" s="107"/>
      <c r="U11" s="108" t="str">
        <f aca="false">IF(R11="","Falta definir a alíquota do ISS","")</f>
        <v/>
      </c>
    </row>
    <row r="12" customFormat="false" ht="12.75" hidden="false" customHeight="false" outlineLevel="0" collapsed="false">
      <c r="A12" s="94" t="s">
        <v>716</v>
      </c>
      <c r="B12" s="98" t="s">
        <v>712</v>
      </c>
      <c r="C12" s="94" t="str">
        <f aca="false">CONCATENATE(A12,"-",B12)</f>
        <v>Construção de Praças Urbanas, Rodovias, Ferrovias e recapeamento e pavimentação de vias urbanas-L</v>
      </c>
      <c r="E12" s="99" t="n">
        <v>0.0664</v>
      </c>
      <c r="F12" s="99" t="n">
        <v>0.073</v>
      </c>
      <c r="G12" s="99" t="n">
        <v>0.0869</v>
      </c>
      <c r="I12" s="48" t="s">
        <v>594</v>
      </c>
      <c r="J12" s="111"/>
      <c r="K12" s="111"/>
      <c r="L12" s="111"/>
      <c r="M12" s="111"/>
      <c r="N12" s="111"/>
      <c r="O12" s="111"/>
      <c r="P12" s="111"/>
      <c r="Q12" s="111"/>
      <c r="R12" s="111"/>
      <c r="S12" s="111"/>
    </row>
    <row r="13" customFormat="false" ht="15" hidden="false" customHeight="true" outlineLevel="0" collapsed="false">
      <c r="A13" s="94" t="s">
        <v>716</v>
      </c>
      <c r="B13" s="104" t="s">
        <v>714</v>
      </c>
      <c r="C13" s="94" t="str">
        <f aca="false">CONCATENATE(A13,"-",B13)</f>
        <v>Construção de Praças Urbanas, Rodovias, Ferrovias e recapeamento e pavimentação de vias urbanas-BDI PAD</v>
      </c>
      <c r="E13" s="99" t="n">
        <v>0.196</v>
      </c>
      <c r="F13" s="99" t="n">
        <v>0.2097</v>
      </c>
      <c r="G13" s="99" t="n">
        <v>0.2423</v>
      </c>
      <c r="I13" s="48" t="s">
        <v>594</v>
      </c>
    </row>
    <row r="14" customFormat="false" ht="15" hidden="false" customHeight="false" outlineLevel="0" collapsed="false">
      <c r="A14" s="94" t="s">
        <v>720</v>
      </c>
      <c r="B14" s="98" t="s">
        <v>704</v>
      </c>
      <c r="C14" s="94" t="str">
        <f aca="false">CONCATENATE(A14,"-",B14)</f>
        <v>Construção de Redes de Abastecimento de Água, Coleta de Esgoto-AC</v>
      </c>
      <c r="E14" s="99" t="n">
        <v>0.0343</v>
      </c>
      <c r="F14" s="99" t="n">
        <v>0.0493</v>
      </c>
      <c r="G14" s="99" t="n">
        <v>0.0671</v>
      </c>
      <c r="I14" s="48" t="s">
        <v>594</v>
      </c>
      <c r="J14" s="112" t="s">
        <v>721</v>
      </c>
      <c r="K14" s="112"/>
      <c r="L14" s="112"/>
      <c r="M14" s="112"/>
      <c r="N14" s="112"/>
      <c r="O14" s="112"/>
      <c r="P14" s="112"/>
      <c r="Q14" s="112"/>
      <c r="R14" s="112"/>
      <c r="S14" s="112"/>
      <c r="U14" s="51" t="str">
        <f aca="false">IF(COUNTIF(ORÇAMENTO!$V$15:$V$21,BDI_1.Título)=0,"",IF(OR(Import.BDI.Tipo1="(SELECIONAR)",Import.BDI.Tipo1="",U17&lt;&gt;"",AND($J17&lt;&gt;$A$145,OR(S21="",S22="",AND($J17&lt;&gt;$A$146,OR(S23="",S24="")),S25="",S26=""))),"Falta preencher o BDI 1",""))</f>
        <v/>
      </c>
    </row>
    <row r="15" customFormat="false" ht="12.75" hidden="false" customHeight="false" outlineLevel="0" collapsed="false">
      <c r="A15" s="94" t="str">
        <f aca="false">A14</f>
        <v>Construção de Redes de Abastecimento de Água, Coleta de Esgoto</v>
      </c>
      <c r="B15" s="98" t="s">
        <v>706</v>
      </c>
      <c r="C15" s="94" t="str">
        <f aca="false">CONCATENATE(A15,"-",B15)</f>
        <v>Construção de Redes de Abastecimento de Água, Coleta de Esgoto-SG</v>
      </c>
      <c r="E15" s="99" t="n">
        <v>0.0028</v>
      </c>
      <c r="F15" s="99" t="n">
        <v>0.0049</v>
      </c>
      <c r="G15" s="99" t="n">
        <v>0.0075</v>
      </c>
      <c r="I15" s="48" t="s">
        <v>594</v>
      </c>
    </row>
    <row r="16" customFormat="false" ht="12.75" hidden="false" customHeight="false" outlineLevel="0" collapsed="false">
      <c r="A16" s="94" t="str">
        <f aca="false">A15</f>
        <v>Construção de Redes de Abastecimento de Água, Coleta de Esgoto</v>
      </c>
      <c r="B16" s="98" t="s">
        <v>707</v>
      </c>
      <c r="C16" s="94" t="str">
        <f aca="false">CONCATENATE(A16,"-",B16)</f>
        <v>Construção de Redes de Abastecimento de Água, Coleta de Esgoto-R</v>
      </c>
      <c r="E16" s="99" t="n">
        <v>0.01</v>
      </c>
      <c r="F16" s="99" t="n">
        <v>0.0139</v>
      </c>
      <c r="G16" s="99" t="n">
        <v>0.0174</v>
      </c>
      <c r="I16" s="48" t="s">
        <v>594</v>
      </c>
      <c r="J16" s="100" t="s">
        <v>722</v>
      </c>
      <c r="K16" s="100"/>
      <c r="L16" s="100"/>
      <c r="M16" s="100"/>
      <c r="N16" s="100"/>
      <c r="O16" s="100"/>
      <c r="P16" s="100"/>
      <c r="Q16" s="100"/>
      <c r="R16" s="100"/>
      <c r="S16" s="100"/>
    </row>
    <row r="17" customFormat="false" ht="13.8" hidden="false" customHeight="false" outlineLevel="0" collapsed="false">
      <c r="A17" s="94" t="str">
        <f aca="false">A16</f>
        <v>Construção de Redes de Abastecimento de Água, Coleta de Esgoto</v>
      </c>
      <c r="B17" s="98" t="s">
        <v>711</v>
      </c>
      <c r="C17" s="94" t="str">
        <f aca="false">CONCATENATE(A17,"-",B17)</f>
        <v>Construção de Redes de Abastecimento de Água, Coleta de Esgoto-DF</v>
      </c>
      <c r="E17" s="99" t="n">
        <v>0.0094</v>
      </c>
      <c r="F17" s="99" t="n">
        <v>0.0099</v>
      </c>
      <c r="G17" s="99" t="n">
        <v>0.0117</v>
      </c>
      <c r="I17" s="48" t="s">
        <v>594</v>
      </c>
      <c r="J17" s="113" t="s">
        <v>716</v>
      </c>
      <c r="K17" s="113"/>
      <c r="L17" s="113"/>
      <c r="M17" s="113"/>
      <c r="N17" s="113"/>
      <c r="O17" s="113"/>
      <c r="P17" s="113"/>
      <c r="Q17" s="113"/>
      <c r="R17" s="113"/>
      <c r="S17" s="113"/>
      <c r="T17" s="66" t="str">
        <f aca="false">IF(U17="","","◄")</f>
        <v/>
      </c>
      <c r="U17" s="62" t="str">
        <f aca="false">IF(AND(OR(S29&gt;0,COUNTIF(ORÇAMENTO!$V$15:$V$21,BDI_1.Título)&gt;0),OR(Import.BDI.Tipo1="(SELECIONAR)",Import.BDI.Tipo1="")),"Selecione o Tipo de obra","")</f>
        <v/>
      </c>
    </row>
    <row r="18" customFormat="false" ht="12.75" hidden="false" customHeight="false" outlineLevel="0" collapsed="false">
      <c r="A18" s="94" t="str">
        <f aca="false">A17</f>
        <v>Construção de Redes de Abastecimento de Água, Coleta de Esgoto</v>
      </c>
      <c r="B18" s="98" t="s">
        <v>712</v>
      </c>
      <c r="C18" s="94" t="str">
        <f aca="false">CONCATENATE(A18,"-",B18)</f>
        <v>Construção de Redes de Abastecimento de Água, Coleta de Esgoto-L</v>
      </c>
      <c r="E18" s="99" t="n">
        <v>0.0674</v>
      </c>
      <c r="F18" s="99" t="n">
        <v>0.0804</v>
      </c>
      <c r="G18" s="99" t="n">
        <v>0.094</v>
      </c>
      <c r="I18" s="48" t="s">
        <v>594</v>
      </c>
    </row>
    <row r="19" customFormat="false" ht="12.75" hidden="false" customHeight="true" outlineLevel="0" collapsed="false">
      <c r="A19" s="94" t="str">
        <f aca="false">A18</f>
        <v>Construção de Redes de Abastecimento de Água, Coleta de Esgoto</v>
      </c>
      <c r="B19" s="104" t="s">
        <v>714</v>
      </c>
      <c r="C19" s="94" t="str">
        <f aca="false">CONCATENATE(A19,"-",B19)</f>
        <v>Construção de Redes de Abastecimento de Água, Coleta de Esgoto-BDI PAD</v>
      </c>
      <c r="E19" s="99" t="n">
        <v>0.2076</v>
      </c>
      <c r="F19" s="99" t="n">
        <v>0.2418</v>
      </c>
      <c r="G19" s="99" t="n">
        <v>0.2644</v>
      </c>
      <c r="I19" s="48" t="s">
        <v>594</v>
      </c>
      <c r="J19" s="114" t="s">
        <v>723</v>
      </c>
      <c r="K19" s="114"/>
      <c r="L19" s="114"/>
      <c r="M19" s="114"/>
      <c r="N19" s="114"/>
      <c r="O19" s="114"/>
      <c r="P19" s="114"/>
      <c r="Q19" s="114"/>
      <c r="R19" s="114" t="s">
        <v>724</v>
      </c>
      <c r="S19" s="115" t="s">
        <v>725</v>
      </c>
      <c r="U19" s="115" t="s">
        <v>726</v>
      </c>
      <c r="V19" s="115"/>
      <c r="W19" s="115"/>
      <c r="X19" s="116" t="s">
        <v>727</v>
      </c>
      <c r="Y19" s="116" t="s">
        <v>728</v>
      </c>
      <c r="Z19" s="116" t="s">
        <v>729</v>
      </c>
    </row>
    <row r="20" customFormat="false" ht="12.75" hidden="false" customHeight="true" outlineLevel="0" collapsed="false">
      <c r="A20" s="94" t="s">
        <v>730</v>
      </c>
      <c r="B20" s="98" t="s">
        <v>704</v>
      </c>
      <c r="C20" s="94" t="str">
        <f aca="false">CONCATENATE(A20,"-",B20)</f>
        <v>Construção e Manutenção de Estações e Redes de Distribuição de Energia Elétrica-AC</v>
      </c>
      <c r="E20" s="99" t="n">
        <v>0.0529</v>
      </c>
      <c r="F20" s="99" t="n">
        <v>0.0592</v>
      </c>
      <c r="G20" s="99" t="n">
        <v>0.0793</v>
      </c>
      <c r="I20" s="48" t="s">
        <v>594</v>
      </c>
      <c r="J20" s="114"/>
      <c r="K20" s="114"/>
      <c r="L20" s="114"/>
      <c r="M20" s="114"/>
      <c r="N20" s="114"/>
      <c r="O20" s="114"/>
      <c r="P20" s="114"/>
      <c r="Q20" s="114"/>
      <c r="R20" s="114"/>
      <c r="S20" s="115"/>
      <c r="U20" s="115"/>
      <c r="V20" s="115"/>
      <c r="W20" s="115"/>
      <c r="X20" s="116"/>
      <c r="Y20" s="116"/>
      <c r="Z20" s="116"/>
    </row>
    <row r="21" customFormat="false" ht="15" hidden="false" customHeight="true" outlineLevel="0" collapsed="false">
      <c r="A21" s="94" t="str">
        <f aca="false">A20</f>
        <v>Construção e Manutenção de Estações e Redes de Distribuição de Energia Elétrica</v>
      </c>
      <c r="B21" s="98" t="s">
        <v>706</v>
      </c>
      <c r="C21" s="94" t="str">
        <f aca="false">CONCATENATE(A21,"-",B21)</f>
        <v>Construção e Manutenção de Estações e Redes de Distribuição de Energia Elétrica-SG</v>
      </c>
      <c r="E21" s="99" t="n">
        <v>0.0025</v>
      </c>
      <c r="F21" s="99" t="n">
        <v>0.0051</v>
      </c>
      <c r="G21" s="99" t="n">
        <v>0.0056</v>
      </c>
      <c r="I21" s="48" t="s">
        <v>594</v>
      </c>
      <c r="J21" s="117" t="str">
        <f aca="false">IF($J$17=$A$146,"Encargos Sociais incidentes sobre a mão de obra","Administração Central")</f>
        <v>Administração Central</v>
      </c>
      <c r="K21" s="117"/>
      <c r="L21" s="117"/>
      <c r="M21" s="117"/>
      <c r="N21" s="117"/>
      <c r="O21" s="117"/>
      <c r="P21" s="117"/>
      <c r="Q21" s="117"/>
      <c r="R21" s="118" t="str">
        <f aca="false">IF($J17=$A$146,"K1","AC")</f>
        <v>AC</v>
      </c>
      <c r="S21" s="119" t="n">
        <v>0.038</v>
      </c>
      <c r="T21" s="120" t="str">
        <f aca="false">IF(AND($U$14&lt;&gt;"",$U$17="",R21&lt;&gt;"",S21=""),"◄","")</f>
        <v/>
      </c>
      <c r="U21" s="121" t="str">
        <f aca="false">IFERROR(IF(T21="◄","FALTA PREENCHER",IF(AND(OR(S21&gt;=X21,X21="-"),OR(S21&lt;=Z21,Z21="-")),"OK","FORA DO INTERVALO")),"-")</f>
        <v>OK</v>
      </c>
      <c r="V21" s="121"/>
      <c r="W21" s="121"/>
      <c r="X21" s="122" t="n">
        <f aca="false">VLOOKUP(CONCATENATE(J17,"-",R21),$C$2:$G$136,3,FALSE())</f>
        <v>0.038</v>
      </c>
      <c r="Y21" s="122" t="n">
        <f aca="false">VLOOKUP(CONCATENATE(J17,"-",R21),$C$2:$G$136,4,FALSE())</f>
        <v>0.0401</v>
      </c>
      <c r="Z21" s="122" t="n">
        <f aca="false">VLOOKUP(CONCATENATE(J17,"-",R21),$C$2:$G$136,5,FALSE())</f>
        <v>0.0467</v>
      </c>
    </row>
    <row r="22" customFormat="false" ht="15" hidden="false" customHeight="true" outlineLevel="0" collapsed="false">
      <c r="A22" s="94" t="str">
        <f aca="false">A21</f>
        <v>Construção e Manutenção de Estações e Redes de Distribuição de Energia Elétrica</v>
      </c>
      <c r="B22" s="98" t="s">
        <v>707</v>
      </c>
      <c r="C22" s="94" t="str">
        <f aca="false">CONCATENATE(A22,"-",B22)</f>
        <v>Construção e Manutenção de Estações e Redes de Distribuição de Energia Elétrica-R</v>
      </c>
      <c r="E22" s="99" t="n">
        <v>0.01</v>
      </c>
      <c r="F22" s="99" t="n">
        <v>0.0148</v>
      </c>
      <c r="G22" s="99" t="n">
        <v>0.0197</v>
      </c>
      <c r="I22" s="48" t="s">
        <v>594</v>
      </c>
      <c r="J22" s="117" t="str">
        <f aca="false">IF($J$17=$A$146,"Administração Central da empresa ou consultoria - overhead","Seguro e Garantia")</f>
        <v>Seguro e Garantia</v>
      </c>
      <c r="K22" s="117"/>
      <c r="L22" s="117"/>
      <c r="M22" s="117"/>
      <c r="N22" s="117"/>
      <c r="O22" s="117"/>
      <c r="P22" s="117"/>
      <c r="Q22" s="117"/>
      <c r="R22" s="118" t="str">
        <f aca="false">IF($J17=$A$146,"K2","SG")</f>
        <v>SG</v>
      </c>
      <c r="S22" s="119" t="n">
        <v>0.0032</v>
      </c>
      <c r="T22" s="120" t="str">
        <f aca="false">IF(AND($U$14&lt;&gt;"",$U$17="",R22&lt;&gt;"",S22=""),"◄","")</f>
        <v/>
      </c>
      <c r="U22" s="121" t="str">
        <f aca="false">IFERROR(IF(T22="◄","FALTA PREENCHER",IF(AND(OR(S22&gt;=X22,X22="-"),OR(S22&lt;=Z22,Z22="-")),"OK","FORA DO INTERVALO")),"-")</f>
        <v>OK</v>
      </c>
      <c r="V22" s="121"/>
      <c r="W22" s="121"/>
      <c r="X22" s="122" t="n">
        <f aca="false">VLOOKUP(CONCATENATE(J17,"-",R22),$C$2:$G$136,3,FALSE())</f>
        <v>0.0032</v>
      </c>
      <c r="Y22" s="122" t="n">
        <f aca="false">VLOOKUP(CONCATENATE(J17,"-",R22),$C$2:$G$136,4,FALSE())</f>
        <v>0.004</v>
      </c>
      <c r="Z22" s="122" t="n">
        <f aca="false">VLOOKUP(CONCATENATE(J17,"-",R22),$C$2:$G$136,5,FALSE())</f>
        <v>0.0074</v>
      </c>
    </row>
    <row r="23" customFormat="false" ht="15" hidden="false" customHeight="true" outlineLevel="0" collapsed="false">
      <c r="A23" s="94" t="str">
        <f aca="false">A22</f>
        <v>Construção e Manutenção de Estações e Redes de Distribuição de Energia Elétrica</v>
      </c>
      <c r="B23" s="98" t="s">
        <v>711</v>
      </c>
      <c r="C23" s="94" t="str">
        <f aca="false">CONCATENATE(A23,"-",B23)</f>
        <v>Construção e Manutenção de Estações e Redes de Distribuição de Energia Elétrica-DF</v>
      </c>
      <c r="E23" s="99" t="n">
        <v>0.0101</v>
      </c>
      <c r="F23" s="99" t="n">
        <v>0.0107</v>
      </c>
      <c r="G23" s="99" t="n">
        <v>0.0111</v>
      </c>
      <c r="I23" s="48" t="s">
        <v>594</v>
      </c>
      <c r="J23" s="117" t="s">
        <v>731</v>
      </c>
      <c r="K23" s="117"/>
      <c r="L23" s="117"/>
      <c r="M23" s="117"/>
      <c r="N23" s="117"/>
      <c r="O23" s="117"/>
      <c r="P23" s="117"/>
      <c r="Q23" s="117"/>
      <c r="R23" s="118" t="str">
        <f aca="false">IF($J17=$A$146,"","R")</f>
        <v>R</v>
      </c>
      <c r="S23" s="119" t="n">
        <v>0.005</v>
      </c>
      <c r="T23" s="120" t="str">
        <f aca="false">IF(AND($U$14&lt;&gt;"",$U$17="",R23&lt;&gt;"",S23=""),"◄","")</f>
        <v/>
      </c>
      <c r="U23" s="121" t="str">
        <f aca="false">IFERROR(IF(T23="◄","FALTA PREENCHER",IF(AND(OR(S23&gt;=X23,X23="-"),OR(S23&lt;=Z23,Z23="-")),"OK","FORA DO INTERVALO")),"-")</f>
        <v>OK</v>
      </c>
      <c r="V23" s="121"/>
      <c r="W23" s="121"/>
      <c r="X23" s="122" t="n">
        <f aca="false">VLOOKUP(CONCATENATE(J17,"-",R23),$C$2:$G$136,3,FALSE())</f>
        <v>0.005</v>
      </c>
      <c r="Y23" s="122" t="n">
        <f aca="false">VLOOKUP(CONCATENATE(J17,"-",R23),$C$2:$G$136,4,FALSE())</f>
        <v>0.0056</v>
      </c>
      <c r="Z23" s="122" t="n">
        <f aca="false">VLOOKUP(CONCATENATE(J17,"-",R23),$C$2:$G$136,5,FALSE())</f>
        <v>0.0097</v>
      </c>
    </row>
    <row r="24" customFormat="false" ht="15" hidden="false" customHeight="true" outlineLevel="0" collapsed="false">
      <c r="A24" s="94" t="str">
        <f aca="false">A23</f>
        <v>Construção e Manutenção de Estações e Redes de Distribuição de Energia Elétrica</v>
      </c>
      <c r="B24" s="98" t="s">
        <v>712</v>
      </c>
      <c r="C24" s="94" t="str">
        <f aca="false">CONCATENATE(A24,"-",B24)</f>
        <v>Construção e Manutenção de Estações e Redes de Distribuição de Energia Elétrica-L</v>
      </c>
      <c r="E24" s="99" t="n">
        <v>0.08</v>
      </c>
      <c r="F24" s="99" t="n">
        <v>0.0831</v>
      </c>
      <c r="G24" s="99" t="n">
        <v>0.0951</v>
      </c>
      <c r="I24" s="48" t="s">
        <v>594</v>
      </c>
      <c r="J24" s="117" t="s">
        <v>732</v>
      </c>
      <c r="K24" s="117"/>
      <c r="L24" s="117"/>
      <c r="M24" s="117"/>
      <c r="N24" s="117"/>
      <c r="O24" s="117"/>
      <c r="P24" s="117"/>
      <c r="Q24" s="117"/>
      <c r="R24" s="118" t="str">
        <f aca="false">IF($J17=$A$146,"","DF")</f>
        <v>DF</v>
      </c>
      <c r="S24" s="119" t="n">
        <v>0.0102</v>
      </c>
      <c r="T24" s="120" t="str">
        <f aca="false">IF(AND($U$14&lt;&gt;"",$U$17="",R24&lt;&gt;"",S24=""),"◄","")</f>
        <v/>
      </c>
      <c r="U24" s="121" t="str">
        <f aca="false">IFERROR(IF(T24="◄","FALTA PREENCHER",IF(AND(OR(S24&gt;=X24,X24="-"),OR(S24&lt;=Z24,Z24="-")),"OK","FORA DO INTERVALO")),"-")</f>
        <v>OK</v>
      </c>
      <c r="V24" s="121"/>
      <c r="W24" s="121"/>
      <c r="X24" s="122" t="n">
        <f aca="false">VLOOKUP(CONCATENATE(J17,"-",R24),$C$2:$G$136,3,FALSE())</f>
        <v>0.0102</v>
      </c>
      <c r="Y24" s="122" t="n">
        <f aca="false">VLOOKUP(CONCATENATE(J17,"-",R24),$C$2:$G$136,4,FALSE())</f>
        <v>0.0111</v>
      </c>
      <c r="Z24" s="122" t="n">
        <f aca="false">VLOOKUP(CONCATENATE(J17,"-",R24),$C$2:$G$136,5,FALSE())</f>
        <v>0.0121</v>
      </c>
    </row>
    <row r="25" customFormat="false" ht="15" hidden="false" customHeight="true" outlineLevel="0" collapsed="false">
      <c r="A25" s="94" t="str">
        <f aca="false">A24</f>
        <v>Construção e Manutenção de Estações e Redes de Distribuição de Energia Elétrica</v>
      </c>
      <c r="B25" s="104" t="s">
        <v>714</v>
      </c>
      <c r="C25" s="94" t="str">
        <f aca="false">CONCATENATE(A25,"-",B25)</f>
        <v>Construção e Manutenção de Estações e Redes de Distribuição de Energia Elétrica-BDI PAD</v>
      </c>
      <c r="E25" s="99" t="n">
        <v>0.24</v>
      </c>
      <c r="F25" s="99" t="n">
        <v>0.2584</v>
      </c>
      <c r="G25" s="99" t="n">
        <v>0.2786</v>
      </c>
      <c r="I25" s="48" t="s">
        <v>594</v>
      </c>
      <c r="J25" s="117" t="str">
        <f aca="false">IF($J$17=$A$146,"Margem bruta da empresa de consultoria","Lucro")</f>
        <v>Lucro</v>
      </c>
      <c r="K25" s="117"/>
      <c r="L25" s="117"/>
      <c r="M25" s="117"/>
      <c r="N25" s="117"/>
      <c r="O25" s="117"/>
      <c r="P25" s="117"/>
      <c r="Q25" s="117"/>
      <c r="R25" s="118" t="str">
        <f aca="false">IF($J17=$A$146,"K3","L")</f>
        <v>L</v>
      </c>
      <c r="S25" s="119" t="n">
        <v>0.0664</v>
      </c>
      <c r="T25" s="120" t="str">
        <f aca="false">IF(AND($U$14&lt;&gt;"",$U$17="",R25&lt;&gt;"",S25=""),"◄","")</f>
        <v/>
      </c>
      <c r="U25" s="121" t="str">
        <f aca="false">IFERROR(IF(T25="◄","FALTA PREENCHER",IF(AND(OR(S25&gt;=X25,X25="-"),OR(S25&lt;=Z25,Z25="-")),"OK","FORA DO INTERVALO")),"-")</f>
        <v>OK</v>
      </c>
      <c r="V25" s="121"/>
      <c r="W25" s="121"/>
      <c r="X25" s="122" t="n">
        <f aca="false">VLOOKUP(CONCATENATE(J17,"-",R25),$C$2:$G$136,3,FALSE())</f>
        <v>0.0664</v>
      </c>
      <c r="Y25" s="122" t="n">
        <f aca="false">VLOOKUP(CONCATENATE(J17,"-",R25),$C$2:$G$136,4,FALSE())</f>
        <v>0.073</v>
      </c>
      <c r="Z25" s="122" t="n">
        <f aca="false">VLOOKUP(CONCATENATE(J17,"-",R25),$C$2:$G$136,5,FALSE())</f>
        <v>0.0869</v>
      </c>
    </row>
    <row r="26" customFormat="false" ht="15" hidden="false" customHeight="true" outlineLevel="0" collapsed="false">
      <c r="A26" s="94" t="s">
        <v>733</v>
      </c>
      <c r="B26" s="98" t="s">
        <v>704</v>
      </c>
      <c r="C26" s="94" t="str">
        <f aca="false">CONCATENATE(A26,"-",B26)</f>
        <v>Obras Portuárias, Marítimas e Fluviais-AC</v>
      </c>
      <c r="E26" s="99" t="n">
        <v>0.04</v>
      </c>
      <c r="F26" s="99" t="n">
        <v>0.0552</v>
      </c>
      <c r="G26" s="99" t="n">
        <v>0.0785</v>
      </c>
      <c r="I26" s="48" t="s">
        <v>594</v>
      </c>
      <c r="J26" s="117" t="s">
        <v>734</v>
      </c>
      <c r="K26" s="117"/>
      <c r="L26" s="117"/>
      <c r="M26" s="117"/>
      <c r="N26" s="117"/>
      <c r="O26" s="117"/>
      <c r="P26" s="117"/>
      <c r="Q26" s="117"/>
      <c r="R26" s="118" t="s">
        <v>514</v>
      </c>
      <c r="S26" s="119" t="n">
        <v>0.0365</v>
      </c>
      <c r="T26" s="120" t="str">
        <f aca="false">IF(AND($U$14&lt;&gt;"",$U$17="",R26&lt;&gt;"",S26=""),"◄","")</f>
        <v/>
      </c>
      <c r="U26" s="121" t="str">
        <f aca="false">IFERROR(IF(T26="◄","FALTA PREENCHER",IF(AND(OR(S26&gt;=X26,X26="-"),OR(S26&lt;=Z26,Z26="-")),"OK","FORA DO INTERVALO")),"-")</f>
        <v>OK</v>
      </c>
      <c r="V26" s="121"/>
      <c r="W26" s="121"/>
      <c r="X26" s="122" t="n">
        <f aca="false">Y26</f>
        <v>0.0365</v>
      </c>
      <c r="Y26" s="122" t="n">
        <f aca="false">IF($J17=$A$145,"-",3.65%)</f>
        <v>0.0365</v>
      </c>
      <c r="Z26" s="122" t="n">
        <f aca="false">Y26</f>
        <v>0.0365</v>
      </c>
    </row>
    <row r="27" customFormat="false" ht="15" hidden="false" customHeight="true" outlineLevel="0" collapsed="false">
      <c r="A27" s="94" t="str">
        <f aca="false">A26</f>
        <v>Obras Portuárias, Marítimas e Fluviais</v>
      </c>
      <c r="B27" s="98" t="s">
        <v>706</v>
      </c>
      <c r="C27" s="94" t="str">
        <f aca="false">CONCATENATE(A27,"-",B27)</f>
        <v>Obras Portuárias, Marítimas e Fluviais-SG</v>
      </c>
      <c r="E27" s="99" t="n">
        <v>0.0081</v>
      </c>
      <c r="F27" s="99" t="n">
        <v>0.0122</v>
      </c>
      <c r="G27" s="99" t="n">
        <v>0.0199</v>
      </c>
      <c r="I27" s="48" t="s">
        <v>594</v>
      </c>
      <c r="J27" s="117" t="s">
        <v>735</v>
      </c>
      <c r="K27" s="117"/>
      <c r="L27" s="117"/>
      <c r="M27" s="117"/>
      <c r="N27" s="117"/>
      <c r="O27" s="117"/>
      <c r="P27" s="117"/>
      <c r="Q27" s="117"/>
      <c r="R27" s="118" t="s">
        <v>736</v>
      </c>
      <c r="S27" s="122" t="n">
        <f aca="true">IF(AND($J17&lt;&gt;$A$145,COUNTA(OFFSET(S20,1,0,6))&gt;0),$R$11*$R$10,0)</f>
        <v>0.03</v>
      </c>
      <c r="U27" s="121" t="str">
        <f aca="false">IFERROR(IF(T27="◄","FALTA PREENCHER",IF(AND(OR(S27&gt;=X27,X27="-"),OR(S27&lt;=Z27,Z27="-")),"OK","FORA DO INTERVALO")),"-")</f>
        <v>OK</v>
      </c>
      <c r="V27" s="121"/>
      <c r="W27" s="121"/>
      <c r="X27" s="122" t="n">
        <v>0</v>
      </c>
      <c r="Y27" s="122" t="n">
        <v>0.025</v>
      </c>
      <c r="Z27" s="122" t="n">
        <v>0.05</v>
      </c>
    </row>
    <row r="28" customFormat="false" ht="15" hidden="false" customHeight="true" outlineLevel="0" collapsed="false">
      <c r="A28" s="94" t="str">
        <f aca="false">A27</f>
        <v>Obras Portuárias, Marítimas e Fluviais</v>
      </c>
      <c r="B28" s="98" t="s">
        <v>707</v>
      </c>
      <c r="C28" s="94" t="str">
        <f aca="false">CONCATENATE(A28,"-",B28)</f>
        <v>Obras Portuárias, Marítimas e Fluviais-R</v>
      </c>
      <c r="E28" s="99" t="n">
        <v>0.0146</v>
      </c>
      <c r="F28" s="99" t="n">
        <v>0.0232</v>
      </c>
      <c r="G28" s="99" t="n">
        <v>0.0316</v>
      </c>
      <c r="I28" s="48" t="s">
        <v>594</v>
      </c>
      <c r="J28" s="117" t="s">
        <v>737</v>
      </c>
      <c r="K28" s="117"/>
      <c r="L28" s="117"/>
      <c r="M28" s="117"/>
      <c r="N28" s="117"/>
      <c r="O28" s="117"/>
      <c r="P28" s="117"/>
      <c r="Q28" s="117"/>
      <c r="R28" s="118" t="s">
        <v>738</v>
      </c>
      <c r="S28" s="122" t="n">
        <f aca="true" t="array" ref="S28:S28">IF(BDI.Opcao&lt;&gt;"Desonerado",0,IF(AND($J17&lt;&gt;$A$145,COUNTA(OFFSET(S20,1,0,6))&gt;0),IF(YEAR(Import.DataBase)&lt;2025,4.5%,IF(YEAR(Import.DataBase)=2025,3.6%,IF(YEAR(Import.DataBase)=2026,2.7%,IF(YEAR(Import.DataBase)=2027,1.8%,0%)))),0%))</f>
        <v>0.036</v>
      </c>
      <c r="U28" s="121" t="str">
        <f aca="false">IFERROR(IF(T28="◄","FALTA PREENCHER",IF(AND(OR(S28&gt;=X28,X28="-"),OR(S28&lt;=Z28,Z28="-")),"OK","FORA DO INTERVALO")),"-")</f>
        <v>OK</v>
      </c>
      <c r="V28" s="121"/>
      <c r="W28" s="121"/>
      <c r="X28" s="123" t="n">
        <f aca="false">$S28</f>
        <v>0.036</v>
      </c>
      <c r="Y28" s="123" t="n">
        <f aca="false">$S28</f>
        <v>0.036</v>
      </c>
      <c r="Z28" s="123" t="n">
        <f aca="false">$S28</f>
        <v>0.036</v>
      </c>
    </row>
    <row r="29" customFormat="false" ht="15" hidden="false" customHeight="true" outlineLevel="0" collapsed="false">
      <c r="A29" s="94" t="str">
        <f aca="false">A28</f>
        <v>Obras Portuárias, Marítimas e Fluviais</v>
      </c>
      <c r="B29" s="98" t="s">
        <v>711</v>
      </c>
      <c r="C29" s="94" t="str">
        <f aca="false">CONCATENATE(A29,"-",B29)</f>
        <v>Obras Portuárias, Marítimas e Fluviais-DF</v>
      </c>
      <c r="E29" s="99" t="n">
        <v>0.0094</v>
      </c>
      <c r="F29" s="99" t="n">
        <v>0.0102</v>
      </c>
      <c r="G29" s="99" t="n">
        <v>0.0133</v>
      </c>
      <c r="I29" s="48" t="s">
        <v>594</v>
      </c>
      <c r="J29" s="117" t="s">
        <v>739</v>
      </c>
      <c r="K29" s="117"/>
      <c r="L29" s="117"/>
      <c r="M29" s="117"/>
      <c r="N29" s="117"/>
      <c r="O29" s="117"/>
      <c r="P29" s="117"/>
      <c r="Q29" s="117"/>
      <c r="R29" s="124" t="s">
        <v>714</v>
      </c>
      <c r="S29" s="122" t="n">
        <f aca="false">IF($J17=$A$145,0,ROUND((((1+S21+S22+S23)*(1+S24)*(1+S25)/(1-(S26+S27)))-1),4))</f>
        <v>0.2073</v>
      </c>
      <c r="U29" s="115" t="str">
        <f aca="false">IFERROR(IF(AND(OR(S29&gt;=X29,X29="-"),OR(S29&lt;=Z29,Z29="-")),"OK","FORA DO INTERVALO"),IF(S29=0,"OK","Selecione o Tipo de obra"))</f>
        <v>OK</v>
      </c>
      <c r="V29" s="115"/>
      <c r="W29" s="115"/>
      <c r="X29" s="122" t="n">
        <f aca="false">IF($J17=$A$145,0,VLOOKUP(CONCATENATE($J17,"-",$R29),$C$2:$G$136,3,FALSE()))</f>
        <v>0.196</v>
      </c>
      <c r="Y29" s="122" t="n">
        <f aca="false">IF($J17=$A$145,0,VLOOKUP(CONCATENATE($J17,"-",$R29),$C$2:$G$136,4,FALSE()))</f>
        <v>0.2097</v>
      </c>
      <c r="Z29" s="122" t="n">
        <f aca="false">IF($J17=$A$145,0,VLOOKUP(CONCATENATE($J17,"-",$R29),$C$2:$G$136,5,FALSE()))</f>
        <v>0.2423</v>
      </c>
    </row>
    <row r="30" customFormat="false" ht="15" hidden="false" customHeight="true" outlineLevel="0" collapsed="false">
      <c r="A30" s="94" t="str">
        <f aca="false">A29</f>
        <v>Obras Portuárias, Marítimas e Fluviais</v>
      </c>
      <c r="B30" s="98" t="s">
        <v>712</v>
      </c>
      <c r="C30" s="94" t="str">
        <f aca="false">CONCATENATE(A30,"-",B30)</f>
        <v>Obras Portuárias, Marítimas e Fluviais-L</v>
      </c>
      <c r="E30" s="99" t="n">
        <v>0.0714</v>
      </c>
      <c r="F30" s="99" t="n">
        <v>0.084</v>
      </c>
      <c r="G30" s="99" t="n">
        <v>0.1043</v>
      </c>
      <c r="I30" s="48" t="s">
        <v>594</v>
      </c>
      <c r="J30" s="125" t="s">
        <v>740</v>
      </c>
      <c r="K30" s="125"/>
      <c r="L30" s="125"/>
      <c r="M30" s="125"/>
      <c r="N30" s="125"/>
      <c r="O30" s="125"/>
      <c r="P30" s="125"/>
      <c r="Q30" s="125"/>
      <c r="R30" s="125" t="s">
        <v>741</v>
      </c>
      <c r="S30" s="126" t="n">
        <f aca="false">IF($J17=$A$145,0,ROUND((((1+S21+S22+S23)*(1+S24)*(1+S25)/(1-(S26+S27+S28)))-1),4))</f>
        <v>0.2558</v>
      </c>
    </row>
    <row r="31" customFormat="false" ht="15" hidden="false" customHeight="true" outlineLevel="0" collapsed="false">
      <c r="A31" s="94" t="str">
        <f aca="false">A30</f>
        <v>Obras Portuárias, Marítimas e Fluviais</v>
      </c>
      <c r="B31" s="104" t="s">
        <v>714</v>
      </c>
      <c r="C31" s="94" t="str">
        <f aca="false">CONCATENATE(A31,"-",B31)</f>
        <v>Obras Portuárias, Marítimas e Fluviais-BDI PAD</v>
      </c>
      <c r="E31" s="99" t="n">
        <v>0.228</v>
      </c>
      <c r="F31" s="99" t="n">
        <v>0.2748</v>
      </c>
      <c r="G31" s="99" t="n">
        <v>0.3095</v>
      </c>
      <c r="I31" s="48" t="s">
        <v>594</v>
      </c>
    </row>
    <row r="32" customFormat="false" ht="15" hidden="false" customHeight="false" outlineLevel="0" collapsed="false">
      <c r="A32" s="94" t="s">
        <v>742</v>
      </c>
      <c r="B32" s="98" t="s">
        <v>704</v>
      </c>
      <c r="C32" s="94" t="str">
        <f aca="false">CONCATENATE(A32,"-",B32)</f>
        <v>Fornecimento de Materiais e Equipamentos (aquisição indireta - em conjunto com licitação de obras)-AC</v>
      </c>
      <c r="E32" s="99" t="n">
        <v>0.015</v>
      </c>
      <c r="F32" s="99" t="n">
        <v>0.0345</v>
      </c>
      <c r="G32" s="99" t="n">
        <v>0.0449</v>
      </c>
      <c r="I32" s="48" t="s">
        <v>594</v>
      </c>
      <c r="J32" s="127" t="str">
        <f aca="false">IF(U29&lt;&gt;"ok","X","")</f>
        <v/>
      </c>
      <c r="K32" s="128" t="str">
        <f aca="false">IF(U29&lt;&gt;"ok","Anexo: Relatório Técnico Circunstanciado justificando a adoção do percentual de cada parcela do BDI.","")</f>
        <v/>
      </c>
      <c r="L32" s="128"/>
      <c r="M32" s="128"/>
      <c r="N32" s="128"/>
      <c r="O32" s="128"/>
      <c r="P32" s="128"/>
      <c r="Q32" s="128"/>
      <c r="R32" s="128"/>
      <c r="S32" s="128"/>
    </row>
    <row r="33" customFormat="false" ht="12.75" hidden="false" customHeight="false" outlineLevel="0" collapsed="false">
      <c r="A33" s="94" t="str">
        <f aca="false">A32</f>
        <v>Fornecimento de Materiais e Equipamentos (aquisição indireta - em conjunto com licitação de obras)</v>
      </c>
      <c r="B33" s="98" t="s">
        <v>706</v>
      </c>
      <c r="C33" s="94" t="str">
        <f aca="false">CONCATENATE(A33,"-",B33)</f>
        <v>Fornecimento de Materiais e Equipamentos (aquisição indireta - em conjunto com licitação de obras)-SG</v>
      </c>
      <c r="E33" s="99" t="n">
        <v>0.003</v>
      </c>
      <c r="F33" s="99" t="n">
        <v>0.0048</v>
      </c>
      <c r="G33" s="99" t="n">
        <v>0.0082</v>
      </c>
      <c r="I33" s="48" t="s">
        <v>594</v>
      </c>
    </row>
    <row r="34" customFormat="false" ht="12.75" hidden="false" customHeight="false" outlineLevel="0" collapsed="false">
      <c r="A34" s="94" t="str">
        <f aca="false">A33</f>
        <v>Fornecimento de Materiais e Equipamentos (aquisição indireta - em conjunto com licitação de obras)</v>
      </c>
      <c r="B34" s="98" t="s">
        <v>707</v>
      </c>
      <c r="C34" s="94" t="str">
        <f aca="false">CONCATENATE(A34,"-",B34)</f>
        <v>Fornecimento de Materiais e Equipamentos (aquisição indireta - em conjunto com licitação de obras)-R</v>
      </c>
      <c r="E34" s="99" t="n">
        <v>0.0056</v>
      </c>
      <c r="F34" s="99" t="n">
        <v>0.0085</v>
      </c>
      <c r="G34" s="99" t="n">
        <v>0.0089</v>
      </c>
      <c r="I34" s="48" t="s">
        <v>594</v>
      </c>
      <c r="J34" s="129" t="s">
        <v>743</v>
      </c>
      <c r="K34" s="129"/>
      <c r="L34" s="129"/>
      <c r="M34" s="129"/>
      <c r="N34" s="129"/>
      <c r="O34" s="129"/>
      <c r="P34" s="129"/>
      <c r="Q34" s="129"/>
      <c r="R34" s="129"/>
      <c r="S34" s="129"/>
    </row>
    <row r="35" customFormat="false" ht="15" hidden="false" customHeight="false" outlineLevel="0" collapsed="false">
      <c r="A35" s="94" t="str">
        <f aca="false">A34</f>
        <v>Fornecimento de Materiais e Equipamentos (aquisição indireta - em conjunto com licitação de obras)</v>
      </c>
      <c r="B35" s="98" t="s">
        <v>711</v>
      </c>
      <c r="C35" s="94" t="str">
        <f aca="false">CONCATENATE(A35,"-",B35)</f>
        <v>Fornecimento de Materiais e Equipamentos (aquisição indireta - em conjunto com licitação de obras)-DF</v>
      </c>
      <c r="E35" s="99" t="n">
        <v>0.0085</v>
      </c>
      <c r="F35" s="99" t="n">
        <v>0.0085</v>
      </c>
      <c r="G35" s="99" t="n">
        <v>0.0111</v>
      </c>
      <c r="I35" s="48" t="s">
        <v>594</v>
      </c>
      <c r="J35" s="130"/>
      <c r="K35" s="130"/>
      <c r="L35" s="130"/>
      <c r="M35" s="131" t="s">
        <v>744</v>
      </c>
      <c r="N35" s="132" t="str">
        <f aca="false">IF($J17=$A$146,"(1+K1+K2)*(1+K3)","(1+AC + S + R + G)*(1 + DF)*(1+L)")</f>
        <v>(1+AC + S + R + G)*(1 + DF)*(1+L)</v>
      </c>
      <c r="O35" s="132"/>
      <c r="P35" s="132"/>
      <c r="Q35" s="133" t="s">
        <v>745</v>
      </c>
      <c r="R35" s="130"/>
      <c r="S35" s="130"/>
    </row>
    <row r="36" customFormat="false" ht="15" hidden="false" customHeight="false" outlineLevel="0" collapsed="false">
      <c r="A36" s="94" t="str">
        <f aca="false">A35</f>
        <v>Fornecimento de Materiais e Equipamentos (aquisição indireta - em conjunto com licitação de obras)</v>
      </c>
      <c r="B36" s="98" t="s">
        <v>712</v>
      </c>
      <c r="C36" s="94" t="str">
        <f aca="false">CONCATENATE(A36,"-",B36)</f>
        <v>Fornecimento de Materiais e Equipamentos (aquisição indireta - em conjunto com licitação de obras)-L</v>
      </c>
      <c r="E36" s="99" t="n">
        <v>0.035</v>
      </c>
      <c r="F36" s="99" t="n">
        <v>0.0511</v>
      </c>
      <c r="G36" s="99" t="n">
        <v>0.0622</v>
      </c>
      <c r="I36" s="48" t="s">
        <v>594</v>
      </c>
      <c r="J36" s="130"/>
      <c r="K36" s="130"/>
      <c r="L36" s="130"/>
      <c r="M36" s="131"/>
      <c r="N36" s="134" t="s">
        <v>746</v>
      </c>
      <c r="O36" s="134"/>
      <c r="P36" s="134"/>
      <c r="Q36" s="133"/>
      <c r="R36" s="130"/>
      <c r="S36" s="130"/>
    </row>
    <row r="37" customFormat="false" ht="15" hidden="false" customHeight="true" outlineLevel="0" collapsed="false">
      <c r="A37" s="94" t="str">
        <f aca="false">A36</f>
        <v>Fornecimento de Materiais e Equipamentos (aquisição indireta - em conjunto com licitação de obras)</v>
      </c>
      <c r="B37" s="104" t="s">
        <v>714</v>
      </c>
      <c r="C37" s="94" t="str">
        <f aca="false">CONCATENATE(A37,"-",B37)</f>
        <v>Fornecimento de Materiais e Equipamentos (aquisição indireta - em conjunto com licitação de obras)-BDI PAD</v>
      </c>
      <c r="E37" s="99" t="n">
        <v>0.111</v>
      </c>
      <c r="F37" s="99" t="n">
        <v>0.1402</v>
      </c>
      <c r="G37" s="99" t="n">
        <v>0.168</v>
      </c>
      <c r="I37" s="48" t="s">
        <v>594</v>
      </c>
      <c r="J37" s="135"/>
      <c r="K37" s="135"/>
      <c r="L37" s="135"/>
      <c r="M37" s="135"/>
      <c r="N37" s="135"/>
      <c r="O37" s="135"/>
      <c r="P37" s="135"/>
      <c r="Q37" s="135"/>
      <c r="R37" s="135"/>
      <c r="S37" s="135"/>
    </row>
    <row r="38" customFormat="false" ht="49.5" hidden="false" customHeight="true" outlineLevel="0" collapsed="false">
      <c r="A38" s="94" t="s">
        <v>747</v>
      </c>
      <c r="B38" s="104" t="s">
        <v>704</v>
      </c>
      <c r="C38" s="94" t="str">
        <f aca="false">CONCATENATE(A38,"-",B38)</f>
        <v>Fornecimento de Materiais e Equipamentos (aquisição direta)-AC</v>
      </c>
      <c r="E38" s="99" t="s">
        <v>748</v>
      </c>
      <c r="F38" s="99" t="s">
        <v>748</v>
      </c>
      <c r="G38" s="99" t="s">
        <v>748</v>
      </c>
      <c r="I38" s="0" t="s">
        <v>594</v>
      </c>
      <c r="J38" s="136" t="str">
        <f aca="false">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136"/>
      <c r="L38" s="136"/>
      <c r="M38" s="136"/>
      <c r="N38" s="136"/>
      <c r="O38" s="136"/>
      <c r="P38" s="136"/>
      <c r="Q38" s="136"/>
      <c r="R38" s="136"/>
      <c r="S38" s="136"/>
    </row>
    <row r="39" customFormat="false" ht="12.75" hidden="false" customHeight="false" outlineLevel="0" collapsed="false">
      <c r="A39" s="94" t="s">
        <v>747</v>
      </c>
      <c r="B39" s="104" t="s">
        <v>706</v>
      </c>
      <c r="C39" s="94" t="str">
        <f aca="false">CONCATENATE(A39,"-",B39)</f>
        <v>Fornecimento de Materiais e Equipamentos (aquisição direta)-SG</v>
      </c>
      <c r="E39" s="99" t="s">
        <v>748</v>
      </c>
      <c r="F39" s="99" t="s">
        <v>748</v>
      </c>
      <c r="G39" s="99" t="s">
        <v>748</v>
      </c>
      <c r="I39" s="0" t="s">
        <v>594</v>
      </c>
    </row>
    <row r="40" customFormat="false" ht="49.5" hidden="false" customHeight="true" outlineLevel="0" collapsed="false">
      <c r="A40" s="94" t="s">
        <v>747</v>
      </c>
      <c r="B40" s="104" t="s">
        <v>707</v>
      </c>
      <c r="C40" s="94" t="str">
        <f aca="false">CONCATENATE(A40,"-",B40)</f>
        <v>Fornecimento de Materiais e Equipamentos (aquisição direta)-R</v>
      </c>
      <c r="E40" s="99" t="s">
        <v>748</v>
      </c>
      <c r="F40" s="99" t="s">
        <v>748</v>
      </c>
      <c r="G40" s="99" t="s">
        <v>748</v>
      </c>
      <c r="I40" s="0" t="s">
        <v>594</v>
      </c>
      <c r="J40" s="136" t="str">
        <f aca="true" t="array" ref="J40:J40">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136"/>
      <c r="L40" s="136"/>
      <c r="M40" s="136"/>
      <c r="N40" s="136"/>
      <c r="O40" s="136"/>
      <c r="P40" s="136"/>
      <c r="Q40" s="136"/>
      <c r="R40" s="136"/>
      <c r="S40" s="136"/>
    </row>
    <row r="41" customFormat="false" ht="12.75" hidden="false" customHeight="false" outlineLevel="0" collapsed="false">
      <c r="A41" s="94" t="s">
        <v>747</v>
      </c>
      <c r="B41" s="104" t="s">
        <v>711</v>
      </c>
      <c r="C41" s="94" t="str">
        <f aca="false">CONCATENATE(A41,"-",B41)</f>
        <v>Fornecimento de Materiais e Equipamentos (aquisição direta)-DF</v>
      </c>
      <c r="E41" s="99" t="s">
        <v>748</v>
      </c>
      <c r="F41" s="99" t="s">
        <v>748</v>
      </c>
      <c r="G41" s="99" t="s">
        <v>748</v>
      </c>
      <c r="I41" s="0" t="s">
        <v>594</v>
      </c>
    </row>
    <row r="42" customFormat="false" ht="12.75" hidden="false" customHeight="false" outlineLevel="0" collapsed="false">
      <c r="A42" s="94" t="s">
        <v>747</v>
      </c>
      <c r="B42" s="104" t="s">
        <v>712</v>
      </c>
      <c r="C42" s="94" t="str">
        <f aca="false">CONCATENATE(A42,"-",B42)</f>
        <v>Fornecimento de Materiais e Equipamentos (aquisição direta)-L</v>
      </c>
      <c r="E42" s="99" t="s">
        <v>748</v>
      </c>
      <c r="F42" s="99" t="s">
        <v>748</v>
      </c>
      <c r="G42" s="99" t="s">
        <v>748</v>
      </c>
      <c r="I42" s="0" t="s">
        <v>594</v>
      </c>
      <c r="J42" s="94" t="s">
        <v>749</v>
      </c>
    </row>
    <row r="43" customFormat="false" ht="99.75" hidden="false" customHeight="true" outlineLevel="0" collapsed="false">
      <c r="A43" s="94" t="s">
        <v>747</v>
      </c>
      <c r="B43" s="104" t="s">
        <v>714</v>
      </c>
      <c r="C43" s="94" t="str">
        <f aca="false">CONCATENATE(A43,"-",B43)</f>
        <v>Fornecimento de Materiais e Equipamentos (aquisição direta)-BDI PAD</v>
      </c>
      <c r="E43" s="99" t="s">
        <v>748</v>
      </c>
      <c r="F43" s="99" t="s">
        <v>748</v>
      </c>
      <c r="G43" s="99" t="s">
        <v>748</v>
      </c>
      <c r="I43" s="0" t="s">
        <v>594</v>
      </c>
      <c r="J43" s="137"/>
      <c r="K43" s="137"/>
      <c r="L43" s="137"/>
      <c r="M43" s="137"/>
      <c r="N43" s="137"/>
      <c r="O43" s="137"/>
      <c r="P43" s="137"/>
      <c r="Q43" s="137"/>
      <c r="R43" s="137"/>
      <c r="S43" s="137"/>
    </row>
    <row r="44" customFormat="false" ht="12.75" hidden="false" customHeight="false" outlineLevel="0" collapsed="false">
      <c r="A44" s="94" t="s">
        <v>750</v>
      </c>
      <c r="B44" s="98" t="s">
        <v>751</v>
      </c>
      <c r="C44" s="94" t="str">
        <f aca="false">CONCATENATE(A44,"-",B44)</f>
        <v>Estudos e Projetos, Planos e Gerenciamento e outros correlatos-K1</v>
      </c>
      <c r="E44" s="99" t="s">
        <v>748</v>
      </c>
      <c r="F44" s="99" t="s">
        <v>748</v>
      </c>
      <c r="G44" s="99" t="s">
        <v>748</v>
      </c>
      <c r="I44" s="0" t="s">
        <v>594</v>
      </c>
    </row>
    <row r="45" customFormat="false" ht="12.75" hidden="false" customHeight="false" outlineLevel="0" collapsed="false">
      <c r="A45" s="94" t="str">
        <f aca="false">A44</f>
        <v>Estudos e Projetos, Planos e Gerenciamento e outros correlatos</v>
      </c>
      <c r="B45" s="98" t="s">
        <v>752</v>
      </c>
      <c r="C45" s="94" t="str">
        <f aca="false">CONCATENATE(A45,"-",B45)</f>
        <v>Estudos e Projetos, Planos e Gerenciamento e outros correlatos-K2</v>
      </c>
      <c r="E45" s="99" t="s">
        <v>748</v>
      </c>
      <c r="F45" s="99" t="n">
        <v>0.2</v>
      </c>
      <c r="G45" s="99" t="s">
        <v>748</v>
      </c>
      <c r="I45" s="0" t="s">
        <v>594</v>
      </c>
      <c r="J45" s="138" t="n">
        <f aca="false">Import.Município</f>
        <v>0</v>
      </c>
      <c r="K45" s="138"/>
      <c r="L45" s="138"/>
      <c r="M45" s="138"/>
      <c r="P45" s="139" t="n">
        <f aca="false">DADOS!$C$25</f>
        <v>45991</v>
      </c>
      <c r="Q45" s="139"/>
      <c r="R45" s="139"/>
      <c r="S45" s="139"/>
    </row>
    <row r="46" customFormat="false" ht="12.75" hidden="false" customHeight="false" outlineLevel="0" collapsed="false">
      <c r="A46" s="94" t="str">
        <f aca="false">A45</f>
        <v>Estudos e Projetos, Planos e Gerenciamento e outros correlatos</v>
      </c>
      <c r="B46" s="98"/>
      <c r="C46" s="94" t="str">
        <f aca="false">CONCATENATE(A46,"-",B46)</f>
        <v>Estudos e Projetos, Planos e Gerenciamento e outros correlatos-</v>
      </c>
      <c r="E46" s="99" t="s">
        <v>748</v>
      </c>
      <c r="F46" s="99" t="s">
        <v>748</v>
      </c>
      <c r="G46" s="99" t="s">
        <v>748</v>
      </c>
      <c r="I46" s="0" t="s">
        <v>594</v>
      </c>
      <c r="J46" s="140" t="s">
        <v>753</v>
      </c>
      <c r="K46" s="140"/>
      <c r="L46" s="140"/>
      <c r="M46" s="140"/>
      <c r="O46" s="141"/>
      <c r="P46" s="142" t="s">
        <v>754</v>
      </c>
      <c r="Q46" s="143"/>
      <c r="R46" s="143"/>
      <c r="S46" s="143"/>
    </row>
    <row r="47" customFormat="false" ht="30" hidden="false" customHeight="true" outlineLevel="0" collapsed="false">
      <c r="A47" s="94" t="str">
        <f aca="false">A46</f>
        <v>Estudos e Projetos, Planos e Gerenciamento e outros correlatos</v>
      </c>
      <c r="B47" s="98"/>
      <c r="C47" s="94" t="str">
        <f aca="false">CONCATENATE(A47,"-",B47)</f>
        <v>Estudos e Projetos, Planos e Gerenciamento e outros correlatos-</v>
      </c>
      <c r="E47" s="99" t="s">
        <v>748</v>
      </c>
      <c r="F47" s="99" t="s">
        <v>748</v>
      </c>
      <c r="G47" s="99" t="s">
        <v>748</v>
      </c>
      <c r="I47" s="0" t="s">
        <v>594</v>
      </c>
    </row>
    <row r="48" customFormat="false" ht="13.8" hidden="false" customHeight="false" outlineLevel="0" collapsed="false">
      <c r="A48" s="94" t="str">
        <f aca="false">A47</f>
        <v>Estudos e Projetos, Planos e Gerenciamento e outros correlatos</v>
      </c>
      <c r="B48" s="98" t="s">
        <v>755</v>
      </c>
      <c r="C48" s="94" t="str">
        <f aca="false">CONCATENATE(A48,"-",B48)</f>
        <v>Estudos e Projetos, Planos e Gerenciamento e outros correlatos-K3</v>
      </c>
      <c r="E48" s="99" t="s">
        <v>748</v>
      </c>
      <c r="F48" s="99" t="n">
        <v>0.12</v>
      </c>
      <c r="G48" s="99" t="s">
        <v>748</v>
      </c>
      <c r="I48" s="0" t="s">
        <v>594</v>
      </c>
      <c r="J48" s="144"/>
      <c r="K48" s="144"/>
      <c r="L48" s="144"/>
      <c r="M48" s="144"/>
      <c r="N48" s="145"/>
    </row>
    <row r="49" customFormat="false" ht="12.75" hidden="false" customHeight="true" outlineLevel="0" collapsed="false">
      <c r="A49" s="94" t="str">
        <f aca="false">A48</f>
        <v>Estudos e Projetos, Planos e Gerenciamento e outros correlatos</v>
      </c>
      <c r="B49" s="104" t="s">
        <v>714</v>
      </c>
      <c r="C49" s="94" t="str">
        <f aca="false">CONCATENATE(A49,"-",B49)</f>
        <v>Estudos e Projetos, Planos e Gerenciamento e outros correlatos-BDI PAD</v>
      </c>
      <c r="E49" s="99" t="s">
        <v>748</v>
      </c>
      <c r="F49" s="99" t="s">
        <v>748</v>
      </c>
      <c r="G49" s="99" t="s">
        <v>748</v>
      </c>
      <c r="I49" s="0" t="s">
        <v>594</v>
      </c>
      <c r="J49" s="146" t="s">
        <v>756</v>
      </c>
      <c r="K49" s="146"/>
      <c r="L49" s="146"/>
      <c r="M49" s="146"/>
    </row>
    <row r="50" customFormat="false" ht="13.8" hidden="false" customHeight="false" outlineLevel="0" collapsed="false">
      <c r="B50" s="104"/>
      <c r="E50" s="99"/>
      <c r="F50" s="99"/>
      <c r="G50" s="99"/>
      <c r="I50" s="0" t="s">
        <v>594</v>
      </c>
      <c r="J50" s="147" t="s">
        <v>295</v>
      </c>
      <c r="K50" s="148" t="str">
        <f aca="false" t="array" ref="K50:K52">Import.RespOrçamento</f>
        <v>ANA PAULA MESQUITA CICHOWSI</v>
      </c>
      <c r="L50" s="149"/>
      <c r="M50" s="149"/>
      <c r="N50" s="145"/>
    </row>
    <row r="51" customFormat="false" ht="13.8" hidden="false" customHeight="false" outlineLevel="0" collapsed="false">
      <c r="I51" s="0" t="s">
        <v>594</v>
      </c>
      <c r="J51" s="147" t="s">
        <v>299</v>
      </c>
      <c r="K51" s="148" t="str">
        <v>RS 207.916</v>
      </c>
      <c r="L51" s="149"/>
      <c r="M51" s="149"/>
      <c r="N51" s="145"/>
    </row>
    <row r="52" customFormat="false" ht="13.8" hidden="false" customHeight="false" outlineLevel="0" collapsed="false">
      <c r="I52" s="0" t="s">
        <v>594</v>
      </c>
      <c r="J52" s="147" t="s">
        <v>303</v>
      </c>
      <c r="K52" s="148" t="n">
        <v>0</v>
      </c>
      <c r="L52" s="149"/>
      <c r="M52" s="149"/>
      <c r="N52" s="145"/>
    </row>
    <row r="53" customFormat="false" ht="13.8" hidden="false" customHeight="false" outlineLevel="0" collapsed="false">
      <c r="I53" s="0" t="s">
        <v>594</v>
      </c>
      <c r="J53" s="147"/>
      <c r="K53" s="150"/>
      <c r="L53" s="149"/>
      <c r="M53" s="149"/>
      <c r="N53" s="145"/>
    </row>
    <row r="54" customFormat="false" ht="15" hidden="false" customHeight="false" outlineLevel="0" collapsed="false">
      <c r="I54" s="0" t="str">
        <f aca="false">IF($S$69=0,"","F")</f>
        <v/>
      </c>
      <c r="J54" s="112" t="s">
        <v>757</v>
      </c>
      <c r="K54" s="112"/>
      <c r="L54" s="112"/>
      <c r="M54" s="112"/>
      <c r="N54" s="112"/>
      <c r="O54" s="112"/>
      <c r="P54" s="112"/>
      <c r="Q54" s="112"/>
      <c r="R54" s="112"/>
      <c r="S54" s="112"/>
      <c r="U54" s="51" t="str">
        <f aca="false">IF(COUNTIF(ORÇAMENTO!$V$15:$V$21,BDI_2.Título)=0,"",IF(OR(Import.BDI.Tipo2="(SELECIONAR)",Import.BDI.Tipo2="",U57&lt;&gt;"",AND($J57&lt;&gt;$A$145,OR(S61="",S62="",AND($J57&lt;&gt;$A$146,OR(S63="",S64="")),S65="",S66=""))),"Falta preencher o BDI 2",""))</f>
        <v/>
      </c>
    </row>
    <row r="55" customFormat="false" ht="12.75" hidden="false" customHeight="false" outlineLevel="0" collapsed="false">
      <c r="I55" s="0" t="str">
        <f aca="false">IF($S$69=0,"","F")</f>
        <v/>
      </c>
    </row>
    <row r="56" customFormat="false" ht="12.75" hidden="false" customHeight="false" outlineLevel="0" collapsed="false">
      <c r="I56" s="0" t="str">
        <f aca="false">IF($S$69=0,"","F")</f>
        <v/>
      </c>
      <c r="J56" s="100" t="s">
        <v>722</v>
      </c>
      <c r="K56" s="100"/>
      <c r="L56" s="100"/>
      <c r="M56" s="100"/>
      <c r="N56" s="100"/>
      <c r="O56" s="100"/>
      <c r="P56" s="100"/>
      <c r="Q56" s="100"/>
      <c r="R56" s="100"/>
      <c r="S56" s="100"/>
    </row>
    <row r="57" customFormat="false" ht="13.8" hidden="false" customHeight="false" outlineLevel="0" collapsed="false">
      <c r="I57" s="0" t="str">
        <f aca="false">IF($S$69=0,"","F")</f>
        <v/>
      </c>
      <c r="J57" s="113" t="s">
        <v>140</v>
      </c>
      <c r="K57" s="113"/>
      <c r="L57" s="113"/>
      <c r="M57" s="113"/>
      <c r="N57" s="113"/>
      <c r="O57" s="113"/>
      <c r="P57" s="113"/>
      <c r="Q57" s="113"/>
      <c r="R57" s="113"/>
      <c r="S57" s="113"/>
      <c r="T57" s="66" t="str">
        <f aca="false">IF(U57="","","◄")</f>
        <v/>
      </c>
      <c r="U57" s="62" t="str">
        <f aca="false">IF(AND(OR(S69&gt;0,COUNTIF(ORÇAMENTO!$V$15:$V$21,BDI_2.Título)&gt;0),OR(Import.BDI.Tipo2="(SELECIONAR)",Import.BDI.Tipo2="")),"Selecione o Tipo de obra","")</f>
        <v/>
      </c>
    </row>
    <row r="58" customFormat="false" ht="12.75" hidden="false" customHeight="false" outlineLevel="0" collapsed="false">
      <c r="I58" s="0" t="str">
        <f aca="false">IF($S$69=0,"","F")</f>
        <v/>
      </c>
    </row>
    <row r="59" customFormat="false" ht="12.75" hidden="false" customHeight="true" outlineLevel="0" collapsed="false">
      <c r="I59" s="0" t="str">
        <f aca="false">IF($S$69=0,"","F")</f>
        <v/>
      </c>
      <c r="J59" s="114" t="s">
        <v>723</v>
      </c>
      <c r="K59" s="114"/>
      <c r="L59" s="114"/>
      <c r="M59" s="114"/>
      <c r="N59" s="114"/>
      <c r="O59" s="114"/>
      <c r="P59" s="114"/>
      <c r="Q59" s="114"/>
      <c r="R59" s="114" t="s">
        <v>724</v>
      </c>
      <c r="S59" s="115" t="s">
        <v>725</v>
      </c>
      <c r="U59" s="115" t="s">
        <v>726</v>
      </c>
      <c r="V59" s="115"/>
      <c r="W59" s="115"/>
      <c r="X59" s="116" t="s">
        <v>727</v>
      </c>
      <c r="Y59" s="116" t="s">
        <v>728</v>
      </c>
      <c r="Z59" s="116" t="s">
        <v>729</v>
      </c>
    </row>
    <row r="60" customFormat="false" ht="12.75" hidden="false" customHeight="true" outlineLevel="0" collapsed="false">
      <c r="I60" s="0" t="str">
        <f aca="false">IF($S$69=0,"","F")</f>
        <v/>
      </c>
      <c r="J60" s="114"/>
      <c r="K60" s="114"/>
      <c r="L60" s="114"/>
      <c r="M60" s="114"/>
      <c r="N60" s="114"/>
      <c r="O60" s="114"/>
      <c r="P60" s="114"/>
      <c r="Q60" s="114"/>
      <c r="R60" s="114"/>
      <c r="S60" s="115"/>
      <c r="U60" s="115"/>
      <c r="V60" s="115"/>
      <c r="W60" s="115"/>
      <c r="X60" s="116"/>
      <c r="Y60" s="116"/>
      <c r="Z60" s="116"/>
    </row>
    <row r="61" customFormat="false" ht="15" hidden="false" customHeight="true" outlineLevel="0" collapsed="false">
      <c r="I61" s="0" t="str">
        <f aca="false">IF($S$69=0,"","F")</f>
        <v/>
      </c>
      <c r="J61" s="117" t="str">
        <f aca="false">IF($J$57=$A$146,"Encargos Sociais incidentes sobre a mão de obra","Administração Central")</f>
        <v>Administração Central</v>
      </c>
      <c r="K61" s="117"/>
      <c r="L61" s="117"/>
      <c r="M61" s="117"/>
      <c r="N61" s="117"/>
      <c r="O61" s="117"/>
      <c r="P61" s="117"/>
      <c r="Q61" s="117"/>
      <c r="R61" s="118" t="str">
        <f aca="false">IF($J57=$A$146,"K1","AC")</f>
        <v>AC</v>
      </c>
      <c r="S61" s="119"/>
      <c r="T61" s="120" t="str">
        <f aca="false">IF(AND($U$54&lt;&gt;"",$U$57="",R61&lt;&gt;"",S61=""),"◄","")</f>
        <v/>
      </c>
      <c r="U61" s="121" t="str">
        <f aca="false">IFERROR(IF(T61="◄","FALTA PREENCHER",IF(AND(OR(S61&gt;=X61,X61="-"),OR(S61&lt;=Z61,Z61="-")),"OK","FORA DO INTERVALO")),"-")</f>
        <v>-</v>
      </c>
      <c r="V61" s="121"/>
      <c r="W61" s="121"/>
      <c r="X61" s="122" t="e">
        <f aca="false">VLOOKUP(CONCATENATE(J57,"-",R61),$C$2:$G$136,3,FALSE())</f>
        <v>#N/A</v>
      </c>
      <c r="Y61" s="122" t="e">
        <f aca="false">VLOOKUP(CONCATENATE(J57,"-",R61),$C$2:$G$136,4,FALSE())</f>
        <v>#N/A</v>
      </c>
      <c r="Z61" s="122" t="e">
        <f aca="false">VLOOKUP(CONCATENATE(J57,"-",R61),$C$2:$G$136,5,FALSE())</f>
        <v>#N/A</v>
      </c>
    </row>
    <row r="62" customFormat="false" ht="15" hidden="false" customHeight="true" outlineLevel="0" collapsed="false">
      <c r="I62" s="0" t="str">
        <f aca="false">IF($S$69=0,"","F")</f>
        <v/>
      </c>
      <c r="J62" s="117" t="str">
        <f aca="false">IF($J$57=$A$146,"Administração Central da empresa ou consultoria - overhead","Seguro e Garantia")</f>
        <v>Seguro e Garantia</v>
      </c>
      <c r="K62" s="117"/>
      <c r="L62" s="117"/>
      <c r="M62" s="117"/>
      <c r="N62" s="117"/>
      <c r="O62" s="117"/>
      <c r="P62" s="117"/>
      <c r="Q62" s="117"/>
      <c r="R62" s="118" t="str">
        <f aca="false">IF($J57=$A$146,"K2","SG")</f>
        <v>SG</v>
      </c>
      <c r="S62" s="119"/>
      <c r="T62" s="120" t="str">
        <f aca="false">IF(AND($U$54&lt;&gt;"",$U$57="",R62&lt;&gt;"",S62=""),"◄","")</f>
        <v/>
      </c>
      <c r="U62" s="121" t="str">
        <f aca="false">IFERROR(IF(T62="◄","FALTA PREENCHER",IF(AND(OR(S62&gt;=X62,X62="-"),OR(S62&lt;=Z62,Z62="-")),"OK","FORA DO INTERVALO")),"-")</f>
        <v>-</v>
      </c>
      <c r="V62" s="121"/>
      <c r="W62" s="121"/>
      <c r="X62" s="122" t="e">
        <f aca="false">VLOOKUP(CONCATENATE(J57,"-",R62),$C$2:$G$136,3,FALSE())</f>
        <v>#N/A</v>
      </c>
      <c r="Y62" s="122" t="e">
        <f aca="false">VLOOKUP(CONCATENATE(J57,"-",R62),$C$2:$G$136,4,FALSE())</f>
        <v>#N/A</v>
      </c>
      <c r="Z62" s="122" t="e">
        <f aca="false">VLOOKUP(CONCATENATE(J57,"-",R62),$C$2:$G$136,5,FALSE())</f>
        <v>#N/A</v>
      </c>
    </row>
    <row r="63" customFormat="false" ht="15" hidden="false" customHeight="true" outlineLevel="0" collapsed="false">
      <c r="I63" s="0" t="str">
        <f aca="false">IF($S$69=0,"","F")</f>
        <v/>
      </c>
      <c r="J63" s="117" t="s">
        <v>731</v>
      </c>
      <c r="K63" s="117"/>
      <c r="L63" s="117"/>
      <c r="M63" s="117"/>
      <c r="N63" s="117"/>
      <c r="O63" s="117"/>
      <c r="P63" s="117"/>
      <c r="Q63" s="117"/>
      <c r="R63" s="118" t="str">
        <f aca="false">IF($J57=$A$146,"","R")</f>
        <v>R</v>
      </c>
      <c r="S63" s="119"/>
      <c r="T63" s="120" t="str">
        <f aca="false">IF(AND($U$54&lt;&gt;"",$U$57="",R63&lt;&gt;"",S63=""),"◄","")</f>
        <v/>
      </c>
      <c r="U63" s="121" t="str">
        <f aca="false">IFERROR(IF(T63="◄","FALTA PREENCHER",IF(AND(OR(S63&gt;=X63,X63="-"),OR(S63&lt;=Z63,Z63="-")),"OK","FORA DO INTERVALO")),"-")</f>
        <v>-</v>
      </c>
      <c r="V63" s="121"/>
      <c r="W63" s="121"/>
      <c r="X63" s="122" t="e">
        <f aca="false">VLOOKUP(CONCATENATE(J57,"-",R63),$C$2:$G$136,3,FALSE())</f>
        <v>#N/A</v>
      </c>
      <c r="Y63" s="122" t="e">
        <f aca="false">VLOOKUP(CONCATENATE(J57,"-",R63),$C$2:$G$136,4,FALSE())</f>
        <v>#N/A</v>
      </c>
      <c r="Z63" s="122" t="e">
        <f aca="false">VLOOKUP(CONCATENATE(J57,"-",R63),$C$2:$G$136,5,FALSE())</f>
        <v>#N/A</v>
      </c>
    </row>
    <row r="64" customFormat="false" ht="15" hidden="false" customHeight="true" outlineLevel="0" collapsed="false">
      <c r="I64" s="0" t="str">
        <f aca="false">IF($S$69=0,"","F")</f>
        <v/>
      </c>
      <c r="J64" s="117" t="s">
        <v>732</v>
      </c>
      <c r="K64" s="117"/>
      <c r="L64" s="117"/>
      <c r="M64" s="117"/>
      <c r="N64" s="117"/>
      <c r="O64" s="117"/>
      <c r="P64" s="117"/>
      <c r="Q64" s="117"/>
      <c r="R64" s="118" t="str">
        <f aca="false">IF($J57=$A$146,"","DF")</f>
        <v>DF</v>
      </c>
      <c r="S64" s="119"/>
      <c r="T64" s="120" t="str">
        <f aca="false">IF(AND($U$54&lt;&gt;"",$U$57="",R64&lt;&gt;"",S64=""),"◄","")</f>
        <v/>
      </c>
      <c r="U64" s="121" t="str">
        <f aca="false">IFERROR(IF(T64="◄","FALTA PREENCHER",IF(AND(OR(S64&gt;=X64,X64="-"),OR(S64&lt;=Z64,Z64="-")),"OK","FORA DO INTERVALO")),"-")</f>
        <v>-</v>
      </c>
      <c r="V64" s="121"/>
      <c r="W64" s="121"/>
      <c r="X64" s="122" t="e">
        <f aca="false">VLOOKUP(CONCATENATE(J57,"-",R64),$C$2:$G$136,3,FALSE())</f>
        <v>#N/A</v>
      </c>
      <c r="Y64" s="122" t="e">
        <f aca="false">VLOOKUP(CONCATENATE(J57,"-",R64),$C$2:$G$136,4,FALSE())</f>
        <v>#N/A</v>
      </c>
      <c r="Z64" s="122" t="e">
        <f aca="false">VLOOKUP(CONCATENATE(J57,"-",R64),$C$2:$G$136,5,FALSE())</f>
        <v>#N/A</v>
      </c>
    </row>
    <row r="65" customFormat="false" ht="15" hidden="false" customHeight="true" outlineLevel="0" collapsed="false">
      <c r="I65" s="0" t="str">
        <f aca="false">IF($S$69=0,"","F")</f>
        <v/>
      </c>
      <c r="J65" s="117" t="str">
        <f aca="false">IF($J$57=$A$146,"Margem bruta da empresa de consultoria","Lucro")</f>
        <v>Lucro</v>
      </c>
      <c r="K65" s="117"/>
      <c r="L65" s="117"/>
      <c r="M65" s="117"/>
      <c r="N65" s="117"/>
      <c r="O65" s="117"/>
      <c r="P65" s="117"/>
      <c r="Q65" s="117"/>
      <c r="R65" s="118" t="str">
        <f aca="false">IF($J57=$A$146,"K3","L")</f>
        <v>L</v>
      </c>
      <c r="S65" s="119"/>
      <c r="T65" s="120" t="str">
        <f aca="false">IF(AND($U$54&lt;&gt;"",$U$57="",R65&lt;&gt;"",S65=""),"◄","")</f>
        <v/>
      </c>
      <c r="U65" s="121" t="str">
        <f aca="false">IFERROR(IF(T65="◄","FALTA PREENCHER",IF(AND(OR(S65&gt;=X65,X65="-"),OR(S65&lt;=Z65,Z65="-")),"OK","FORA DO INTERVALO")),"-")</f>
        <v>-</v>
      </c>
      <c r="V65" s="121"/>
      <c r="W65" s="121"/>
      <c r="X65" s="122" t="e">
        <f aca="false">VLOOKUP(CONCATENATE(J57,"-",R65),$C$2:$G$136,3,FALSE())</f>
        <v>#N/A</v>
      </c>
      <c r="Y65" s="122" t="e">
        <f aca="false">VLOOKUP(CONCATENATE(J57,"-",R65),$C$2:$G$136,4,FALSE())</f>
        <v>#N/A</v>
      </c>
      <c r="Z65" s="122" t="e">
        <f aca="false">VLOOKUP(CONCATENATE(J57,"-",R65),$C$2:$G$136,5,FALSE())</f>
        <v>#N/A</v>
      </c>
    </row>
    <row r="66" customFormat="false" ht="15" hidden="false" customHeight="true" outlineLevel="0" collapsed="false">
      <c r="I66" s="0" t="str">
        <f aca="false">IF($S$69=0,"","F")</f>
        <v/>
      </c>
      <c r="J66" s="117" t="s">
        <v>734</v>
      </c>
      <c r="K66" s="117"/>
      <c r="L66" s="117"/>
      <c r="M66" s="117"/>
      <c r="N66" s="117"/>
      <c r="O66" s="117"/>
      <c r="P66" s="117"/>
      <c r="Q66" s="117"/>
      <c r="R66" s="118" t="s">
        <v>514</v>
      </c>
      <c r="S66" s="119"/>
      <c r="T66" s="120" t="str">
        <f aca="false">IF(AND($U$54&lt;&gt;"",$U$57="",R66&lt;&gt;"",S66=""),"◄","")</f>
        <v/>
      </c>
      <c r="U66" s="121" t="str">
        <f aca="false">IFERROR(IF(T66="◄","FALTA PREENCHER",IF(AND(OR(S66&gt;=X66,X66="-"),OR(S66&lt;=Z66,Z66="-")),"OK","FORA DO INTERVALO")),"-")</f>
        <v>FORA DO INTERVALO</v>
      </c>
      <c r="V66" s="121"/>
      <c r="W66" s="121"/>
      <c r="X66" s="122" t="n">
        <f aca="false">Y66</f>
        <v>0.0365</v>
      </c>
      <c r="Y66" s="122" t="n">
        <f aca="false">IF($J57=$A$145,"-",3.65%)</f>
        <v>0.0365</v>
      </c>
      <c r="Z66" s="122" t="n">
        <f aca="false">Y66</f>
        <v>0.0365</v>
      </c>
    </row>
    <row r="67" customFormat="false" ht="15" hidden="false" customHeight="true" outlineLevel="0" collapsed="false">
      <c r="I67" s="0" t="str">
        <f aca="false">IF($S$69=0,"","F")</f>
        <v/>
      </c>
      <c r="J67" s="117" t="s">
        <v>735</v>
      </c>
      <c r="K67" s="117"/>
      <c r="L67" s="117"/>
      <c r="M67" s="117"/>
      <c r="N67" s="117"/>
      <c r="O67" s="117"/>
      <c r="P67" s="117"/>
      <c r="Q67" s="117"/>
      <c r="R67" s="118" t="s">
        <v>736</v>
      </c>
      <c r="S67" s="122" t="n">
        <f aca="true">IF(AND($J57&lt;&gt;$A$145,COUNTA(OFFSET(S60,1,0,6))&gt;0),$R$11*$R$10,0)</f>
        <v>0</v>
      </c>
      <c r="U67" s="121" t="str">
        <f aca="false">IFERROR(IF(T67="◄","FALTA PREENCHER",IF(AND(OR(S67&gt;=X67,X67="-"),OR(S67&lt;=Z67,Z67="-")),"OK","FORA DO INTERVALO")),"-")</f>
        <v>OK</v>
      </c>
      <c r="V67" s="121"/>
      <c r="W67" s="121"/>
      <c r="X67" s="122" t="n">
        <v>0</v>
      </c>
      <c r="Y67" s="122" t="n">
        <v>0.025</v>
      </c>
      <c r="Z67" s="122" t="n">
        <v>0.05</v>
      </c>
    </row>
    <row r="68" customFormat="false" ht="15" hidden="false" customHeight="true" outlineLevel="0" collapsed="false">
      <c r="I68" s="0" t="str">
        <f aca="false">IF($S$69=0,"","F")</f>
        <v/>
      </c>
      <c r="J68" s="117" t="s">
        <v>737</v>
      </c>
      <c r="K68" s="117"/>
      <c r="L68" s="117"/>
      <c r="M68" s="117"/>
      <c r="N68" s="117"/>
      <c r="O68" s="117"/>
      <c r="P68" s="117"/>
      <c r="Q68" s="117"/>
      <c r="R68" s="118" t="s">
        <v>738</v>
      </c>
      <c r="S68" s="122" t="n">
        <f aca="true" t="array" ref="S68:S68">IF(BDI.Opcao&lt;&gt;"Desonerado",0,IF(AND($J57&lt;&gt;$A$145,COUNTA(OFFSET(S60,1,0,6))&gt;0),IF(YEAR(Import.DataBase)&lt;2025,4.5%,IF(YEAR(Import.DataBase)=2025,3.6%,IF(YEAR(Import.DataBase)=2026,2.7%,IF(YEAR(Import.DataBase)=2027,1.8%,0%)))),0%))</f>
        <v>0</v>
      </c>
      <c r="U68" s="121" t="str">
        <f aca="false">IFERROR(IF(T68="◄","FALTA PREENCHER",IF(AND(OR(S68&gt;=X68,X68="-"),OR(S68&lt;=Z68,Z68="-")),"OK","FORA DO INTERVALO")),"-")</f>
        <v>OK</v>
      </c>
      <c r="V68" s="121"/>
      <c r="W68" s="121"/>
      <c r="X68" s="123" t="n">
        <f aca="false">$S68</f>
        <v>0</v>
      </c>
      <c r="Y68" s="123" t="n">
        <f aca="false">$S68</f>
        <v>0</v>
      </c>
      <c r="Z68" s="123" t="n">
        <f aca="false">$S68</f>
        <v>0</v>
      </c>
    </row>
    <row r="69" customFormat="false" ht="15" hidden="false" customHeight="true" outlineLevel="0" collapsed="false">
      <c r="I69" s="0" t="str">
        <f aca="false">IF($S$69=0,"","F")</f>
        <v/>
      </c>
      <c r="J69" s="117" t="s">
        <v>739</v>
      </c>
      <c r="K69" s="117"/>
      <c r="L69" s="117"/>
      <c r="M69" s="117"/>
      <c r="N69" s="117"/>
      <c r="O69" s="117"/>
      <c r="P69" s="117"/>
      <c r="Q69" s="117"/>
      <c r="R69" s="124" t="s">
        <v>714</v>
      </c>
      <c r="S69" s="122" t="n">
        <f aca="false">IF($J57=$A$145,0,ROUND((((1+S61+S62+S63)*(1+S64)*(1+S65)/(1-(S66+S67)))-1),4))</f>
        <v>0</v>
      </c>
      <c r="U69" s="115" t="str">
        <f aca="false">IFERROR(IF(AND(OR(S69&gt;=X69,X69="-"),OR(S69&lt;=Z69,Z69="-")),"OK","FORA DO INTERVALO"),IF(S69=0,"OK","Selecione o Tipo de obra"))</f>
        <v>OK</v>
      </c>
      <c r="V69" s="115"/>
      <c r="W69" s="115"/>
      <c r="X69" s="122" t="e">
        <f aca="false">IF($J57=$A$145,0,VLOOKUP(CONCATENATE($J57,"-",$R69),$C$2:$G$136,3,FALSE()))</f>
        <v>#N/A</v>
      </c>
      <c r="Y69" s="122" t="e">
        <f aca="false">IF($J57=$A$145,0,VLOOKUP(CONCATENATE($J57,"-",$R69),$C$2:$G$136,4,FALSE()))</f>
        <v>#N/A</v>
      </c>
      <c r="Z69" s="122" t="e">
        <f aca="false">IF($J57=$A$145,0,VLOOKUP(CONCATENATE($J57,"-",$R69),$C$2:$G$136,5,FALSE()))</f>
        <v>#N/A</v>
      </c>
    </row>
    <row r="70" customFormat="false" ht="15" hidden="false" customHeight="true" outlineLevel="0" collapsed="false">
      <c r="I70" s="0" t="str">
        <f aca="false">IF($S$69=0,"","F")</f>
        <v/>
      </c>
      <c r="J70" s="125" t="s">
        <v>740</v>
      </c>
      <c r="K70" s="125"/>
      <c r="L70" s="125"/>
      <c r="M70" s="125"/>
      <c r="N70" s="125"/>
      <c r="O70" s="125"/>
      <c r="P70" s="125"/>
      <c r="Q70" s="125"/>
      <c r="R70" s="125" t="s">
        <v>741</v>
      </c>
      <c r="S70" s="126" t="n">
        <f aca="false">IF($J57=$A$145,0,ROUND((((1+S61+S62+S63)*(1+S64)*(1+S65)/(1-(S66+S67+S68)))-1),4))</f>
        <v>0</v>
      </c>
    </row>
    <row r="71" customFormat="false" ht="15" hidden="false" customHeight="true" outlineLevel="0" collapsed="false">
      <c r="I71" s="0" t="str">
        <f aca="false">IF($S$69=0,"","F")</f>
        <v/>
      </c>
    </row>
    <row r="72" customFormat="false" ht="15" hidden="false" customHeight="false" outlineLevel="0" collapsed="false">
      <c r="I72" s="0" t="str">
        <f aca="false">IF($S$69=0,"","F")</f>
        <v/>
      </c>
      <c r="J72" s="127" t="str">
        <f aca="false">IF(U69&lt;&gt;"ok","X","")</f>
        <v/>
      </c>
      <c r="K72" s="128" t="str">
        <f aca="false">IF(U69&lt;&gt;"ok","Anexo: Relatório Técnico Circunstanciado justificando a adoção do percentual de cada parcela do BDI.","")</f>
        <v/>
      </c>
      <c r="L72" s="128"/>
      <c r="M72" s="128"/>
      <c r="N72" s="128"/>
      <c r="O72" s="128"/>
      <c r="P72" s="128"/>
      <c r="Q72" s="128"/>
      <c r="R72" s="128"/>
      <c r="S72" s="128"/>
    </row>
    <row r="73" customFormat="false" ht="12.75" hidden="false" customHeight="false" outlineLevel="0" collapsed="false">
      <c r="I73" s="0" t="str">
        <f aca="false">IF($S$69=0,"","F")</f>
        <v/>
      </c>
    </row>
    <row r="74" customFormat="false" ht="12.75" hidden="false" customHeight="false" outlineLevel="0" collapsed="false">
      <c r="I74" s="0" t="str">
        <f aca="false">IF($S$69=0,"","F")</f>
        <v/>
      </c>
      <c r="J74" s="129" t="s">
        <v>743</v>
      </c>
      <c r="K74" s="129"/>
      <c r="L74" s="129"/>
      <c r="M74" s="129"/>
      <c r="N74" s="129"/>
      <c r="O74" s="129"/>
      <c r="P74" s="129"/>
      <c r="Q74" s="129"/>
      <c r="R74" s="129"/>
      <c r="S74" s="129"/>
    </row>
    <row r="75" customFormat="false" ht="15" hidden="false" customHeight="false" outlineLevel="0" collapsed="false">
      <c r="I75" s="0" t="str">
        <f aca="false">IF($S$69=0,"","F")</f>
        <v/>
      </c>
      <c r="J75" s="130"/>
      <c r="K75" s="130"/>
      <c r="L75" s="130"/>
      <c r="M75" s="131" t="s">
        <v>744</v>
      </c>
      <c r="N75" s="132" t="str">
        <f aca="false">IF($J57=$A$146,"(1+K1+K2)*(1+K3)","(1+AC + S + R + G)*(1 + DF)*(1+L)")</f>
        <v>(1+AC + S + R + G)*(1 + DF)*(1+L)</v>
      </c>
      <c r="O75" s="132"/>
      <c r="P75" s="132"/>
      <c r="Q75" s="133" t="s">
        <v>745</v>
      </c>
      <c r="R75" s="130"/>
      <c r="S75" s="130"/>
    </row>
    <row r="76" customFormat="false" ht="15" hidden="false" customHeight="false" outlineLevel="0" collapsed="false">
      <c r="I76" s="0" t="str">
        <f aca="false">IF($S$69=0,"","F")</f>
        <v/>
      </c>
      <c r="J76" s="130"/>
      <c r="K76" s="130"/>
      <c r="L76" s="130"/>
      <c r="M76" s="131"/>
      <c r="N76" s="134" t="s">
        <v>746</v>
      </c>
      <c r="O76" s="134"/>
      <c r="P76" s="134"/>
      <c r="Q76" s="133"/>
      <c r="R76" s="130"/>
      <c r="S76" s="130"/>
    </row>
    <row r="77" customFormat="false" ht="15" hidden="false" customHeight="true" outlineLevel="0" collapsed="false">
      <c r="I77" s="0" t="str">
        <f aca="false">IF($S$69=0,"","F")</f>
        <v/>
      </c>
      <c r="J77" s="130"/>
      <c r="K77" s="130"/>
      <c r="L77" s="130"/>
      <c r="M77" s="151"/>
      <c r="N77" s="152"/>
      <c r="O77" s="152"/>
      <c r="P77" s="152"/>
      <c r="Q77" s="153"/>
      <c r="R77" s="130"/>
      <c r="S77" s="130"/>
    </row>
    <row r="78" customFormat="false" ht="49.5" hidden="false" customHeight="true" outlineLevel="0" collapsed="false">
      <c r="I78" s="0" t="str">
        <f aca="false">IF($S$69=0,"","F")</f>
        <v/>
      </c>
      <c r="J78" s="136" t="str">
        <f aca="false">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136"/>
      <c r="L78" s="136"/>
      <c r="M78" s="136"/>
      <c r="N78" s="136"/>
      <c r="O78" s="136"/>
      <c r="P78" s="136"/>
      <c r="Q78" s="136"/>
      <c r="R78" s="136"/>
      <c r="S78" s="136"/>
    </row>
    <row r="79" customFormat="false" ht="12.75" hidden="false" customHeight="false" outlineLevel="0" collapsed="false">
      <c r="I79" s="0" t="str">
        <f aca="false">IF($S$69=0,"","F")</f>
        <v/>
      </c>
    </row>
    <row r="80" customFormat="false" ht="49.5" hidden="false" customHeight="true" outlineLevel="0" collapsed="false">
      <c r="I80" s="0" t="str">
        <f aca="false">IF($S$69=0,"","F")</f>
        <v/>
      </c>
      <c r="J80" s="136" t="str">
        <f aca="true" t="array" ref="J80:J80">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136"/>
      <c r="L80" s="136"/>
      <c r="M80" s="136"/>
      <c r="N80" s="136"/>
      <c r="O80" s="136"/>
      <c r="P80" s="136"/>
      <c r="Q80" s="136"/>
      <c r="R80" s="136"/>
      <c r="S80" s="136"/>
    </row>
    <row r="81" customFormat="false" ht="12.75" hidden="false" customHeight="false" outlineLevel="0" collapsed="false">
      <c r="I81" s="0" t="str">
        <f aca="false">IF($S$69=0,"","F")</f>
        <v/>
      </c>
    </row>
    <row r="82" customFormat="false" ht="12.75" hidden="false" customHeight="false" outlineLevel="0" collapsed="false">
      <c r="I82" s="0" t="str">
        <f aca="false">IF($S$69=0,"","F")</f>
        <v/>
      </c>
      <c r="J82" s="94" t="s">
        <v>749</v>
      </c>
    </row>
    <row r="83" customFormat="false" ht="99.75" hidden="false" customHeight="true" outlineLevel="0" collapsed="false">
      <c r="I83" s="0" t="str">
        <f aca="false">IF($S$69=0,"","F")</f>
        <v/>
      </c>
      <c r="J83" s="137"/>
      <c r="K83" s="137"/>
      <c r="L83" s="137"/>
      <c r="M83" s="137"/>
      <c r="N83" s="137"/>
      <c r="O83" s="137"/>
      <c r="P83" s="137"/>
      <c r="Q83" s="137"/>
      <c r="R83" s="137"/>
      <c r="S83" s="137"/>
    </row>
    <row r="84" customFormat="false" ht="12.75" hidden="false" customHeight="false" outlineLevel="0" collapsed="false">
      <c r="I84" s="0" t="str">
        <f aca="false">IF($S$69=0,"","F")</f>
        <v/>
      </c>
    </row>
    <row r="85" customFormat="false" ht="12.75" hidden="false" customHeight="false" outlineLevel="0" collapsed="false">
      <c r="I85" s="0" t="str">
        <f aca="false">IF($S$69=0,"","F")</f>
        <v/>
      </c>
      <c r="J85" s="138" t="n">
        <f aca="false">Import.Município</f>
        <v>0</v>
      </c>
      <c r="K85" s="138"/>
      <c r="L85" s="138"/>
      <c r="M85" s="138"/>
      <c r="P85" s="139" t="n">
        <f aca="false">DADOS!$C$25</f>
        <v>45991</v>
      </c>
      <c r="Q85" s="139"/>
      <c r="R85" s="139"/>
      <c r="S85" s="139"/>
    </row>
    <row r="86" customFormat="false" ht="12.75" hidden="false" customHeight="false" outlineLevel="0" collapsed="false">
      <c r="I86" s="0" t="str">
        <f aca="false">IF($S$69=0,"","F")</f>
        <v/>
      </c>
      <c r="J86" s="140" t="s">
        <v>753</v>
      </c>
      <c r="K86" s="140"/>
      <c r="L86" s="140"/>
      <c r="M86" s="140"/>
      <c r="O86" s="141"/>
      <c r="P86" s="142" t="s">
        <v>754</v>
      </c>
      <c r="Q86" s="143"/>
      <c r="R86" s="143"/>
      <c r="S86" s="143"/>
    </row>
    <row r="87" customFormat="false" ht="30" hidden="false" customHeight="true" outlineLevel="0" collapsed="false">
      <c r="I87" s="0" t="str">
        <f aca="false">IF($S$69=0,"","F")</f>
        <v/>
      </c>
    </row>
    <row r="88" customFormat="false" ht="13.8" hidden="false" customHeight="false" outlineLevel="0" collapsed="false">
      <c r="I88" s="0" t="str">
        <f aca="false">IF($S$69=0,"","F")</f>
        <v/>
      </c>
      <c r="J88" s="144"/>
      <c r="K88" s="144"/>
      <c r="L88" s="144"/>
      <c r="M88" s="144"/>
      <c r="N88" s="145"/>
    </row>
    <row r="89" customFormat="false" ht="12.75" hidden="false" customHeight="false" outlineLevel="0" collapsed="false">
      <c r="I89" s="0" t="str">
        <f aca="false">IF($S$69=0,"","F")</f>
        <v/>
      </c>
      <c r="J89" s="146" t="s">
        <v>756</v>
      </c>
      <c r="K89" s="146"/>
      <c r="L89" s="146"/>
      <c r="M89" s="146"/>
    </row>
    <row r="90" customFormat="false" ht="13.8" hidden="false" customHeight="false" outlineLevel="0" collapsed="false">
      <c r="I90" s="0" t="str">
        <f aca="false">IF($S$69=0,"","F")</f>
        <v/>
      </c>
      <c r="J90" s="147" t="s">
        <v>295</v>
      </c>
      <c r="K90" s="148" t="str">
        <f aca="false" t="array" ref="K90:K92">Import.RespOrçamento</f>
        <v>ANA PAULA MESQUITA CICHOWSI</v>
      </c>
      <c r="L90" s="149"/>
      <c r="M90" s="149"/>
      <c r="N90" s="145"/>
    </row>
    <row r="91" customFormat="false" ht="13.8" hidden="false" customHeight="false" outlineLevel="0" collapsed="false">
      <c r="I91" s="0" t="str">
        <f aca="false">IF($S$69=0,"","F")</f>
        <v/>
      </c>
      <c r="J91" s="147" t="s">
        <v>299</v>
      </c>
      <c r="K91" s="148" t="str">
        <v>RS 207.916</v>
      </c>
      <c r="L91" s="149"/>
      <c r="M91" s="149"/>
      <c r="N91" s="145"/>
    </row>
    <row r="92" customFormat="false" ht="13.8" hidden="false" customHeight="false" outlineLevel="0" collapsed="false">
      <c r="I92" s="0" t="str">
        <f aca="false">IF($S$69=0,"","F")</f>
        <v/>
      </c>
      <c r="J92" s="147" t="s">
        <v>303</v>
      </c>
      <c r="K92" s="148" t="n">
        <v>0</v>
      </c>
      <c r="L92" s="149"/>
      <c r="M92" s="149"/>
      <c r="N92" s="145"/>
    </row>
    <row r="93" customFormat="false" ht="13.8" hidden="false" customHeight="false" outlineLevel="0" collapsed="false">
      <c r="I93" s="0" t="str">
        <f aca="false">IF($S$69=0,"","F")</f>
        <v/>
      </c>
      <c r="J93" s="147"/>
      <c r="K93" s="150"/>
      <c r="L93" s="149"/>
      <c r="M93" s="149"/>
      <c r="N93" s="145"/>
    </row>
    <row r="94" customFormat="false" ht="15" hidden="false" customHeight="false" outlineLevel="0" collapsed="false">
      <c r="I94" s="0" t="str">
        <f aca="false">IF($S$109=0,"","F")</f>
        <v/>
      </c>
      <c r="J94" s="112" t="s">
        <v>758</v>
      </c>
      <c r="K94" s="112"/>
      <c r="L94" s="112"/>
      <c r="M94" s="112"/>
      <c r="N94" s="112"/>
      <c r="O94" s="112"/>
      <c r="P94" s="112"/>
      <c r="Q94" s="112"/>
      <c r="R94" s="112"/>
      <c r="S94" s="112"/>
      <c r="U94" s="51" t="str">
        <f aca="false">IF(COUNTIF(ORÇAMENTO!$V$15:$V$21,BDI_3.Título)=0,"",IF(OR(Import.BDI.Tipo3="(SELECIONAR)",Import.BDI.Tipo3="",U97&lt;&gt;"",AND($J97&lt;&gt;$A$145,OR(S101="",S102="",AND($J97&lt;&gt;$A$146,OR(S103="",S104="")),S105="",S106=""))),"Falta preencher o BDI 3",""))</f>
        <v/>
      </c>
    </row>
    <row r="95" customFormat="false" ht="12.75" hidden="false" customHeight="false" outlineLevel="0" collapsed="false">
      <c r="I95" s="0" t="str">
        <f aca="false">IF($S$109=0,"","F")</f>
        <v/>
      </c>
    </row>
    <row r="96" customFormat="false" ht="12.75" hidden="false" customHeight="false" outlineLevel="0" collapsed="false">
      <c r="I96" s="0" t="str">
        <f aca="false">IF($S$109=0,"","F")</f>
        <v/>
      </c>
      <c r="J96" s="100" t="s">
        <v>722</v>
      </c>
      <c r="K96" s="100"/>
      <c r="L96" s="100"/>
      <c r="M96" s="100"/>
      <c r="N96" s="100"/>
      <c r="O96" s="100"/>
      <c r="P96" s="100"/>
      <c r="Q96" s="100"/>
      <c r="R96" s="100"/>
      <c r="S96" s="100"/>
    </row>
    <row r="97" customFormat="false" ht="13.8" hidden="false" customHeight="false" outlineLevel="0" collapsed="false">
      <c r="I97" s="0" t="str">
        <f aca="false">IF($S$109=0,"","F")</f>
        <v/>
      </c>
      <c r="J97" s="113" t="s">
        <v>140</v>
      </c>
      <c r="K97" s="113"/>
      <c r="L97" s="113"/>
      <c r="M97" s="113"/>
      <c r="N97" s="113"/>
      <c r="O97" s="113"/>
      <c r="P97" s="113"/>
      <c r="Q97" s="113"/>
      <c r="R97" s="113"/>
      <c r="S97" s="113"/>
      <c r="T97" s="66" t="str">
        <f aca="false">IF(U97="","","◄")</f>
        <v/>
      </c>
      <c r="U97" s="62" t="str">
        <f aca="false">IF(AND(OR(S109&gt;0,COUNTIF(ORÇAMENTO!$V$15:$V$21,BDI_3.Título)&gt;0),OR(Import.BDI.Tipo3="(SELECIONAR)",Import.BDI.Tipo3="")),"Selecione o Tipo de obra","")</f>
        <v/>
      </c>
    </row>
    <row r="98" customFormat="false" ht="12.75" hidden="false" customHeight="false" outlineLevel="0" collapsed="false">
      <c r="I98" s="0" t="str">
        <f aca="false">IF($S$109=0,"","F")</f>
        <v/>
      </c>
    </row>
    <row r="99" customFormat="false" ht="12.75" hidden="false" customHeight="true" outlineLevel="0" collapsed="false">
      <c r="I99" s="0" t="str">
        <f aca="false">IF($S$109=0,"","F")</f>
        <v/>
      </c>
      <c r="J99" s="114" t="s">
        <v>723</v>
      </c>
      <c r="K99" s="114"/>
      <c r="L99" s="114"/>
      <c r="M99" s="114"/>
      <c r="N99" s="114"/>
      <c r="O99" s="114"/>
      <c r="P99" s="114"/>
      <c r="Q99" s="114"/>
      <c r="R99" s="114" t="s">
        <v>724</v>
      </c>
      <c r="S99" s="115" t="s">
        <v>725</v>
      </c>
      <c r="U99" s="115" t="s">
        <v>726</v>
      </c>
      <c r="V99" s="115"/>
      <c r="W99" s="115"/>
      <c r="X99" s="116" t="s">
        <v>727</v>
      </c>
      <c r="Y99" s="116" t="s">
        <v>728</v>
      </c>
      <c r="Z99" s="116" t="s">
        <v>729</v>
      </c>
    </row>
    <row r="100" customFormat="false" ht="12.75" hidden="false" customHeight="true" outlineLevel="0" collapsed="false">
      <c r="I100" s="0" t="str">
        <f aca="false">IF($S$109=0,"","F")</f>
        <v/>
      </c>
      <c r="J100" s="114"/>
      <c r="K100" s="114"/>
      <c r="L100" s="114"/>
      <c r="M100" s="114"/>
      <c r="N100" s="114"/>
      <c r="O100" s="114"/>
      <c r="P100" s="114"/>
      <c r="Q100" s="114"/>
      <c r="R100" s="114"/>
      <c r="S100" s="115"/>
      <c r="U100" s="115"/>
      <c r="V100" s="115"/>
      <c r="W100" s="115"/>
      <c r="X100" s="116"/>
      <c r="Y100" s="116"/>
      <c r="Z100" s="116"/>
    </row>
    <row r="101" customFormat="false" ht="15" hidden="false" customHeight="true" outlineLevel="0" collapsed="false">
      <c r="I101" s="0" t="str">
        <f aca="false">IF($S$109=0,"","F")</f>
        <v/>
      </c>
      <c r="J101" s="117" t="str">
        <f aca="false">IF($J$97=$A$146,"Encargos Sociais incidentes sobre a mão de obra","Administração Central")</f>
        <v>Administração Central</v>
      </c>
      <c r="K101" s="117"/>
      <c r="L101" s="117"/>
      <c r="M101" s="117"/>
      <c r="N101" s="117"/>
      <c r="O101" s="117"/>
      <c r="P101" s="117"/>
      <c r="Q101" s="117"/>
      <c r="R101" s="118" t="str">
        <f aca="false">IF($J97=$A$146,"K1","AC")</f>
        <v>AC</v>
      </c>
      <c r="S101" s="119"/>
      <c r="T101" s="120" t="str">
        <f aca="false">IF(AND($U$94&lt;&gt;"",$U$97="",R101&lt;&gt;"",S101=""),"◄","")</f>
        <v/>
      </c>
      <c r="U101" s="121" t="str">
        <f aca="false">IFERROR(IF(T101="◄","FALTA PREENCHER",IF(AND(OR(S101&gt;=X101,X101="-"),OR(S101&lt;=Z101,Z101="-")),"OK","FORA DO INTERVALO")),"-")</f>
        <v>-</v>
      </c>
      <c r="V101" s="121"/>
      <c r="W101" s="121"/>
      <c r="X101" s="122" t="e">
        <f aca="false">VLOOKUP(CONCATENATE(J97,"-",R101),$C$2:$G$136,3,FALSE())</f>
        <v>#N/A</v>
      </c>
      <c r="Y101" s="122" t="e">
        <f aca="false">VLOOKUP(CONCATENATE(J97,"-",R101),$C$2:$G$136,4,FALSE())</f>
        <v>#N/A</v>
      </c>
      <c r="Z101" s="122" t="e">
        <f aca="false">VLOOKUP(CONCATENATE(J97,"-",R101),$C$2:$G$136,5,FALSE())</f>
        <v>#N/A</v>
      </c>
    </row>
    <row r="102" customFormat="false" ht="15" hidden="false" customHeight="true" outlineLevel="0" collapsed="false">
      <c r="I102" s="0" t="str">
        <f aca="false">IF($S$109=0,"","F")</f>
        <v/>
      </c>
      <c r="J102" s="117" t="str">
        <f aca="false">IF($J$97=$A$146,"Administração Central da empresa ou consultoria - overhead","Seguro e Garantia")</f>
        <v>Seguro e Garantia</v>
      </c>
      <c r="K102" s="117"/>
      <c r="L102" s="117"/>
      <c r="M102" s="117"/>
      <c r="N102" s="117"/>
      <c r="O102" s="117"/>
      <c r="P102" s="117"/>
      <c r="Q102" s="117"/>
      <c r="R102" s="118" t="str">
        <f aca="false">IF($J97=$A$146,"K2","SG")</f>
        <v>SG</v>
      </c>
      <c r="S102" s="119"/>
      <c r="T102" s="120" t="str">
        <f aca="false">IF(AND($U$94&lt;&gt;"",$U$97="",R102&lt;&gt;"",S102=""),"◄","")</f>
        <v/>
      </c>
      <c r="U102" s="121" t="str">
        <f aca="false">IFERROR(IF(T102="◄","FALTA PREENCHER",IF(AND(OR(S102&gt;=X102,X102="-"),OR(S102&lt;=Z102,Z102="-")),"OK","FORA DO INTERVALO")),"-")</f>
        <v>-</v>
      </c>
      <c r="V102" s="121"/>
      <c r="W102" s="121"/>
      <c r="X102" s="122" t="e">
        <f aca="false">VLOOKUP(CONCATENATE(J97,"-",R102),$C$2:$G$136,3,FALSE())</f>
        <v>#N/A</v>
      </c>
      <c r="Y102" s="122" t="e">
        <f aca="false">VLOOKUP(CONCATENATE(J97,"-",R102),$C$2:$G$136,4,FALSE())</f>
        <v>#N/A</v>
      </c>
      <c r="Z102" s="122" t="e">
        <f aca="false">VLOOKUP(CONCATENATE(J97,"-",R102),$C$2:$G$136,5,FALSE())</f>
        <v>#N/A</v>
      </c>
    </row>
    <row r="103" customFormat="false" ht="15" hidden="false" customHeight="true" outlineLevel="0" collapsed="false">
      <c r="I103" s="0" t="str">
        <f aca="false">IF($S$109=0,"","F")</f>
        <v/>
      </c>
      <c r="J103" s="117" t="s">
        <v>731</v>
      </c>
      <c r="K103" s="117"/>
      <c r="L103" s="117"/>
      <c r="M103" s="117"/>
      <c r="N103" s="117"/>
      <c r="O103" s="117"/>
      <c r="P103" s="117"/>
      <c r="Q103" s="117"/>
      <c r="R103" s="118" t="str">
        <f aca="false">IF($J97=$A$146,"","R")</f>
        <v>R</v>
      </c>
      <c r="S103" s="119"/>
      <c r="T103" s="120" t="str">
        <f aca="false">IF(AND($U$94&lt;&gt;"",$U$97="",R103&lt;&gt;"",S103=""),"◄","")</f>
        <v/>
      </c>
      <c r="U103" s="121" t="str">
        <f aca="false">IFERROR(IF(T103="◄","FALTA PREENCHER",IF(AND(OR(S103&gt;=X103,X103="-"),OR(S103&lt;=Z103,Z103="-")),"OK","FORA DO INTERVALO")),"-")</f>
        <v>-</v>
      </c>
      <c r="V103" s="121"/>
      <c r="W103" s="121"/>
      <c r="X103" s="122" t="e">
        <f aca="false">VLOOKUP(CONCATENATE(J97,"-",R103),$C$2:$G$136,3,FALSE())</f>
        <v>#N/A</v>
      </c>
      <c r="Y103" s="122" t="e">
        <f aca="false">VLOOKUP(CONCATENATE(J97,"-",R103),$C$2:$G$136,4,FALSE())</f>
        <v>#N/A</v>
      </c>
      <c r="Z103" s="122" t="e">
        <f aca="false">VLOOKUP(CONCATENATE(J97,"-",R103),$C$2:$G$136,5,FALSE())</f>
        <v>#N/A</v>
      </c>
    </row>
    <row r="104" customFormat="false" ht="15" hidden="false" customHeight="true" outlineLevel="0" collapsed="false">
      <c r="I104" s="0" t="str">
        <f aca="false">IF($S$109=0,"","F")</f>
        <v/>
      </c>
      <c r="J104" s="117" t="s">
        <v>732</v>
      </c>
      <c r="K104" s="117"/>
      <c r="L104" s="117"/>
      <c r="M104" s="117"/>
      <c r="N104" s="117"/>
      <c r="O104" s="117"/>
      <c r="P104" s="117"/>
      <c r="Q104" s="117"/>
      <c r="R104" s="118" t="str">
        <f aca="false">IF($J97=$A$146,"","DF")</f>
        <v>DF</v>
      </c>
      <c r="S104" s="119"/>
      <c r="T104" s="120" t="str">
        <f aca="false">IF(AND($U$94&lt;&gt;"",$U$97="",R104&lt;&gt;"",S104=""),"◄","")</f>
        <v/>
      </c>
      <c r="U104" s="121" t="str">
        <f aca="false">IFERROR(IF(T104="◄","FALTA PREENCHER",IF(AND(OR(S104&gt;=X104,X104="-"),OR(S104&lt;=Z104,Z104="-")),"OK","FORA DO INTERVALO")),"-")</f>
        <v>-</v>
      </c>
      <c r="V104" s="121"/>
      <c r="W104" s="121"/>
      <c r="X104" s="122" t="e">
        <f aca="false">VLOOKUP(CONCATENATE(J97,"-",R104),$C$2:$G$136,3,FALSE())</f>
        <v>#N/A</v>
      </c>
      <c r="Y104" s="122" t="e">
        <f aca="false">VLOOKUP(CONCATENATE(J97,"-",R104),$C$2:$G$136,4,FALSE())</f>
        <v>#N/A</v>
      </c>
      <c r="Z104" s="122" t="e">
        <f aca="false">VLOOKUP(CONCATENATE(J97,"-",R104),$C$2:$G$136,5,FALSE())</f>
        <v>#N/A</v>
      </c>
    </row>
    <row r="105" customFormat="false" ht="15" hidden="false" customHeight="true" outlineLevel="0" collapsed="false">
      <c r="I105" s="0" t="str">
        <f aca="false">IF($S$109=0,"","F")</f>
        <v/>
      </c>
      <c r="J105" s="117" t="str">
        <f aca="false">IF($J$57=$A$146,"Margem bruta da empresa de consultoria","Lucro")</f>
        <v>Lucro</v>
      </c>
      <c r="K105" s="117"/>
      <c r="L105" s="117"/>
      <c r="M105" s="117"/>
      <c r="N105" s="117"/>
      <c r="O105" s="117"/>
      <c r="P105" s="117"/>
      <c r="Q105" s="117"/>
      <c r="R105" s="118" t="str">
        <f aca="false">IF($J97=$A$146,"K3","L")</f>
        <v>L</v>
      </c>
      <c r="S105" s="119"/>
      <c r="T105" s="120" t="str">
        <f aca="false">IF(AND($U$94&lt;&gt;"",$U$97="",R105&lt;&gt;"",S105=""),"◄","")</f>
        <v/>
      </c>
      <c r="U105" s="121" t="str">
        <f aca="false">IFERROR(IF(T105="◄","FALTA PREENCHER",IF(AND(OR(S105&gt;=X105,X105="-"),OR(S105&lt;=Z105,Z105="-")),"OK","FORA DO INTERVALO")),"-")</f>
        <v>-</v>
      </c>
      <c r="V105" s="121"/>
      <c r="W105" s="121"/>
      <c r="X105" s="122" t="e">
        <f aca="false">VLOOKUP(CONCATENATE(J97,"-",R105),$C$2:$G$136,3,FALSE())</f>
        <v>#N/A</v>
      </c>
      <c r="Y105" s="122" t="e">
        <f aca="false">VLOOKUP(CONCATENATE(J97,"-",R105),$C$2:$G$136,4,FALSE())</f>
        <v>#N/A</v>
      </c>
      <c r="Z105" s="122" t="e">
        <f aca="false">VLOOKUP(CONCATENATE(J97,"-",R105),$C$2:$G$136,5,FALSE())</f>
        <v>#N/A</v>
      </c>
    </row>
    <row r="106" customFormat="false" ht="15" hidden="false" customHeight="true" outlineLevel="0" collapsed="false">
      <c r="I106" s="0" t="str">
        <f aca="false">IF($S$109=0,"","F")</f>
        <v/>
      </c>
      <c r="J106" s="117" t="s">
        <v>734</v>
      </c>
      <c r="K106" s="117"/>
      <c r="L106" s="117"/>
      <c r="M106" s="117"/>
      <c r="N106" s="117"/>
      <c r="O106" s="117"/>
      <c r="P106" s="117"/>
      <c r="Q106" s="117"/>
      <c r="R106" s="118" t="s">
        <v>514</v>
      </c>
      <c r="S106" s="119"/>
      <c r="T106" s="120" t="str">
        <f aca="false">IF(AND($U$94&lt;&gt;"",$U$97="",R106&lt;&gt;"",S106=""),"◄","")</f>
        <v/>
      </c>
      <c r="U106" s="121" t="str">
        <f aca="false">IFERROR(IF(T106="◄","FALTA PREENCHER",IF(AND(OR(S106&gt;=X106,X106="-"),OR(S106&lt;=Z106,Z106="-")),"OK","FORA DO INTERVALO")),"-")</f>
        <v>FORA DO INTERVALO</v>
      </c>
      <c r="V106" s="121"/>
      <c r="W106" s="121"/>
      <c r="X106" s="122" t="n">
        <f aca="false">Y106</f>
        <v>0.0365</v>
      </c>
      <c r="Y106" s="122" t="n">
        <f aca="false">IF($J97=$A$145,"-",3.65%)</f>
        <v>0.0365</v>
      </c>
      <c r="Z106" s="122" t="n">
        <f aca="false">Y106</f>
        <v>0.0365</v>
      </c>
    </row>
    <row r="107" customFormat="false" ht="15" hidden="false" customHeight="true" outlineLevel="0" collapsed="false">
      <c r="I107" s="0" t="str">
        <f aca="false">IF($S$109=0,"","F")</f>
        <v/>
      </c>
      <c r="J107" s="117" t="s">
        <v>735</v>
      </c>
      <c r="K107" s="117"/>
      <c r="L107" s="117"/>
      <c r="M107" s="117"/>
      <c r="N107" s="117"/>
      <c r="O107" s="117"/>
      <c r="P107" s="117"/>
      <c r="Q107" s="117"/>
      <c r="R107" s="118" t="s">
        <v>736</v>
      </c>
      <c r="S107" s="122" t="n">
        <f aca="true">IF(AND($J97&lt;&gt;$A$145,COUNTA(OFFSET(S100,1,0,6))&gt;0),$R$11*$R$10,0)</f>
        <v>0</v>
      </c>
      <c r="U107" s="121" t="str">
        <f aca="false">IFERROR(IF(T107="◄","FALTA PREENCHER",IF(AND(OR(S107&gt;=X107,X107="-"),OR(S107&lt;=Z107,Z107="-")),"OK","FORA DO INTERVALO")),"-")</f>
        <v>OK</v>
      </c>
      <c r="V107" s="121"/>
      <c r="W107" s="121"/>
      <c r="X107" s="122" t="n">
        <v>0</v>
      </c>
      <c r="Y107" s="122" t="n">
        <v>0.025</v>
      </c>
      <c r="Z107" s="122" t="n">
        <v>0.05</v>
      </c>
    </row>
    <row r="108" customFormat="false" ht="15" hidden="false" customHeight="true" outlineLevel="0" collapsed="false">
      <c r="I108" s="0" t="str">
        <f aca="false">IF($S$109=0,"","F")</f>
        <v/>
      </c>
      <c r="J108" s="117" t="s">
        <v>737</v>
      </c>
      <c r="K108" s="117"/>
      <c r="L108" s="117"/>
      <c r="M108" s="117"/>
      <c r="N108" s="117"/>
      <c r="O108" s="117"/>
      <c r="P108" s="117"/>
      <c r="Q108" s="117"/>
      <c r="R108" s="118" t="s">
        <v>738</v>
      </c>
      <c r="S108" s="122" t="n">
        <f aca="true" t="array" ref="S108:S108">IF(BDI.Opcao&lt;&gt;"Desonerado",0,IF(AND($J97&lt;&gt;$A$145,COUNTA(OFFSET(S100,1,0,6))&gt;0),IF(YEAR(Import.DataBase)&lt;2025,4.5%,IF(YEAR(Import.DataBase)=2025,3.6%,IF(YEAR(Import.DataBase)=2026,2.7%,IF(YEAR(Import.DataBase)=2027,1.8%,0%)))),0%))</f>
        <v>0</v>
      </c>
      <c r="U108" s="121" t="str">
        <f aca="false">IFERROR(IF(T108="◄","FALTA PREENCHER",IF(AND(OR(S108&gt;=X108,X108="-"),OR(S108&lt;=Z108,Z108="-")),"OK","FORA DO INTERVALO")),"-")</f>
        <v>OK</v>
      </c>
      <c r="V108" s="121"/>
      <c r="W108" s="121"/>
      <c r="X108" s="123" t="n">
        <f aca="false">$S108</f>
        <v>0</v>
      </c>
      <c r="Y108" s="123" t="n">
        <f aca="false">$S108</f>
        <v>0</v>
      </c>
      <c r="Z108" s="123" t="n">
        <f aca="false">$S108</f>
        <v>0</v>
      </c>
    </row>
    <row r="109" customFormat="false" ht="15" hidden="false" customHeight="true" outlineLevel="0" collapsed="false">
      <c r="I109" s="0" t="str">
        <f aca="false">IF($S$109=0,"","F")</f>
        <v/>
      </c>
      <c r="J109" s="117" t="s">
        <v>739</v>
      </c>
      <c r="K109" s="117"/>
      <c r="L109" s="117"/>
      <c r="M109" s="117"/>
      <c r="N109" s="117"/>
      <c r="O109" s="117"/>
      <c r="P109" s="117"/>
      <c r="Q109" s="117"/>
      <c r="R109" s="124" t="s">
        <v>714</v>
      </c>
      <c r="S109" s="122" t="n">
        <f aca="false">IF($J97=$A$145,0,ROUND((((1+S101+S102+S103)*(1+S104)*(1+S105)/(1-(S106+S107)))-1),4))</f>
        <v>0</v>
      </c>
      <c r="U109" s="115" t="str">
        <f aca="false">IFERROR(IF(AND(OR(S109&gt;=X109,X109="-"),OR(S109&lt;=Z109,Z109="-")),"OK","FORA DO INTERVALO"),IF(S109=0,"OK","Selecione o Tipo de obra"))</f>
        <v>OK</v>
      </c>
      <c r="V109" s="115"/>
      <c r="W109" s="115"/>
      <c r="X109" s="122" t="e">
        <f aca="false">IF($J97=$A$145,0,VLOOKUP(CONCATENATE($J97,"-",$R109),$C$2:$G$136,3,FALSE()))</f>
        <v>#N/A</v>
      </c>
      <c r="Y109" s="122" t="e">
        <f aca="false">IF($J97=$A$145,0,VLOOKUP(CONCATENATE($J97,"-",$R109),$C$2:$G$136,4,FALSE()))</f>
        <v>#N/A</v>
      </c>
      <c r="Z109" s="122" t="e">
        <f aca="false">IF($J97=$A$145,0,VLOOKUP(CONCATENATE($J97,"-",$R109),$C$2:$G$136,5,FALSE()))</f>
        <v>#N/A</v>
      </c>
    </row>
    <row r="110" customFormat="false" ht="15" hidden="false" customHeight="true" outlineLevel="0" collapsed="false">
      <c r="I110" s="0" t="str">
        <f aca="false">IF($S$109=0,"","F")</f>
        <v/>
      </c>
      <c r="J110" s="125" t="s">
        <v>740</v>
      </c>
      <c r="K110" s="125"/>
      <c r="L110" s="125"/>
      <c r="M110" s="125"/>
      <c r="N110" s="125"/>
      <c r="O110" s="125"/>
      <c r="P110" s="125"/>
      <c r="Q110" s="125"/>
      <c r="R110" s="125" t="s">
        <v>741</v>
      </c>
      <c r="S110" s="126" t="n">
        <f aca="false">IF($J97=$A$145,0,ROUND((((1+S101+S102+S103)*(1+S104)*(1+S105)/(1-(S106+S107+S108)))-1),4))</f>
        <v>0</v>
      </c>
    </row>
    <row r="111" customFormat="false" ht="15" hidden="false" customHeight="true" outlineLevel="0" collapsed="false">
      <c r="I111" s="0" t="str">
        <f aca="false">IF($S$109=0,"","F")</f>
        <v/>
      </c>
    </row>
    <row r="112" customFormat="false" ht="15" hidden="false" customHeight="false" outlineLevel="0" collapsed="false">
      <c r="I112" s="0" t="str">
        <f aca="false">IF($S$109=0,"","F")</f>
        <v/>
      </c>
      <c r="J112" s="127" t="str">
        <f aca="false">IF(U109&lt;&gt;"ok","X","")</f>
        <v/>
      </c>
      <c r="K112" s="128" t="str">
        <f aca="false">IF(U109&lt;&gt;"ok","Anexo: Relatório Técnico Circunstanciado justificando a adoção do percentual de cada parcela do BDI.","")</f>
        <v/>
      </c>
      <c r="L112" s="128"/>
      <c r="M112" s="128"/>
      <c r="N112" s="128"/>
      <c r="O112" s="128"/>
      <c r="P112" s="128"/>
      <c r="Q112" s="128"/>
      <c r="R112" s="128"/>
      <c r="S112" s="128"/>
    </row>
    <row r="113" customFormat="false" ht="12.75" hidden="false" customHeight="false" outlineLevel="0" collapsed="false">
      <c r="I113" s="0" t="str">
        <f aca="false">IF($S$109=0,"","F")</f>
        <v/>
      </c>
    </row>
    <row r="114" customFormat="false" ht="12.75" hidden="false" customHeight="false" outlineLevel="0" collapsed="false">
      <c r="I114" s="0" t="str">
        <f aca="false">IF($S$109=0,"","F")</f>
        <v/>
      </c>
      <c r="J114" s="129" t="s">
        <v>743</v>
      </c>
      <c r="K114" s="129"/>
      <c r="L114" s="129"/>
      <c r="M114" s="129"/>
      <c r="N114" s="129"/>
      <c r="O114" s="129"/>
      <c r="P114" s="129"/>
      <c r="Q114" s="129"/>
      <c r="R114" s="129"/>
      <c r="S114" s="129"/>
    </row>
    <row r="115" customFormat="false" ht="15" hidden="false" customHeight="false" outlineLevel="0" collapsed="false">
      <c r="I115" s="0" t="str">
        <f aca="false">IF($S$109=0,"","F")</f>
        <v/>
      </c>
      <c r="J115" s="130"/>
      <c r="K115" s="130"/>
      <c r="L115" s="130"/>
      <c r="M115" s="131" t="s">
        <v>744</v>
      </c>
      <c r="N115" s="132" t="str">
        <f aca="false">IF($J97=$A$146,"(1+K1+K2)*(1+K3)","(1+AC + S + R + G)*(1 + DF)*(1+L)")</f>
        <v>(1+AC + S + R + G)*(1 + DF)*(1+L)</v>
      </c>
      <c r="O115" s="132"/>
      <c r="P115" s="132"/>
      <c r="Q115" s="133" t="s">
        <v>745</v>
      </c>
      <c r="R115" s="130"/>
      <c r="S115" s="130"/>
    </row>
    <row r="116" customFormat="false" ht="15" hidden="false" customHeight="false" outlineLevel="0" collapsed="false">
      <c r="I116" s="0" t="str">
        <f aca="false">IF($S$109=0,"","F")</f>
        <v/>
      </c>
      <c r="J116" s="130"/>
      <c r="K116" s="130"/>
      <c r="L116" s="130"/>
      <c r="M116" s="131"/>
      <c r="N116" s="134" t="s">
        <v>746</v>
      </c>
      <c r="O116" s="134"/>
      <c r="P116" s="134"/>
      <c r="Q116" s="133"/>
      <c r="R116" s="130"/>
      <c r="S116" s="130"/>
    </row>
    <row r="117" customFormat="false" ht="15" hidden="false" customHeight="true" outlineLevel="0" collapsed="false">
      <c r="I117" s="0" t="str">
        <f aca="false">IF($S$109=0,"","F")</f>
        <v/>
      </c>
      <c r="J117" s="130"/>
      <c r="K117" s="130"/>
      <c r="L117" s="130"/>
      <c r="M117" s="151"/>
      <c r="N117" s="152"/>
      <c r="O117" s="152"/>
      <c r="P117" s="152"/>
      <c r="Q117" s="153"/>
      <c r="R117" s="130"/>
      <c r="S117" s="130"/>
    </row>
    <row r="118" customFormat="false" ht="49.5" hidden="false" customHeight="true" outlineLevel="0" collapsed="false">
      <c r="I118" s="0" t="str">
        <f aca="false">IF($S$109=0,"","F")</f>
        <v/>
      </c>
      <c r="J118" s="136" t="str">
        <f aca="false">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136"/>
      <c r="L118" s="136"/>
      <c r="M118" s="136"/>
      <c r="N118" s="136"/>
      <c r="O118" s="136"/>
      <c r="P118" s="136"/>
      <c r="Q118" s="136"/>
      <c r="R118" s="136"/>
      <c r="S118" s="136"/>
    </row>
    <row r="119" customFormat="false" ht="12.75" hidden="false" customHeight="false" outlineLevel="0" collapsed="false">
      <c r="I119" s="0" t="str">
        <f aca="false">IF($S$109=0,"","F")</f>
        <v/>
      </c>
    </row>
    <row r="120" customFormat="false" ht="49.5" hidden="false" customHeight="true" outlineLevel="0" collapsed="false">
      <c r="I120" s="0" t="str">
        <f aca="false">IF($S$109=0,"","F")</f>
        <v/>
      </c>
      <c r="J120" s="136" t="str">
        <f aca="true" t="array" ref="J120:J120">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136"/>
      <c r="L120" s="136"/>
      <c r="M120" s="136"/>
      <c r="N120" s="136"/>
      <c r="O120" s="136"/>
      <c r="P120" s="136"/>
      <c r="Q120" s="136"/>
      <c r="R120" s="136"/>
      <c r="S120" s="136"/>
    </row>
    <row r="121" customFormat="false" ht="12.75" hidden="false" customHeight="false" outlineLevel="0" collapsed="false">
      <c r="I121" s="0" t="str">
        <f aca="false">IF($S$109=0,"","F")</f>
        <v/>
      </c>
    </row>
    <row r="122" customFormat="false" ht="12.75" hidden="false" customHeight="false" outlineLevel="0" collapsed="false">
      <c r="I122" s="0" t="str">
        <f aca="false">IF($S$109=0,"","F")</f>
        <v/>
      </c>
      <c r="J122" s="94" t="s">
        <v>749</v>
      </c>
    </row>
    <row r="123" customFormat="false" ht="109.5" hidden="false" customHeight="true" outlineLevel="0" collapsed="false">
      <c r="I123" s="0" t="str">
        <f aca="false">IF($S$109=0,"","F")</f>
        <v/>
      </c>
      <c r="J123" s="137"/>
      <c r="K123" s="137"/>
      <c r="L123" s="137"/>
      <c r="M123" s="137"/>
      <c r="N123" s="137"/>
      <c r="O123" s="137"/>
      <c r="P123" s="137"/>
      <c r="Q123" s="137"/>
      <c r="R123" s="137"/>
      <c r="S123" s="137"/>
    </row>
    <row r="124" customFormat="false" ht="12.75" hidden="false" customHeight="false" outlineLevel="0" collapsed="false">
      <c r="I124" s="0" t="str">
        <f aca="false">IF($S$109=0,"","F")</f>
        <v/>
      </c>
    </row>
    <row r="125" customFormat="false" ht="12.75" hidden="false" customHeight="false" outlineLevel="0" collapsed="false">
      <c r="I125" s="0" t="str">
        <f aca="false">IF($S$109=0,"","F")</f>
        <v/>
      </c>
      <c r="J125" s="138" t="n">
        <f aca="false">Import.Município</f>
        <v>0</v>
      </c>
      <c r="K125" s="138"/>
      <c r="L125" s="138"/>
      <c r="M125" s="138"/>
      <c r="P125" s="139" t="n">
        <f aca="false">DADOS!$C$25</f>
        <v>45991</v>
      </c>
      <c r="Q125" s="139"/>
      <c r="R125" s="139"/>
      <c r="S125" s="139"/>
    </row>
    <row r="126" customFormat="false" ht="12.75" hidden="false" customHeight="false" outlineLevel="0" collapsed="false">
      <c r="I126" s="0" t="str">
        <f aca="false">IF($S$109=0,"","F")</f>
        <v/>
      </c>
      <c r="J126" s="140" t="s">
        <v>753</v>
      </c>
      <c r="K126" s="140"/>
      <c r="L126" s="140"/>
      <c r="M126" s="140"/>
      <c r="O126" s="141"/>
      <c r="P126" s="142" t="s">
        <v>754</v>
      </c>
      <c r="Q126" s="143"/>
      <c r="R126" s="143"/>
      <c r="S126" s="143"/>
    </row>
    <row r="127" customFormat="false" ht="30" hidden="false" customHeight="true" outlineLevel="0" collapsed="false">
      <c r="I127" s="0" t="str">
        <f aca="false">IF($S$109=0,"","F")</f>
        <v/>
      </c>
    </row>
    <row r="128" customFormat="false" ht="13.8" hidden="false" customHeight="false" outlineLevel="0" collapsed="false">
      <c r="I128" s="0" t="str">
        <f aca="false">IF($S$109=0,"","F")</f>
        <v/>
      </c>
      <c r="J128" s="144"/>
      <c r="K128" s="144"/>
      <c r="L128" s="144"/>
      <c r="M128" s="144"/>
      <c r="N128" s="145"/>
    </row>
    <row r="129" customFormat="false" ht="12.75" hidden="false" customHeight="false" outlineLevel="0" collapsed="false">
      <c r="I129" s="0" t="str">
        <f aca="false">IF($S$109=0,"","F")</f>
        <v/>
      </c>
      <c r="J129" s="146" t="s">
        <v>756</v>
      </c>
      <c r="K129" s="146"/>
      <c r="L129" s="146"/>
      <c r="M129" s="146"/>
    </row>
    <row r="130" customFormat="false" ht="13.8" hidden="false" customHeight="false" outlineLevel="0" collapsed="false">
      <c r="I130" s="0" t="str">
        <f aca="false">IF($S$109=0,"","F")</f>
        <v/>
      </c>
      <c r="J130" s="147" t="s">
        <v>295</v>
      </c>
      <c r="K130" s="148" t="str">
        <f aca="false" t="array" ref="K130:K132">Import.RespOrçamento</f>
        <v>ANA PAULA MESQUITA CICHOWSI</v>
      </c>
      <c r="L130" s="149"/>
      <c r="M130" s="149"/>
      <c r="N130" s="145"/>
    </row>
    <row r="131" customFormat="false" ht="13.8" hidden="false" customHeight="false" outlineLevel="0" collapsed="false">
      <c r="I131" s="0" t="str">
        <f aca="false">IF($S$109=0,"","F")</f>
        <v/>
      </c>
      <c r="J131" s="147" t="s">
        <v>299</v>
      </c>
      <c r="K131" s="148" t="str">
        <v>RS 207.916</v>
      </c>
      <c r="L131" s="149"/>
      <c r="M131" s="149"/>
      <c r="N131" s="145"/>
    </row>
    <row r="132" customFormat="false" ht="13.8" hidden="false" customHeight="false" outlineLevel="0" collapsed="false">
      <c r="I132" s="0" t="str">
        <f aca="false">IF($S$109=0,"","F")</f>
        <v/>
      </c>
      <c r="J132" s="147" t="s">
        <v>303</v>
      </c>
      <c r="K132" s="148" t="n">
        <v>0</v>
      </c>
      <c r="L132" s="149"/>
      <c r="M132" s="149"/>
      <c r="N132" s="145"/>
    </row>
    <row r="138" customFormat="false" ht="12.75" hidden="false" customHeight="false" outlineLevel="0" collapsed="false">
      <c r="A138" s="94" t="s">
        <v>140</v>
      </c>
    </row>
    <row r="139" customFormat="false" ht="12.75" hidden="false" customHeight="false" outlineLevel="0" collapsed="false">
      <c r="A139" s="94" t="s">
        <v>703</v>
      </c>
    </row>
    <row r="140" customFormat="false" ht="12.75" hidden="false" customHeight="false" outlineLevel="0" collapsed="false">
      <c r="A140" s="94" t="s">
        <v>716</v>
      </c>
    </row>
    <row r="141" customFormat="false" ht="12.75" hidden="false" customHeight="false" outlineLevel="0" collapsed="false">
      <c r="A141" s="94" t="s">
        <v>720</v>
      </c>
    </row>
    <row r="142" customFormat="false" ht="12.75" hidden="false" customHeight="false" outlineLevel="0" collapsed="false">
      <c r="A142" s="94" t="s">
        <v>730</v>
      </c>
    </row>
    <row r="143" customFormat="false" ht="12.75" hidden="false" customHeight="false" outlineLevel="0" collapsed="false">
      <c r="A143" s="94" t="s">
        <v>733</v>
      </c>
    </row>
    <row r="144" customFormat="false" ht="12.75" hidden="false" customHeight="false" outlineLevel="0" collapsed="false">
      <c r="A144" s="94" t="s">
        <v>742</v>
      </c>
    </row>
    <row r="145" customFormat="false" ht="12.75" hidden="false" customHeight="false" outlineLevel="0" collapsed="false">
      <c r="A145" s="94" t="s">
        <v>747</v>
      </c>
    </row>
    <row r="146" customFormat="false" ht="12.75" hidden="false" customHeight="false" outlineLevel="0" collapsed="false">
      <c r="A146" s="94" t="s">
        <v>750</v>
      </c>
    </row>
  </sheetData>
  <sheetProtection algorithmName="SHA-512" hashValue="Fi+1GNeVxhQZiAqbu1Kb7FwY7JZYFTOjtP3DwjFrPA6MChYEDb2uWP5YWtX1zpex4c8G2hi7QYuEBZ7chR74lw==" saltValue="TDudzcuZ1r6v65kz4TZiuQ==" spinCount="100000" sheet="true" objects="true" scenarios="true" autoFilter="false"/>
  <autoFilter ref="I11:I132"/>
  <mergeCells count="144">
    <mergeCell ref="R1:S1"/>
    <mergeCell ref="R2:S2"/>
    <mergeCell ref="J4:K4"/>
    <mergeCell ref="L4:M4"/>
    <mergeCell ref="N4:S4"/>
    <mergeCell ref="J5:K5"/>
    <mergeCell ref="L5:M5"/>
    <mergeCell ref="N5:S5"/>
    <mergeCell ref="I6:I10"/>
    <mergeCell ref="J7:S7"/>
    <mergeCell ref="J8:S8"/>
    <mergeCell ref="J10:Q10"/>
    <mergeCell ref="R10:S10"/>
    <mergeCell ref="J11:Q11"/>
    <mergeCell ref="R11:S11"/>
    <mergeCell ref="J14:S14"/>
    <mergeCell ref="J16:S16"/>
    <mergeCell ref="J17:S17"/>
    <mergeCell ref="J19:Q20"/>
    <mergeCell ref="R19:R20"/>
    <mergeCell ref="S19:S20"/>
    <mergeCell ref="U19:W20"/>
    <mergeCell ref="X19:X20"/>
    <mergeCell ref="Y19:Y20"/>
    <mergeCell ref="Z19:Z20"/>
    <mergeCell ref="J21:Q21"/>
    <mergeCell ref="U21:W21"/>
    <mergeCell ref="J22:Q22"/>
    <mergeCell ref="U22:W22"/>
    <mergeCell ref="J23:Q23"/>
    <mergeCell ref="U23:W23"/>
    <mergeCell ref="J24:Q24"/>
    <mergeCell ref="U24:W24"/>
    <mergeCell ref="J25:Q25"/>
    <mergeCell ref="U25:W25"/>
    <mergeCell ref="J26:Q26"/>
    <mergeCell ref="U26:W26"/>
    <mergeCell ref="J27:Q27"/>
    <mergeCell ref="U27:W27"/>
    <mergeCell ref="J28:Q28"/>
    <mergeCell ref="U28:W28"/>
    <mergeCell ref="J29:Q29"/>
    <mergeCell ref="U29:W29"/>
    <mergeCell ref="J30:Q30"/>
    <mergeCell ref="K32:S32"/>
    <mergeCell ref="J34:S34"/>
    <mergeCell ref="M35:M36"/>
    <mergeCell ref="N35:P35"/>
    <mergeCell ref="Q35:Q36"/>
    <mergeCell ref="N36:P36"/>
    <mergeCell ref="J38:S38"/>
    <mergeCell ref="J40:S40"/>
    <mergeCell ref="J43:S43"/>
    <mergeCell ref="J45:M45"/>
    <mergeCell ref="P45:S45"/>
    <mergeCell ref="J46:M46"/>
    <mergeCell ref="J48:M48"/>
    <mergeCell ref="J49:M49"/>
    <mergeCell ref="J54:S54"/>
    <mergeCell ref="J56:S56"/>
    <mergeCell ref="J57:S57"/>
    <mergeCell ref="J59:Q60"/>
    <mergeCell ref="R59:R60"/>
    <mergeCell ref="S59:S60"/>
    <mergeCell ref="U59:W60"/>
    <mergeCell ref="X59:X60"/>
    <mergeCell ref="Y59:Y60"/>
    <mergeCell ref="Z59:Z60"/>
    <mergeCell ref="J61:Q61"/>
    <mergeCell ref="U61:W61"/>
    <mergeCell ref="J62:Q62"/>
    <mergeCell ref="U62:W62"/>
    <mergeCell ref="J63:Q63"/>
    <mergeCell ref="U63:W63"/>
    <mergeCell ref="J64:Q64"/>
    <mergeCell ref="U64:W64"/>
    <mergeCell ref="J65:Q65"/>
    <mergeCell ref="U65:W65"/>
    <mergeCell ref="J66:Q66"/>
    <mergeCell ref="U66:W66"/>
    <mergeCell ref="J67:Q67"/>
    <mergeCell ref="U67:W67"/>
    <mergeCell ref="J68:Q68"/>
    <mergeCell ref="U68:W68"/>
    <mergeCell ref="J69:Q69"/>
    <mergeCell ref="U69:W69"/>
    <mergeCell ref="J70:Q70"/>
    <mergeCell ref="K72:S72"/>
    <mergeCell ref="J74:S74"/>
    <mergeCell ref="M75:M76"/>
    <mergeCell ref="N75:P75"/>
    <mergeCell ref="Q75:Q76"/>
    <mergeCell ref="N76:P76"/>
    <mergeCell ref="J78:S78"/>
    <mergeCell ref="J80:S80"/>
    <mergeCell ref="J83:S83"/>
    <mergeCell ref="J85:M85"/>
    <mergeCell ref="P85:S85"/>
    <mergeCell ref="J86:M86"/>
    <mergeCell ref="J88:M88"/>
    <mergeCell ref="J89:M89"/>
    <mergeCell ref="J94:S94"/>
    <mergeCell ref="J96:S96"/>
    <mergeCell ref="J97:S97"/>
    <mergeCell ref="J99:Q100"/>
    <mergeCell ref="R99:R100"/>
    <mergeCell ref="S99:S100"/>
    <mergeCell ref="U99:W100"/>
    <mergeCell ref="X99:X100"/>
    <mergeCell ref="Y99:Y100"/>
    <mergeCell ref="Z99:Z100"/>
    <mergeCell ref="J101:Q101"/>
    <mergeCell ref="U101:W101"/>
    <mergeCell ref="J102:Q102"/>
    <mergeCell ref="U102:W102"/>
    <mergeCell ref="J103:Q103"/>
    <mergeCell ref="U103:W103"/>
    <mergeCell ref="J104:Q104"/>
    <mergeCell ref="U104:W104"/>
    <mergeCell ref="J105:Q105"/>
    <mergeCell ref="U105:W105"/>
    <mergeCell ref="J106:Q106"/>
    <mergeCell ref="U106:W106"/>
    <mergeCell ref="J107:Q107"/>
    <mergeCell ref="U107:W107"/>
    <mergeCell ref="J108:Q108"/>
    <mergeCell ref="U108:W108"/>
    <mergeCell ref="J109:Q109"/>
    <mergeCell ref="U109:W109"/>
    <mergeCell ref="J110:Q110"/>
    <mergeCell ref="K112:S112"/>
    <mergeCell ref="J114:S114"/>
    <mergeCell ref="M115:M116"/>
    <mergeCell ref="N115:P115"/>
    <mergeCell ref="Q115:Q116"/>
    <mergeCell ref="N116:P116"/>
    <mergeCell ref="J118:S118"/>
    <mergeCell ref="J120:S120"/>
    <mergeCell ref="J123:S123"/>
    <mergeCell ref="J125:M125"/>
    <mergeCell ref="P125:S125"/>
    <mergeCell ref="J126:M126"/>
    <mergeCell ref="J128:M128"/>
    <mergeCell ref="J129:M129"/>
  </mergeCells>
  <conditionalFormatting sqref="U21:W28 U61:W68 U101:W108">
    <cfRule type="cellIs" priority="2" operator="notEqual" aboveAverage="0" equalAverage="0" bottom="0" percent="0" rank="0" text="" dxfId="9">
      <formula>"OK"</formula>
    </cfRule>
  </conditionalFormatting>
  <conditionalFormatting sqref="S101:S106">
    <cfRule type="expression" priority="3" aboveAverage="0" equalAverage="0" bottom="0" percent="0" rank="0" text="" dxfId="10">
      <formula>$J$97=$A$145</formula>
    </cfRule>
  </conditionalFormatting>
  <conditionalFormatting sqref="J103:S104">
    <cfRule type="expression" priority="4" aboveAverage="0" equalAverage="0" bottom="0" percent="0" rank="0" text="" dxfId="11">
      <formula>$J$97=$A$146</formula>
    </cfRule>
  </conditionalFormatting>
  <conditionalFormatting sqref="S61:S66">
    <cfRule type="expression" priority="5" aboveAverage="0" equalAverage="0" bottom="0" percent="0" rank="0" text="" dxfId="12">
      <formula>$J$57=$A$145</formula>
    </cfRule>
  </conditionalFormatting>
  <conditionalFormatting sqref="J63:S64">
    <cfRule type="expression" priority="6" aboveAverage="0" equalAverage="0" bottom="0" percent="0" rank="0" text="" dxfId="13">
      <formula>$J$57=$A$146</formula>
    </cfRule>
  </conditionalFormatting>
  <conditionalFormatting sqref="S21:S26">
    <cfRule type="expression" priority="7" aboveAverage="0" equalAverage="0" bottom="0" percent="0" rank="0" text="" dxfId="14">
      <formula>$J$17=$A$145</formula>
    </cfRule>
  </conditionalFormatting>
  <conditionalFormatting sqref="J23:S24">
    <cfRule type="expression" priority="8" aboveAverage="0" equalAverage="0" bottom="0" percent="0" rank="0" text="" dxfId="15">
      <formula>$J$17=$A$146</formula>
    </cfRule>
  </conditionalFormatting>
  <conditionalFormatting sqref="J30:S30 J70:S70 J110:S110">
    <cfRule type="expression" priority="9" aboveAverage="0" equalAverage="0" bottom="0" percent="0" rank="0" text="" dxfId="16">
      <formula>DESONERACAO="não"</formula>
    </cfRule>
  </conditionalFormatting>
  <conditionalFormatting sqref="U69:W69 U29:W29 U109:W109">
    <cfRule type="expression" priority="10" aboveAverage="0" equalAverage="0" bottom="0" percent="0" rank="0" text="" dxfId="17">
      <formula>AND(U29&lt;&gt;"OK",U29&lt;&gt;"-",U29&lt;&gt;"")</formula>
    </cfRule>
    <cfRule type="cellIs" priority="11" operator="equal" aboveAverage="0" equalAverage="0" bottom="0" percent="0" rank="0" text="" dxfId="18">
      <formula>"OK"</formula>
    </cfRule>
  </conditionalFormatting>
  <conditionalFormatting sqref="S29 S69 S109">
    <cfRule type="expression" priority="12" aboveAverage="0" equalAverage="0" bottom="0" percent="0" rank="0" text="" dxfId="19">
      <formula>DESONERACAO="não"</formula>
    </cfRule>
  </conditionalFormatting>
  <dataValidations count="6">
    <dataValidation allowBlank="true" error="Digite um valor entre 0% e 100%" errorStyle="stop" errorTitle="Erro de valores" operator="between" showDropDown="false" showErrorMessage="true" showInputMessage="false" sqref="S21:S26 S61:S66 S101:S106" type="decimal">
      <formula1>0</formula1>
      <formula2>1</formula2>
    </dataValidation>
    <dataValidation allowBlank="true" error="Digite um valor maior do que 0." errorStyle="stop" errorTitle="Erro de valores" operator="between" showDropDown="false" showErrorMessage="true" showInputMessage="false" sqref="S27 S67 S107" type="decimal">
      <formula1>0</formula1>
      <formula2>1</formula2>
    </dataValidation>
    <dataValidation allowBlank="true" error="Digite um valor igual a 0% ou 2%." errorStyle="stop" errorTitle="Erro de valores" operator="greaterThanOrEqual" showDropDown="false" showErrorMessage="true" showInputMessage="false" sqref="S28 S68 S108" type="none">
      <formula1>0</formula1>
      <formula2>0</formula2>
    </dataValidation>
    <dataValidation allowBlank="true" error="Digite um percentual entre 2% e 5%." errorStyle="stop" errorTitle="Valor não permitido" operator="between" prompt="Entre 2 e 5%." promptTitle="Valores comuns:" showDropDown="false" showErrorMessage="true" showInputMessage="true" sqref="R11:S11" type="decimal">
      <formula1>0.02</formula1>
      <formula2>0.05</formula2>
    </dataValidation>
    <dataValidation allowBlank="true" error="Digite um percentual entre 0% e 100%." errorStyle="stop" errorTitle="Valor não permitido" operator="between" prompt="Insira valores entre 0 e 100%." promptTitle="Valores admissíveis:" showDropDown="false" showErrorMessage="true" showInputMessage="true" sqref="R10:S10" type="decimal">
      <formula1>0</formula1>
      <formula2>1</formula2>
    </dataValidation>
    <dataValidation allowBlank="true" errorStyle="stop" operator="between" showDropDown="false" showErrorMessage="true" showInputMessage="false" sqref="J17:S17 J57:S57 J97:S97" type="list">
      <formula1>BDI.TipoObra</formula1>
      <formula2>0</formula2>
    </dataValidation>
  </dataValidations>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0" pageOrder="downThenOver" orientation="portrait" blackAndWhite="false" draft="false" cellComments="none" horizontalDpi="300" verticalDpi="300" copies="1"/>
  <headerFooter differentFirst="false" differentOddEven="false">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N1038"/>
  <sheetViews>
    <sheetView showFormulas="false" showGridLines="false" showRowColHeaders="true" showZeros="true" rightToLeft="false" tabSelected="true" showOutlineSymbols="true" defaultGridColor="true" view="normal" topLeftCell="A1" colorId="64" zoomScale="85" zoomScaleNormal="85" zoomScalePageLayoutView="90" workbookViewId="0">
      <pane xSplit="19" ySplit="15" topLeftCell="T16" activePane="bottomRight" state="frozen"/>
      <selection pane="topLeft" activeCell="A1" activeCellId="0" sqref="A1"/>
      <selection pane="topRight" activeCell="T1" activeCellId="0" sqref="T1"/>
      <selection pane="bottomLeft" activeCell="A16" activeCellId="0" sqref="A16"/>
      <selection pane="bottomRight" activeCell="A1" activeCellId="0" sqref="A1"/>
    </sheetView>
  </sheetViews>
  <sheetFormatPr defaultColWidth="8.6796875" defaultRowHeight="12.75" customHeight="false" zeroHeight="false" outlineLevelRow="0" outlineLevelCol="0"/>
  <cols>
    <col collapsed="false" customWidth="true" hidden="true" outlineLevel="0" max="1" min="1" style="0" width="5.57"/>
    <col collapsed="false" customWidth="true" hidden="true" outlineLevel="0" max="2" min="2" style="0" width="10.42"/>
    <col collapsed="false" customWidth="true" hidden="true" outlineLevel="0" max="3" min="3" style="0" width="5.57"/>
    <col collapsed="false" customWidth="true" hidden="true" outlineLevel="0" max="4" min="4" style="0" width="12.86"/>
    <col collapsed="false" customWidth="true" hidden="true" outlineLevel="0" max="5" min="5" style="0" width="8.57"/>
    <col collapsed="false" customWidth="true" hidden="true" outlineLevel="0" max="6" min="6" style="0" width="12.42"/>
    <col collapsed="false" customWidth="true" hidden="true" outlineLevel="0" max="7" min="7" style="0" width="14.57"/>
    <col collapsed="false" customWidth="true" hidden="true" outlineLevel="0" max="8" min="8" style="0" width="11.43"/>
    <col collapsed="false" customWidth="true" hidden="true" outlineLevel="0" max="9" min="9" style="0" width="13.42"/>
    <col collapsed="false" customWidth="true" hidden="true" outlineLevel="0" max="10" min="10" style="0" width="7.42"/>
    <col collapsed="false" customWidth="true" hidden="true" outlineLevel="0" max="11" min="11" style="0" width="7.57"/>
    <col collapsed="false" customWidth="true" hidden="false" outlineLevel="0" max="12" min="12" style="0" width="3.57"/>
    <col collapsed="false" customWidth="true" hidden="false" outlineLevel="0" max="14" min="13" style="0" width="8.57"/>
    <col collapsed="false" customWidth="true" hidden="false" outlineLevel="0" max="15" min="15" style="0" width="12.57"/>
    <col collapsed="false" customWidth="true" hidden="false" outlineLevel="0" max="17" min="16" style="0" width="15.57"/>
    <col collapsed="false" customWidth="true" hidden="false" outlineLevel="0" max="18" min="18" style="0" width="65.57"/>
    <col collapsed="false" customWidth="true" hidden="false" outlineLevel="0" max="19" min="19" style="0" width="10.57"/>
    <col collapsed="false" customWidth="true" hidden="false" outlineLevel="0" max="21" min="20" style="0" width="14.57"/>
    <col collapsed="false" customWidth="true" hidden="false" outlineLevel="0" max="22" min="22" style="0" width="10.57"/>
    <col collapsed="false" customWidth="true" hidden="false" outlineLevel="0" max="23" min="23" style="0" width="14.57"/>
    <col collapsed="false" customWidth="true" hidden="false" outlineLevel="0" max="24" min="24" style="0" width="15.57"/>
    <col collapsed="false" customWidth="true" hidden="false" outlineLevel="0" max="25" min="25" style="0" width="3.57"/>
    <col collapsed="false" customWidth="true" hidden="true" outlineLevel="0" max="26" min="26" style="0" width="3.57"/>
    <col collapsed="false" customWidth="true" hidden="true" outlineLevel="0" max="28" min="27" style="0" width="14.57"/>
    <col collapsed="false" customWidth="true" hidden="false" outlineLevel="0" max="29" min="29" style="0" width="15.57"/>
    <col collapsed="false" customWidth="true" hidden="true" outlineLevel="0" max="31" min="30" style="0" width="9.14"/>
    <col collapsed="false" customWidth="true" hidden="true" outlineLevel="0" max="32" min="32" style="0" width="15.57"/>
    <col collapsed="false" customWidth="true" hidden="false" outlineLevel="0" max="33" min="33" style="0" width="15.57"/>
    <col collapsed="false" customWidth="true" hidden="false" outlineLevel="0" max="35" min="35" style="0" width="1.57"/>
    <col collapsed="false" customWidth="true" hidden="false" outlineLevel="0" max="36" min="36" style="0" width="14.57"/>
    <col collapsed="false" customWidth="true" hidden="false" outlineLevel="0" max="37" min="37" style="0" width="1.57"/>
    <col collapsed="false" customWidth="true" hidden="false" outlineLevel="0" max="38" min="38" style="0" width="14.57"/>
    <col collapsed="false" customWidth="true" hidden="false" outlineLevel="0" max="40" min="39" style="0" width="15.57"/>
  </cols>
  <sheetData>
    <row r="1" customFormat="false" ht="17.35" hidden="false" customHeight="false" outlineLevel="0" collapsed="false">
      <c r="M1" s="154"/>
      <c r="N1" s="154"/>
      <c r="R1" s="155" t="s">
        <v>759</v>
      </c>
      <c r="T1" s="155"/>
      <c r="X1" s="97" t="s">
        <v>702</v>
      </c>
      <c r="Y1" s="48"/>
      <c r="Z1" s="48"/>
      <c r="AA1" s="48"/>
      <c r="AB1" s="48"/>
    </row>
    <row r="2" customFormat="false" ht="15" hidden="false" customHeight="false" outlineLevel="0" collapsed="false">
      <c r="D2" s="156" t="s">
        <v>760</v>
      </c>
      <c r="E2" s="156" t="s">
        <v>761</v>
      </c>
      <c r="F2" s="156" t="s">
        <v>762</v>
      </c>
      <c r="G2" s="156" t="s">
        <v>763</v>
      </c>
      <c r="H2" s="156" t="s">
        <v>764</v>
      </c>
      <c r="I2" s="156" t="s">
        <v>765</v>
      </c>
      <c r="R2" s="157" t="str">
        <f aca="false" t="array" ref="R2:R2">IF(TIPOORCAMENTO="licitado","Orçamento Licitado","Orçamento Base para Licitação")&amp;" - "&amp;import.recurso</f>
        <v>Orçamento Base para Licitação - (SELECIONAR)</v>
      </c>
      <c r="X2" s="58" t="s">
        <v>705</v>
      </c>
      <c r="Y2" s="60"/>
      <c r="Z2" s="60"/>
      <c r="AA2" s="60"/>
      <c r="AB2" s="60"/>
    </row>
    <row r="3" customFormat="false" ht="12.75" hidden="false" customHeight="false" outlineLevel="0" collapsed="false">
      <c r="D3" s="48"/>
      <c r="E3" s="156" t="s">
        <v>766</v>
      </c>
      <c r="F3" s="156" t="s">
        <v>767</v>
      </c>
      <c r="G3" s="156" t="s">
        <v>768</v>
      </c>
      <c r="H3" s="156" t="s">
        <v>769</v>
      </c>
      <c r="I3" s="156" t="s">
        <v>770</v>
      </c>
      <c r="R3" s="15"/>
    </row>
    <row r="4" customFormat="false" ht="12.75" hidden="false" customHeight="false" outlineLevel="0" collapsed="false">
      <c r="A4" s="158" t="s">
        <v>771</v>
      </c>
      <c r="D4" s="48"/>
      <c r="E4" s="48"/>
      <c r="F4" s="156" t="s">
        <v>721</v>
      </c>
      <c r="G4" s="156" t="s">
        <v>757</v>
      </c>
      <c r="H4" s="156" t="s">
        <v>758</v>
      </c>
      <c r="I4" s="159" t="n">
        <v>0</v>
      </c>
      <c r="O4" s="100" t="s">
        <v>708</v>
      </c>
      <c r="P4" s="100"/>
      <c r="Q4" s="160" t="s">
        <v>772</v>
      </c>
      <c r="R4" s="160" t="s">
        <v>710</v>
      </c>
      <c r="S4" s="100" t="s">
        <v>773</v>
      </c>
      <c r="T4" s="100"/>
      <c r="U4" s="100"/>
      <c r="V4" s="100"/>
      <c r="W4" s="100"/>
      <c r="X4" s="100"/>
      <c r="Y4" s="147"/>
      <c r="Z4" s="147"/>
      <c r="AA4" s="147"/>
      <c r="AB4" s="147"/>
    </row>
    <row r="5" customFormat="false" ht="12.75" hidden="false" customHeight="true" outlineLevel="0" collapsed="false">
      <c r="A5" s="161" t="n">
        <f aca="false">MAX($C$15:$C$21)</f>
        <v>2</v>
      </c>
      <c r="B5" s="48"/>
      <c r="C5" s="48"/>
      <c r="D5" s="48"/>
      <c r="E5" s="48"/>
      <c r="F5" s="159" t="n">
        <f aca="false">IF(BDI.Opcao="DESONERADO",BDI!$S$30,BDI!$S$29)</f>
        <v>0.2558</v>
      </c>
      <c r="G5" s="159" t="n">
        <f aca="false">IF(BDI.Opcao="DESONERADO",BDI!$S$70,BDI!$S$69)</f>
        <v>0</v>
      </c>
      <c r="H5" s="159" t="n">
        <f aca="false">IF(BDI.Opcao="DESONERADO",BDI!$S$110,BDI!$S$109)</f>
        <v>0</v>
      </c>
      <c r="I5" s="48"/>
      <c r="O5" s="101" t="n">
        <f aca="false">Import.CR</f>
        <v>0</v>
      </c>
      <c r="P5" s="101"/>
      <c r="Q5" s="162" t="n">
        <f aca="false">Import.TransfereGOV</f>
        <v>0</v>
      </c>
      <c r="R5" s="163" t="n">
        <f aca="false">Import.Proponente</f>
        <v>0</v>
      </c>
      <c r="S5" s="101" t="str">
        <f aca="false">Import.Apelido</f>
        <v>REVITALIZAÇÃO DIVERSAS RUAS</v>
      </c>
      <c r="T5" s="101"/>
      <c r="U5" s="101"/>
      <c r="V5" s="101"/>
      <c r="W5" s="101"/>
      <c r="X5" s="101"/>
      <c r="Y5" s="164"/>
      <c r="Z5" s="164"/>
      <c r="AA5" s="164"/>
      <c r="AB5" s="164"/>
      <c r="AE5" s="156" t="s">
        <v>137</v>
      </c>
      <c r="AF5" s="156"/>
    </row>
    <row r="6" customFormat="false" ht="4.5" hidden="false" customHeight="true" outlineLevel="0" collapsed="false">
      <c r="A6" s="48"/>
      <c r="B6" s="48"/>
      <c r="C6" s="48"/>
      <c r="D6" s="48"/>
      <c r="E6" s="48"/>
      <c r="F6" s="48"/>
      <c r="G6" s="48"/>
      <c r="H6" s="165"/>
      <c r="I6" s="48"/>
      <c r="O6" s="166"/>
      <c r="P6" s="166"/>
      <c r="Q6" s="167"/>
      <c r="R6" s="167"/>
      <c r="S6" s="166"/>
      <c r="T6" s="166"/>
      <c r="U6" s="166"/>
      <c r="V6" s="166"/>
      <c r="W6" s="166"/>
      <c r="X6" s="166"/>
      <c r="Y6" s="164"/>
      <c r="Z6" s="164"/>
      <c r="AA6" s="164"/>
      <c r="AB6" s="164"/>
      <c r="AC6" s="168"/>
      <c r="AE6" s="169"/>
      <c r="AF6" s="170"/>
    </row>
    <row r="7" customFormat="false" ht="12.75" hidden="false" customHeight="true" outlineLevel="0" collapsed="false">
      <c r="D7" s="48"/>
      <c r="E7" s="48"/>
      <c r="F7" s="156" t="s">
        <v>774</v>
      </c>
      <c r="G7" s="156" t="s">
        <v>775</v>
      </c>
      <c r="H7" s="156" t="s">
        <v>514</v>
      </c>
      <c r="I7" s="156" t="s">
        <v>776</v>
      </c>
      <c r="O7" s="100" t="s">
        <v>777</v>
      </c>
      <c r="P7" s="100"/>
      <c r="Q7" s="160" t="s">
        <v>778</v>
      </c>
      <c r="R7" s="160" t="str">
        <f aca="false" t="array" ref="R7:R7">IF(TIPOORCAMENTO="Licitado","NOME DA EMPRESA","DESCRIÇÃO DO LOTE")</f>
        <v>DESCRIÇÃO DO LOTE</v>
      </c>
      <c r="S7" s="171" t="str">
        <f aca="false" t="array" ref="S7:S7">IF(TIPOORCAMENTO="Licitado","REGIME DE EXECUÇÃO","MUNICÍPIO / UF")</f>
        <v>MUNICÍPIO / UF</v>
      </c>
      <c r="T7" s="171"/>
      <c r="U7" s="171"/>
      <c r="V7" s="172" t="str">
        <f aca="false" t="array" ref="V7:V7">IF(TIPOORCAMENTO="Licitado","","BDI 1")</f>
        <v>BDI 1</v>
      </c>
      <c r="W7" s="172" t="str">
        <f aca="false" t="array" ref="W7:W7">IF(TIPOORCAMENTO="Licitado","","BDI 2")</f>
        <v>BDI 2</v>
      </c>
      <c r="X7" s="173" t="str">
        <f aca="false" t="array" ref="X7:X7">IF(TIPOORCAMENTO="Licitado","Nº CTEF","BDI 3")</f>
        <v>BDI 3</v>
      </c>
      <c r="Y7" s="172"/>
      <c r="Z7" s="172"/>
      <c r="AC7" s="108" t="str">
        <f aca="false">IF(COUNTIFS($L$15:$L$21,"F",$AC$15:$AC$21,"JUSTIFICAR BDI")&gt;0,"JUSTIFICAR BDI","")</f>
        <v/>
      </c>
      <c r="AE7" s="169" t="s">
        <v>779</v>
      </c>
      <c r="AF7" s="174" t="b">
        <f aca="false">TRUE()</f>
        <v>1</v>
      </c>
      <c r="AJ7" s="175" t="s">
        <v>780</v>
      </c>
      <c r="AL7" s="176" t="s">
        <v>781</v>
      </c>
    </row>
    <row r="8" customFormat="false" ht="12.75" hidden="false" customHeight="true" outlineLevel="0" collapsed="false">
      <c r="A8" s="48"/>
      <c r="B8" s="48"/>
      <c r="C8" s="48"/>
      <c r="E8" s="177" t="s">
        <v>782</v>
      </c>
      <c r="F8" s="178" t="str">
        <f aca="true" t="array" ref="F8:F8">IF(LEN(INFO("release"))&gt;5,"'Referência "&amp;Excel_BuiltIn_Database&amp;".xlsm'#Banco.$a5:$a$65536","'[Referência "&amp;Excel_BuiltIn_Database&amp;".xlsm]Banco'!$a5:$a$65536")</f>
        <v>'Referência 09-2025.xlsm'#Banco.$a5:$a$65536</v>
      </c>
      <c r="G8" s="178"/>
      <c r="H8" s="178"/>
      <c r="I8" s="178"/>
      <c r="J8" s="178"/>
      <c r="K8" s="178"/>
      <c r="L8" s="102" t="s">
        <v>713</v>
      </c>
      <c r="O8" s="101" t="str">
        <f aca="true" t="array" ref="O8:O8">IF(ISERROR(INDIRECT($F$9)),"(N/D: 'Referência "&amp;Excel_BuiltIn_Database&amp;".xlsm)",INDIRECT($F$9))</f>
        <v>(N/D: 'Referência 09-2025.xlsm)</v>
      </c>
      <c r="P8" s="101"/>
      <c r="Q8" s="179" t="str">
        <f aca="true" t="array" ref="Q8:Q8">TEXT(Import.DataBase,"mm-aa")&amp;IF(DESONERACAO="Sim"," (DES.)"," (N DES.)")</f>
        <v>09-25 (DES.)</v>
      </c>
      <c r="R8" s="163" t="str">
        <f aca="false" t="array" ref="R8:R8">IF(TIPOORCAMENTO="Licitado",Import.empresa,Import.DescLote)</f>
        <v>REVITALIZAÇÃO DIVERSAS RUAS</v>
      </c>
      <c r="S8" s="180" t="n">
        <f aca="true">IF(TIPOORCAMENTO="Licitado",Import.RegimeExecução,Import.Município)</f>
        <v>0</v>
      </c>
      <c r="T8" s="180"/>
      <c r="U8" s="180"/>
      <c r="V8" s="181" t="str">
        <f aca="false" t="array" ref="V8:V8">IF(TIPOORCAMENTO="Licitado","",TEXT(F5,"0,00%"))</f>
        <v>25,58%</v>
      </c>
      <c r="W8" s="181" t="str">
        <f aca="false" t="array" ref="W8:W8">IF(TIPOORCAMENTO="Licitado","",TEXT(G5,"0,00%"))</f>
        <v>0,00%</v>
      </c>
      <c r="X8" s="182" t="str">
        <f aca="false" t="array" ref="X8:X8">IF(TIPOORCAMENTO="Licitado",Import.CTEF,TEXT(H5,"0,00%"))</f>
        <v>0,00%</v>
      </c>
      <c r="Y8" s="102" t="s">
        <v>783</v>
      </c>
      <c r="Z8" s="102" t="s">
        <v>784</v>
      </c>
      <c r="AA8" s="183"/>
      <c r="AB8" s="183"/>
      <c r="AE8" s="169" t="s">
        <v>785</v>
      </c>
      <c r="AF8" s="174" t="b">
        <f aca="false">TRUE()</f>
        <v>1</v>
      </c>
      <c r="AJ8" s="175"/>
      <c r="AL8" s="176"/>
    </row>
    <row r="9" customFormat="false" ht="12.75" hidden="false" customHeight="true" outlineLevel="0" collapsed="false">
      <c r="E9" s="177" t="s">
        <v>786</v>
      </c>
      <c r="F9" s="178" t="str">
        <f aca="true" t="array" ref="F9:F9">IF(LEN(INFO("release"))&gt;5,"'Referência "&amp;Excel_BuiltIn_Database&amp;".xlsm'#Banco.$d$3","'[Referência "&amp;Excel_BuiltIn_Database&amp;".xlsm]Banco'!$d$3")</f>
        <v>'Referência 09-2025.xlsm'#Banco.$d$3</v>
      </c>
      <c r="G9" s="178"/>
      <c r="H9" s="178"/>
      <c r="I9" s="178"/>
      <c r="J9" s="178"/>
      <c r="K9" s="178"/>
      <c r="L9" s="102"/>
      <c r="T9" s="184" t="str">
        <f aca="false">IF(AND(Import.TipoArredondamento="TransfereGOV",$AF$7=FALSE()),"▼","")</f>
        <v/>
      </c>
      <c r="U9" s="184" t="str">
        <f aca="false">IF(AND(Import.TipoArredondamento="TransfereGOV",$AF$8=FALSE()),"▼","")</f>
        <v/>
      </c>
      <c r="V9" s="184" t="str">
        <f aca="false">IF(AND(Import.TipoArredondamento="TransfereGOV",$AF$9=FALSE()),"▼","")</f>
        <v/>
      </c>
      <c r="W9" s="184" t="str">
        <f aca="false">IF(AND(Import.TipoArredondamento="TransfereGOV",$AF$10=FALSE()),"▼","")</f>
        <v/>
      </c>
      <c r="X9" s="184" t="str">
        <f aca="false">IF(AND(Import.TipoArredondamento="TransfereGOV",$AF$11=FALSE()),"▼","")</f>
        <v/>
      </c>
      <c r="Y9" s="102"/>
      <c r="Z9" s="102"/>
      <c r="AE9" s="169" t="s">
        <v>23</v>
      </c>
      <c r="AF9" s="174" t="b">
        <f aca="false">TRUE()</f>
        <v>1</v>
      </c>
      <c r="AJ9" s="175"/>
      <c r="AL9" s="176"/>
    </row>
    <row r="10" customFormat="false" ht="12.75" hidden="false" customHeight="false" outlineLevel="0" collapsed="false">
      <c r="E10" s="177" t="s">
        <v>787</v>
      </c>
      <c r="F10" s="178" t="str">
        <f aca="true" t="array" ref="F10:F10">IF(LEN(INFO("release"))&gt;5,"'Referência "&amp;Excel_BuiltIn_Database&amp;".xlsm'#Banco.$B$3","'[Referência "&amp;Excel_BuiltIn_Database&amp;".xlsm]Banco'!$B$3")</f>
        <v>'Referência 09-2025.xlsm'#Banco.$B$3</v>
      </c>
      <c r="G10" s="178"/>
      <c r="H10" s="178"/>
      <c r="I10" s="178"/>
      <c r="J10" s="178"/>
      <c r="K10" s="178"/>
      <c r="L10" s="102"/>
      <c r="Y10" s="102"/>
      <c r="Z10" s="102"/>
      <c r="AC10" s="185" t="s">
        <v>788</v>
      </c>
      <c r="AE10" s="169" t="s">
        <v>789</v>
      </c>
      <c r="AF10" s="174" t="b">
        <f aca="false">TRUE()</f>
        <v>1</v>
      </c>
      <c r="AJ10" s="175"/>
      <c r="AL10" s="176"/>
    </row>
    <row r="11" customFormat="false" ht="12.75" hidden="false" customHeight="false" outlineLevel="0" collapsed="false">
      <c r="F11" s="169" t="str">
        <f aca="true" t="array" ref="F11:F11">IFERROR(INDIRECT(F10),"")</f>
        <v/>
      </c>
      <c r="G11" s="186" t="str">
        <f aca="true" t="array" ref="G11:G11">IFERROR(TEXT(Import.DataBase,"mm/aaaa"),"")</f>
        <v>09/2025</v>
      </c>
      <c r="H11" s="187"/>
      <c r="L11" s="102"/>
      <c r="Y11" s="102"/>
      <c r="Z11" s="102"/>
      <c r="AC11" s="188" t="str">
        <f aca="false">IF(COUNTIFS($L$15:$L$21,"F",$AC$15:$AC$21,"&lt;&gt;"&amp;" ",$AC$15:$AC$21,"&lt;&gt;"&amp;"JUSTIFICAR BDI")&gt;0,"NÃO OK","OK")</f>
        <v>OK</v>
      </c>
      <c r="AE11" s="169" t="s">
        <v>790</v>
      </c>
      <c r="AF11" s="174" t="b">
        <f aca="false">TRUE()</f>
        <v>1</v>
      </c>
      <c r="AJ11" s="175"/>
      <c r="AL11" s="176"/>
    </row>
    <row r="12" customFormat="false" ht="19.5" hidden="false" customHeight="true" outlineLevel="0" collapsed="false">
      <c r="G12" s="189"/>
      <c r="H12" s="189"/>
      <c r="L12" s="102"/>
      <c r="O12" s="190" t="str">
        <f aca="true" t="array" ref="O12:O12">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IF(COUNTIF($AC$15:$AC$21,"FONTE")&gt;0,"Falta preencher a Fonte (coluna P) na Linha "&amp;(14+MATCH("FONTE",$AC$15:$AC$21,0)),
 IF(COUNTIF($AC$15:$AC$21,"CÓDIGO")&gt;0,"Falta preencher o Código (coluna Q) na Linha "&amp;(14+MATCH("CÓDIGO",$AC$15:$AC$21,0)),
 IF(COUNTIF($AC$15:$AC$21,"CÓDIGO N/ID")&gt;0,"Código (coluna Q) não identificado na Linha "&amp;(14+MATCH("CÓDIGO N/ID",$AC$15:$AC$21,0))&amp;". Verifique se o código está correto ou busque outro código",
 IF(COUNTIF($AC$15:$AC$21,"DESCRIÇÃO")&gt;0,"Falta preencher a Descrição (coluna R) na Linha "&amp;(14+MATCH("DESCRIÇÃO",$AC$15:$AC$21,0)),
 IF(COUNTIF($AC$15:$AC$21,"UNIDADE")&gt;0,"Falta preencher a Unidade (coluna S) na Linha "&amp;(14+MATCH("UNIDADE",$AC$15:$AC$21,0)),
 IF(COUNTIF($AC$15:$AC$21,"SEM CUSTO")&gt;0,"Falta preencher o Custo Unitário (coluna U) na Linha "&amp;(14+MATCH("SEM CUSTO",$AC$15:$AC$21,0)),
 IF(COUNTIF($AC$15:$AC$21,"SEM PREÇO")&gt;0,"Falta preencher o Preço Unitário licitado (coluna AL) na Linha "&amp;(14+MATCH("SEM CUSTO",$AC$15:$AC$21,0)),
 IF(COUNTIF($AC$15:$AC$21,"BDI")&gt;0,"Falta definir o BDI (coluna V) na Linha "&amp;(14+MATCH("BDI",$AC$15:$AC$21,0)),
 IF(COUNTIF($AC$15:$AC$21,"ACIMA REF.")&gt;0,
         IF(TIPOORCAMENTO="Proposto","O custo unitário (coluna U) na Linha "&amp;(14+MATCH("ACIMA REF.",$AC$15:$AC$21,0))&amp;" está acima do custo referencial (coluna AG)",
            "O preço unitário licitado (coluna AL) na Linha "&amp;(14+MATCH("ACIMA REF.",$AC$15:$AC$21,0))&amp;" está acima do preço referencial do edital (coluna AN)"),
 IF(COUNTIF($AC$15:$AC$21,"QUANT.")&gt;0,"Falta a Quantidade do serviço na Linha "&amp;(14+MATCH("QUANT.",$AC$15:$AC$21,0))&amp;IF(ACOMPANHAMENTO="PLE",". Preencher na aba CÁLCULO",". Preencher na coluna AJ"),
 IF(COUNTIF($AC$15:$AC$21,"Código &gt;13")&gt;0,"O tamanho do código do serviço no TransfereGOV é limitado a 13 caracteres. Resuma o código (coluna Q) na Linha "&amp;(14+MATCH("Código &gt;13",$AC$15:$AC$21,0)),
 IF(COUNTIF($AC$15:$AC$21,"Descrição &gt;100")&gt;0,"O tamanho da descrição de macrosserviço no TransfereGOV é limitado a 100 caracteres. Resuma a descrição (coluna R) na Linha "&amp;(14+MATCH("Descrição &gt;100",$AC$15:$AC$21,0)),
 IF(COUNTIF($AC$15:$AC$21,"Descrição &gt;500")&gt;0,"O tamanho da descrição de serviço no TransfereGOV é limitado a 500 caracteres. Resuma a descrição (coluna R) na Linha "&amp;(14+MATCH("Descrição &gt;500",$AC$15:$AC$21,0)),
 IF(COUNTIF($AC$15:$AC$21,"Unid. Não Disp")&gt;0,"Unidade não disponível na lista do TransfereGOV. Reveja a unidade (coluna S) na Linha "&amp;(14+MATCH("Unid. Não Disp",$AC$15:$AC$21,0)),
 IF(AND(TIPOORCAMENTO="Proposto",LEFT($O$8,5)="(N/D:"),"Abra o arquivo Referência "&amp;Excel_BuiltIn_Database&amp;".xlsm","")))))))))))))))))</f>
        <v>Falta preencher o Custo Unitário (coluna U) na Linha 18</v>
      </c>
      <c r="Y12" s="102"/>
      <c r="Z12" s="102"/>
      <c r="AA12" s="191" t="s">
        <v>791</v>
      </c>
      <c r="AB12" s="191"/>
      <c r="AJ12" s="109" t="s">
        <v>718</v>
      </c>
      <c r="AL12" s="192" t="s">
        <v>718</v>
      </c>
    </row>
    <row r="13" customFormat="false" ht="34.5" hidden="false" customHeight="true" outlineLevel="0" collapsed="false">
      <c r="A13" s="193" t="s">
        <v>792</v>
      </c>
      <c r="B13" s="193" t="s">
        <v>793</v>
      </c>
      <c r="C13" s="193" t="s">
        <v>794</v>
      </c>
      <c r="D13" s="193" t="s">
        <v>795</v>
      </c>
      <c r="E13" s="193" t="s">
        <v>796</v>
      </c>
      <c r="F13" s="193" t="s">
        <v>797</v>
      </c>
      <c r="G13" s="193" t="s">
        <v>798</v>
      </c>
      <c r="H13" s="193" t="s">
        <v>799</v>
      </c>
      <c r="I13" s="193" t="s">
        <v>800</v>
      </c>
      <c r="J13" s="193" t="s">
        <v>801</v>
      </c>
      <c r="K13" s="193" t="s">
        <v>802</v>
      </c>
      <c r="L13" s="109" t="s">
        <v>718</v>
      </c>
      <c r="M13" s="193" t="s">
        <v>803</v>
      </c>
      <c r="N13" s="194" t="s">
        <v>804</v>
      </c>
      <c r="O13" s="193" t="s">
        <v>805</v>
      </c>
      <c r="P13" s="193" t="s">
        <v>806</v>
      </c>
      <c r="Q13" s="193" t="s">
        <v>807</v>
      </c>
      <c r="R13" s="193" t="s">
        <v>161</v>
      </c>
      <c r="S13" s="195" t="s">
        <v>808</v>
      </c>
      <c r="T13" s="193" t="s">
        <v>779</v>
      </c>
      <c r="U13" s="193" t="str">
        <f aca="false" t="array" ref="U13:U13">IF(TIPOORCAMENTO="Licitado","","Custo Unitário (sem BDI) (R$)")</f>
        <v>Custo Unitário (sem BDI) (R$)</v>
      </c>
      <c r="V13" s="193" t="str">
        <f aca="false" t="array" ref="V13:V13">IF(TIPOORCAMENTO="Licitado","","BDI
(%)")</f>
        <v>BDI
(%)</v>
      </c>
      <c r="W13" s="193" t="s">
        <v>809</v>
      </c>
      <c r="X13" s="193" t="s">
        <v>810</v>
      </c>
      <c r="Y13" s="109" t="s">
        <v>718</v>
      </c>
      <c r="Z13" s="109" t="s">
        <v>718</v>
      </c>
      <c r="AA13" s="196" t="s">
        <v>811</v>
      </c>
      <c r="AB13" s="197" t="s">
        <v>812</v>
      </c>
      <c r="AC13" s="193" t="s">
        <v>813</v>
      </c>
      <c r="AD13" s="198" t="s">
        <v>814</v>
      </c>
      <c r="AE13" s="198" t="s">
        <v>815</v>
      </c>
      <c r="AF13" s="198" t="s">
        <v>816</v>
      </c>
      <c r="AG13" s="199" t="s">
        <v>817</v>
      </c>
      <c r="AH13" s="200" t="str">
        <f aca="false" t="array" ref="AH13:AH13">IF(TIPOORCAMENTO="LICITADO","Valor BDI Edital","Valor BDI")</f>
        <v>Valor BDI</v>
      </c>
      <c r="AJ13" s="201" t="s">
        <v>779</v>
      </c>
      <c r="AL13" s="201" t="s">
        <v>809</v>
      </c>
      <c r="AM13" s="199" t="s">
        <v>818</v>
      </c>
      <c r="AN13" s="202" t="s">
        <v>819</v>
      </c>
    </row>
    <row r="14" customFormat="false" ht="12.75" hidden="true" customHeight="false" outlineLevel="0" collapsed="false">
      <c r="A14" s="0" t="str">
        <f aca="false">CHOOSE(1+LOG(1+2*(ORÇAMENTO.Nivel="Meta")+4*(ORÇAMENTO.Nivel="Nível 2")+8*(ORÇAMENTO.Nivel="Nível 3")+16*(ORÇAMENTO.Nivel="Nível 4")+32*(ORÇAMENTO.Nivel="Serviço"),2),0,1,2,3,4,"S")</f>
        <v>S</v>
      </c>
      <c r="B14" s="0" t="str">
        <f aca="true">IF(OR(C14="s",C14=0),OFFSET(B14,-1,0),C14)</f>
        <v>Save Nivel</v>
      </c>
      <c r="C14" s="0" t="str">
        <f aca="true">IF(OFFSET(C14,-1,0)="L",1,IF(OFFSET(C14,-1,0)=1,2,IF(OR(A14="s",A14=0),"S",IF(AND(OFFSET(C14,-1,0)=2,A14=4),3,IF(AND(OR(OFFSET(C14,-1,0)="s",OFFSET(C14,-1,0)=0),A14&lt;&gt;"s",A14&gt;OFFSET(B14,-1,0)),OFFSET(B14,-1,0),A14)))))</f>
        <v>S</v>
      </c>
      <c r="D14" s="0" t="n">
        <f aca="false">IF(OR(C14="S",C14=0),0,IF(ISERROR(K14),J14,SMALL(J14:K14,1)))</f>
        <v>0</v>
      </c>
      <c r="E14" s="0" t="str">
        <f aca="true">IF($C14=1,OFFSET(E14,-1,0)+MAX(1,COUNTIF(QCI!$A$13:$A$24,OFFSET(ORÇAMENTO!E14,-1,0))),OFFSET(E14,-1,0))</f>
        <v>n1</v>
      </c>
      <c r="F14" s="0" t="str">
        <f aca="true">IF($C14=1,0,IF($C14=2,OFFSET(F14,-1,0)+1,OFFSET(F14,-1,0)))</f>
        <v>n2</v>
      </c>
      <c r="G14" s="0" t="str">
        <f aca="true">IF(AND($C14&lt;=2,$C14&lt;&gt;0),0,IF($C14=3,OFFSET(G14,-1,0)+1,OFFSET(G14,-1,0)))</f>
        <v>n3</v>
      </c>
      <c r="H14" s="0" t="str">
        <f aca="true">IF(AND($C14&lt;=3,$C14&lt;&gt;0),0,IF($C14=4,OFFSET(H14,-1,0)+1,OFFSET(H14,-1,0)))</f>
        <v>n4</v>
      </c>
      <c r="I14" s="0" t="str">
        <f aca="true">IF(AND($C14&lt;=4,$C14&lt;&gt;0),0,IF(AND($C14="S",$X14&gt;0),OFFSET(I14,-1,0)+1,OFFSET(I14,-1,0)))</f>
        <v>n5</v>
      </c>
      <c r="J14" s="0" t="n">
        <f aca="true">IF(OR($C14="S",$C14=0),0,MATCH(0,OFFSET($D14,1,$C14,ROW($C$21)-ROW($C14)),0))</f>
        <v>0</v>
      </c>
      <c r="K14" s="0" t="n">
        <f aca="true">IF(OR($C14="S",$C14=0),0,MATCH(OFFSET($D14,0,$C14)+IF($C14&lt;&gt;1,1,COUNTIF(QCI!$A$13:$A$24,ORÇAMENTO!E14)),OFFSET($D14,1,$C14,ROW($C$21)-ROW($C14)),0))</f>
        <v>0</v>
      </c>
      <c r="L14" s="203" t="str">
        <f aca="false">IF(OR($X14&gt;0,$C14=1,$C14=2,$C14=3,$C14=4),"F","")</f>
        <v/>
      </c>
      <c r="M14" s="204" t="s">
        <v>765</v>
      </c>
      <c r="N14" s="205" t="str">
        <f aca="false">CHOOSE(1+LOG(1+2*(C14=1)+4*(C14=2)+8*(C14=3)+16*(C14=4)+32*(C14="S"),2),"","Meta","Nível 2","Nível 3","Nível 4","Serviço")</f>
        <v>Serviço</v>
      </c>
      <c r="O14" s="206" t="str">
        <f aca="false">IF(OR($C14=0,$L14=""),"-",CONCATENATE(E14&amp;".",IF(AND($A$5&gt;=2,$C14&gt;=2),F14&amp;".",""),IF(AND($A$5&gt;=3,$C14&gt;=3),G14&amp;".",""),IF(AND($A$5&gt;=4,$C14&gt;=4),H14&amp;".",""),IF($C14="S",I14&amp;".","")))</f>
        <v>-</v>
      </c>
      <c r="P14" s="207" t="s">
        <v>766</v>
      </c>
      <c r="Q14" s="208"/>
      <c r="R14" s="209" t="str">
        <f aca="true" t="array" ref="R14:R14">IF($C14="S",REFERENCIA.Descricao,"(digite a descrição aqui)")</f>
        <v>(Sem Código)</v>
      </c>
      <c r="S14" s="210" t="str">
        <f aca="true" t="array" ref="S14:S14">REFERENCIA.Unidade</f>
        <v>-</v>
      </c>
      <c r="T14" s="211" t="n">
        <f aca="true">OFFSET(CÁLCULO!H$15,ROW($T14)-ROW(T$15),0)</f>
        <v>0</v>
      </c>
      <c r="U14" s="212"/>
      <c r="V14" s="213" t="s">
        <v>721</v>
      </c>
      <c r="W14" s="211" t="n">
        <f aca="false" t="array" ref="W14:W14">IF($C14="S",ROUND(IF(TIPOORCAMENTO="Proposto",ORÇAMENTO.CustoUnitario*(1+$AH14),ORÇAMENTO.PrecoUnitarioLicitado),15-13*$AF$10),0)</f>
        <v>0</v>
      </c>
      <c r="X14" s="214" t="n">
        <f aca="true" t="array" ref="X14:X14">IF($C14="S",IF(OR(Import.TipoArredondamento&lt;&gt;"TransfereGOV",ACOMPANHAMENTO="BM"),VTOTAL1,SUM(OFFSET(CÁLCULO!$AA$15,ROW($X14)-ROW($X$15),1):OFFSET(CÁLCULO!$AL$15,ROW($X14)-ROW($X$15),-1))),IF($C14=0,0,ROUND(SomaAgrup,15-13*$AF$11)))</f>
        <v>0</v>
      </c>
      <c r="Y14" s="215" t="s">
        <v>774</v>
      </c>
      <c r="Z14" s="0" t="str">
        <f aca="false">IF(AND($C14="S",$X14&gt;0),IF(ISBLANK($Y14),"RA",LEFT($Y14,2)),"")</f>
        <v/>
      </c>
      <c r="AA14" s="216" t="n">
        <f aca="true" t="array" ref="AA14:AA14">IF($C14="S",IF($Z14="CP",$X14,IF($Z14="RA",(($X14)*QCI!$AA$3),0)),SomaAgrup)</f>
        <v>0</v>
      </c>
      <c r="AB14" s="217" t="n">
        <f aca="true" t="array" ref="AB14:AB14">IF($C14="S",IF($Z14="OU",ROUND($X14,2),0),SomaAgrup)</f>
        <v>0</v>
      </c>
      <c r="AC14" s="218" t="str">
        <f aca="false" t="array" ref="AC14:AC14">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v>
      </c>
      <c r="AD14" s="0" t="str">
        <f aca="true">IF(C14&lt;=CRONO.NivelExibicao,MAX($AD$15:OFFSET(AD14,-1,0))+IF($C14&lt;&gt;1,1,MAX(1,COUNTIF(QCI!$A$13:$A$24,OFFSET($E14,-1,0)))),"")</f>
        <v/>
      </c>
      <c r="AE14" s="48" t="n">
        <f aca="false" t="array" ref="AE14:AE14">IF(AND($C14="S",ORÇAMENTO.CodBarra&lt;&gt;""),IF(ORÇAMENTO.Fonte="",ORÇAMENTO.CodBarra,CONCATENATE(ORÇAMENTO.Fonte," ",ORÇAMENTO.CodBarra)))</f>
        <v>0</v>
      </c>
      <c r="AF14" s="63" t="str">
        <f aca="true" t="array" ref="AF14:AF14">IF(ISERROR(ORÇAMENTO.BancoRef),"(abra o arquivo 'Referência "&amp;Excel_BuiltIn_Database&amp;".xlsm)",IF(OR($C14&lt;&gt;"S",ORÇAMENTO.CodBarra=""),"(Sem Código)",IF(ISERROR(MATCH($AE14,INDIRECT(ORÇAMENTO.BancoRef),0)),"(Código não identificado nas referências)",MATCH($AE14,INDIRECT(ORÇAMENTO.BancoRef),0))))</f>
        <v>(Sem Código)</v>
      </c>
      <c r="AG14" s="219" t="n">
        <f aca="true" t="array" ref="AG14:AG14">ROUND(IF(DESONERACAO="sim",REFERENCIA.Desonerado,REFERENCIA.NaoDesonerado),2)</f>
        <v>0</v>
      </c>
      <c r="AH14" s="220" t="n">
        <f aca="false">ROUND(IF(ISNUMBER(ORÇAMENTO.OpcaoBDI),ORÇAMENTO.OpcaoBDI,IF(LEFT(ORÇAMENTO.OpcaoBDI,3)="BDI",HLOOKUP(ORÇAMENTO.OpcaoBDI,$F$4:$H$5,2,FALSE()),0)),15-11*$AF$9)</f>
        <v>0.2558</v>
      </c>
      <c r="AJ14" s="221"/>
      <c r="AL14" s="222"/>
      <c r="AM14" s="223" t="n">
        <f aca="false">$X14</f>
        <v>0</v>
      </c>
      <c r="AN14" s="224" t="n">
        <f aca="false" t="array" ref="AN14:AN14">ROUND(ORÇAMENTO.CustoUnitario*(1+$AH14),2)</f>
        <v>0</v>
      </c>
    </row>
    <row r="15" customFormat="false" ht="12.75" hidden="false" customHeight="true" outlineLevel="0" collapsed="false">
      <c r="A15" s="0" t="n">
        <v>0</v>
      </c>
      <c r="C15" s="0" t="s">
        <v>712</v>
      </c>
      <c r="D15" s="0" t="n">
        <f aca="true">COUNTA(OFFSET(D15,1,0):D$21)</f>
        <v>5</v>
      </c>
      <c r="E15" s="0" t="n">
        <v>0</v>
      </c>
      <c r="L15" s="203" t="s">
        <v>594</v>
      </c>
      <c r="M15" s="225" t="str">
        <f aca="false" t="array" ref="M15:M15">IF(TIPOORCAMENTO="LICITADO","CTEF","LOTE")</f>
        <v>LOTE</v>
      </c>
      <c r="N15" s="225" t="str">
        <f aca="false" t="array" ref="N15:N15">IF(TIPOORCAMENTO="LICITADO","CTEF","LOTE")</f>
        <v>LOTE</v>
      </c>
      <c r="O15" s="226" t="str">
        <f aca="false">Import.DescLote</f>
        <v>REVITALIZAÇÃO DIVERSAS RUAS</v>
      </c>
      <c r="P15" s="226"/>
      <c r="Q15" s="226"/>
      <c r="R15" s="226"/>
      <c r="S15" s="227"/>
      <c r="T15" s="228"/>
      <c r="U15" s="228"/>
      <c r="V15" s="229"/>
      <c r="W15" s="228"/>
      <c r="X15" s="230" t="n">
        <f aca="true">SUMIF(OFFSET($C15,1,0,ROW(X21)-ROW(X15)-1),"S",OFFSET(X15,1,0,ROW(X21)-ROW(X15)-1))</f>
        <v>0</v>
      </c>
      <c r="Y15" s="48"/>
      <c r="Z15" s="0" t="str">
        <f aca="false">IF(AND($C15="S",$X15&gt;0),LEFT($Y15,2),"")</f>
        <v/>
      </c>
      <c r="AA15" s="231" t="n">
        <f aca="true">SUMIF(OFFSET($C15,1,0,ROW(AA21)-ROW(AA15)-1),"S",OFFSET(AA15,1,0,ROW(AA21)-ROW(AA15)-1))</f>
        <v>0</v>
      </c>
      <c r="AB15" s="232" t="n">
        <f aca="true">SUMIF(OFFSET($C15,1,0,ROW(AB21)-ROW(AB15)-1),"S",OFFSET(AB15,1,0,ROW(AB21)-ROW(AB15)-1))</f>
        <v>0</v>
      </c>
      <c r="AC15" s="218" t="s">
        <v>820</v>
      </c>
      <c r="AG15" s="233"/>
      <c r="AH15" s="234"/>
      <c r="AJ15" s="235"/>
      <c r="AL15" s="236"/>
      <c r="AM15" s="237" t="n">
        <f aca="false">$X15</f>
        <v>0</v>
      </c>
      <c r="AN15" s="238"/>
    </row>
    <row r="16" customFormat="false" ht="12.75" hidden="false" customHeight="false" outlineLevel="0" collapsed="false">
      <c r="A16" s="0" t="n">
        <f aca="false">CHOOSE(1+LOG(1+2*(ORÇAMENTO.Nivel="Meta")+4*(ORÇAMENTO.Nivel="Nível 2")+8*(ORÇAMENTO.Nivel="Nível 3")+16*(ORÇAMENTO.Nivel="Nível 4")+32*(ORÇAMENTO.Nivel="Serviço"),2),0,1,2,3,4,"S")</f>
        <v>1</v>
      </c>
      <c r="B16" s="0" t="n">
        <f aca="true">IF(OR(C16="s",C16=0),OFFSET(B16,-1,0),C16)</f>
        <v>1</v>
      </c>
      <c r="C16" s="0" t="n">
        <f aca="true">IF(OFFSET(C16,-1,0)="L",1,IF(OFFSET(C16,-1,0)=1,2,IF(OR(A16="s",A16=0),"S",IF(AND(OFFSET(C16,-1,0)=2,A16=4),3,IF(AND(OR(OFFSET(C16,-1,0)="s",OFFSET(C16,-1,0)=0),A16&lt;&gt;"s",A16&gt;OFFSET(B16,-1,0)),OFFSET(B16,-1,0),A16)))))</f>
        <v>1</v>
      </c>
      <c r="D16" s="0" t="n">
        <f aca="false">IF(OR(C16="S",C16=0),0,IF(ISERROR(K16),J16,SMALL(J16:K16,1)))</f>
        <v>5</v>
      </c>
      <c r="E16" s="0" t="n">
        <f aca="true">IF($C16=1,OFFSET(E16,-1,0)+MAX(1,COUNTIF(QCI!$A$13:$A$24,OFFSET(ORÇAMENTO!E16,-1,0))),OFFSET(E16,-1,0))</f>
        <v>1</v>
      </c>
      <c r="F16" s="0" t="n">
        <f aca="true">IF($C16=1,0,IF($C16=2,OFFSET(F16,-1,0)+1,OFFSET(F16,-1,0)))</f>
        <v>0</v>
      </c>
      <c r="G16" s="0" t="n">
        <f aca="true">IF(AND($C16&lt;=2,$C16&lt;&gt;0),0,IF($C16=3,OFFSET(G16,-1,0)+1,OFFSET(G16,-1,0)))</f>
        <v>0</v>
      </c>
      <c r="H16" s="0" t="n">
        <f aca="true">IF(AND($C16&lt;=3,$C16&lt;&gt;0),0,IF($C16=4,OFFSET(H16,-1,0)+1,OFFSET(H16,-1,0)))</f>
        <v>0</v>
      </c>
      <c r="I16" s="0" t="n">
        <f aca="true">IF(AND($C16&lt;=4,$C16&lt;&gt;0),0,IF(AND($C16="S",$X16&gt;0),OFFSET(I16,-1,0)+1,OFFSET(I16,-1,0)))</f>
        <v>0</v>
      </c>
      <c r="J16" s="0" t="n">
        <f aca="true">IF(OR($C16="S",$C16=0),0,MATCH(0,OFFSET($D16,1,$C16,ROW($C$21)-ROW($C16)),0))</f>
        <v>5</v>
      </c>
      <c r="K16" s="0" t="e">
        <f aca="true">IF(OR($C16="S",$C16=0),0,MATCH(OFFSET($D16,0,$C16)+IF($C16&lt;&gt;1,1,COUNTIF(QCI!$A$13:$A$24,ORÇAMENTO!E16)),OFFSET($D16,1,$C16,ROW($C$21)-ROW($C16)),0))</f>
        <v>#N/A</v>
      </c>
      <c r="L16" s="203" t="str">
        <f aca="false">IF(OR($X16&gt;0,$C16=1,$C16=2,$C16=3,$C16=4),"F","")</f>
        <v>F</v>
      </c>
      <c r="M16" s="204" t="s">
        <v>761</v>
      </c>
      <c r="N16" s="205" t="str">
        <f aca="false">CHOOSE(1+LOG(1+2*(C16=1)+4*(C16=2)+8*(C16=3)+16*(C16=4)+32*(C16="S"),2),"","Meta","Nível 2","Nível 3","Nível 4","Serviço")</f>
        <v>Meta</v>
      </c>
      <c r="O16" s="206" t="str">
        <f aca="false">IF(OR($C16=0,$L16=""),"-",CONCATENATE(E16&amp;".",IF(AND($A$5&gt;=2,$C16&gt;=2),F16&amp;".",""),IF(AND($A$5&gt;=3,$C16&gt;=3),G16&amp;".",""),IF(AND($A$5&gt;=4,$C16&gt;=4),H16&amp;".",""),IF($C16="S",I16&amp;".","")))</f>
        <v>1.</v>
      </c>
      <c r="P16" s="207" t="s">
        <v>766</v>
      </c>
      <c r="Q16" s="208"/>
      <c r="R16" s="209" t="s">
        <v>821</v>
      </c>
      <c r="S16" s="210" t="str">
        <f aca="true" t="array" ref="S16:S16">REFERENCIA.Unidade</f>
        <v>-</v>
      </c>
      <c r="T16" s="211" t="n">
        <f aca="true">OFFSET(CÁLCULO!H$15,ROW($T16)-ROW(T$15),0)</f>
        <v>0</v>
      </c>
      <c r="U16" s="212"/>
      <c r="V16" s="213" t="s">
        <v>721</v>
      </c>
      <c r="W16" s="211" t="n">
        <f aca="false" t="array" ref="W16:W16">IF($C16="S",ROUND(IF(TIPOORCAMENTO="Proposto",ORÇAMENTO.CustoUnitario*(1+$AH16),ORÇAMENTO.PrecoUnitarioLicitado),15-13*$AF$10),0)</f>
        <v>0</v>
      </c>
      <c r="X16" s="214" t="n">
        <f aca="true" t="array" ref="X16:X16">IF($C16="S",IF(OR(Import.TipoArredondamento&lt;&gt;"TransfereGOV",ACOMPANHAMENTO="BM"),VTOTAL1,SUM(OFFSET(CÁLCULO!$AA$15,ROW($X16)-ROW($X$15),1):OFFSET(CÁLCULO!$AL$15,ROW($X16)-ROW($X$15),-1))),IF($C16=0,0,ROUND(SomaAgrup,15-13*$AF$11)))</f>
        <v>0</v>
      </c>
      <c r="Y16" s="215" t="s">
        <v>774</v>
      </c>
      <c r="Z16" s="0" t="str">
        <f aca="false">IF(AND($C16="S",$X16&gt;0),IF(ISBLANK($Y16),"RA",LEFT($Y16,2)),"")</f>
        <v/>
      </c>
      <c r="AA16" s="216" t="n">
        <f aca="true" t="array" ref="AA16:AA16">IF($C16="S",IF($Z16="CP",$X16,IF($Z16="RA",(($X16)*QCI!$AA$3),0)),SomaAgrup)</f>
        <v>0</v>
      </c>
      <c r="AB16" s="217" t="n">
        <f aca="true" t="array" ref="AB16:AB16">IF($C16="S",IF($Z16="OU",ROUND($X16,2),0),SomaAgrup)</f>
        <v>0</v>
      </c>
      <c r="AC16" s="218" t="str">
        <f aca="false" t="array" ref="AC16:AC16">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v>
      </c>
      <c r="AD16" s="0" t="n">
        <f aca="true">IF(C16&lt;=CRONO.NivelExibicao,MAX($AD$15:OFFSET(AD16,-1,0))+IF($C16&lt;&gt;1,1,MAX(1,COUNTIF(QCI!$A$13:$A$24,OFFSET($E16,-1,0)))),"")</f>
        <v>1</v>
      </c>
      <c r="AE16" s="48" t="n">
        <f aca="false" t="array" ref="AE16:AE16">IF(AND($C16="S",ORÇAMENTO.CodBarra&lt;&gt;""),IF(ORÇAMENTO.Fonte="",ORÇAMENTO.CodBarra,CONCATENATE(ORÇAMENTO.Fonte," ",ORÇAMENTO.CodBarra)))</f>
        <v>0</v>
      </c>
      <c r="AF16" s="63" t="str">
        <f aca="true" t="array" ref="AF16:AF16">IF(ISERROR(ORÇAMENTO.BancoRef),"(abra o arquivo 'Referência "&amp;Excel_BuiltIn_Database&amp;".xlsm)",IF(OR($C16&lt;&gt;"S",ORÇAMENTO.CodBarra=""),"(Sem Código)",IF(ISERROR(MATCH($AE16,INDIRECT(ORÇAMENTO.BancoRef),0)),"(Código não identificado nas referências)",MATCH($AE16,INDIRECT(ORÇAMENTO.BancoRef),0))))</f>
        <v>(Sem Código)</v>
      </c>
      <c r="AG16" s="219" t="n">
        <f aca="true" t="array" ref="AG16:AG16">ROUND(IF(DESONERACAO="sim",REFERENCIA.Desonerado,REFERENCIA.NaoDesonerado),2)</f>
        <v>0</v>
      </c>
      <c r="AH16" s="220" t="n">
        <f aca="false">ROUND(IF(ISNUMBER(ORÇAMENTO.OpcaoBDI),ORÇAMENTO.OpcaoBDI,IF(LEFT(ORÇAMENTO.OpcaoBDI,3)="BDI",HLOOKUP(ORÇAMENTO.OpcaoBDI,$F$4:$H$5,2,FALSE()),0)),15-11*$AF$9)</f>
        <v>0.2558</v>
      </c>
      <c r="AJ16" s="221"/>
      <c r="AL16" s="222"/>
      <c r="AM16" s="223" t="n">
        <f aca="false">$X16</f>
        <v>0</v>
      </c>
      <c r="AN16" s="224" t="n">
        <f aca="false" t="array" ref="AN16:AN16">ROUND(ORÇAMENTO.CustoUnitario*(1+$AH16),2)</f>
        <v>0</v>
      </c>
    </row>
    <row r="17" customFormat="false" ht="12.75" hidden="false" customHeight="false" outlineLevel="0" collapsed="false">
      <c r="A17" s="0" t="n">
        <f aca="false">CHOOSE(1+LOG(1+2*(ORÇAMENTO.Nivel="Meta")+4*(ORÇAMENTO.Nivel="Nível 2")+8*(ORÇAMENTO.Nivel="Nível 3")+16*(ORÇAMENTO.Nivel="Nível 4")+32*(ORÇAMENTO.Nivel="Serviço"),2),0,1,2,3,4,"S")</f>
        <v>2</v>
      </c>
      <c r="B17" s="0" t="n">
        <f aca="true">IF(OR(C17="s",C17=0),OFFSET(B17,-1,0),C17)</f>
        <v>2</v>
      </c>
      <c r="C17" s="0" t="n">
        <f aca="true">IF(OFFSET(C17,-1,0)="L",1,IF(OFFSET(C17,-1,0)=1,2,IF(OR(A17="s",A17=0),"S",IF(AND(OFFSET(C17,-1,0)=2,A17=4),3,IF(AND(OR(OFFSET(C17,-1,0)="s",OFFSET(C17,-1,0)=0),A17&lt;&gt;"s",A17&gt;OFFSET(B17,-1,0)),OFFSET(B17,-1,0),A17)))))</f>
        <v>2</v>
      </c>
      <c r="D17" s="0" t="n">
        <f aca="false">IF(OR(C17="S",C17=0),0,IF(ISERROR(K17),J17,SMALL(J17:K17,1)))</f>
        <v>2</v>
      </c>
      <c r="E17" s="0" t="n">
        <f aca="true">IF($C17=1,OFFSET(E17,-1,0)+MAX(1,COUNTIF(QCI!$A$13:$A$24,OFFSET(ORÇAMENTO!E17,-1,0))),OFFSET(E17,-1,0))</f>
        <v>1</v>
      </c>
      <c r="F17" s="0" t="n">
        <f aca="true">IF($C17=1,0,IF($C17=2,OFFSET(F17,-1,0)+1,OFFSET(F17,-1,0)))</f>
        <v>1</v>
      </c>
      <c r="G17" s="0" t="n">
        <f aca="true">IF(AND($C17&lt;=2,$C17&lt;&gt;0),0,IF($C17=3,OFFSET(G17,-1,0)+1,OFFSET(G17,-1,0)))</f>
        <v>0</v>
      </c>
      <c r="H17" s="0" t="n">
        <f aca="true">IF(AND($C17&lt;=3,$C17&lt;&gt;0),0,IF($C17=4,OFFSET(H17,-1,0)+1,OFFSET(H17,-1,0)))</f>
        <v>0</v>
      </c>
      <c r="I17" s="0" t="n">
        <f aca="true">IF(AND($C17&lt;=4,$C17&lt;&gt;0),0,IF(AND($C17="S",$X17&gt;0),OFFSET(I17,-1,0)+1,OFFSET(I17,-1,0)))</f>
        <v>0</v>
      </c>
      <c r="J17" s="0" t="n">
        <f aca="true">IF(OR($C17="S",$C17=0),0,MATCH(0,OFFSET($D17,1,$C17,ROW($C$21)-ROW($C17)),0))</f>
        <v>4</v>
      </c>
      <c r="K17" s="0" t="n">
        <f aca="true">IF(OR($C17="S",$C17=0),0,MATCH(OFFSET($D17,0,$C17)+IF($C17&lt;&gt;1,1,COUNTIF(QCI!$A$13:$A$24,ORÇAMENTO!E17)),OFFSET($D17,1,$C17,ROW($C$21)-ROW($C17)),0))</f>
        <v>2</v>
      </c>
      <c r="L17" s="203" t="str">
        <f aca="false">IF(OR($X17&gt;0,$C17=1,$C17=2,$C17=3,$C17=4),"F","")</f>
        <v>F</v>
      </c>
      <c r="M17" s="204" t="s">
        <v>762</v>
      </c>
      <c r="N17" s="205" t="str">
        <f aca="false">CHOOSE(1+LOG(1+2*(C17=1)+4*(C17=2)+8*(C17=3)+16*(C17=4)+32*(C17="S"),2),"","Meta","Nível 2","Nível 3","Nível 4","Serviço")</f>
        <v>Nível 2</v>
      </c>
      <c r="O17" s="206" t="str">
        <f aca="false">IF(OR($C17=0,$L17=""),"-",CONCATENATE(E17&amp;".",IF(AND($A$5&gt;=2,$C17&gt;=2),F17&amp;".",""),IF(AND($A$5&gt;=3,$C17&gt;=3),G17&amp;".",""),IF(AND($A$5&gt;=4,$C17&gt;=4),H17&amp;".",""),IF($C17="S",I17&amp;".","")))</f>
        <v>1.1.</v>
      </c>
      <c r="P17" s="207" t="s">
        <v>766</v>
      </c>
      <c r="Q17" s="208"/>
      <c r="R17" s="209" t="s">
        <v>822</v>
      </c>
      <c r="S17" s="210" t="str">
        <f aca="true" t="array" ref="S17:S17">REFERENCIA.Unidade</f>
        <v>-</v>
      </c>
      <c r="T17" s="211" t="n">
        <f aca="true">OFFSET(CÁLCULO!H$15,ROW($T17)-ROW(T$15),0)</f>
        <v>0</v>
      </c>
      <c r="U17" s="212"/>
      <c r="V17" s="213" t="s">
        <v>721</v>
      </c>
      <c r="W17" s="211" t="n">
        <f aca="false" t="array" ref="W17:W17">IF($C17="S",ROUND(IF(TIPOORCAMENTO="Proposto",ORÇAMENTO.CustoUnitario*(1+$AH17),ORÇAMENTO.PrecoUnitarioLicitado),15-13*$AF$10),0)</f>
        <v>0</v>
      </c>
      <c r="X17" s="214" t="n">
        <f aca="true" t="array" ref="X17:X17">IF($C17="S",IF(OR(Import.TipoArredondamento&lt;&gt;"TransfereGOV",ACOMPANHAMENTO="BM"),VTOTAL1,SUM(OFFSET(CÁLCULO!$AA$15,ROW($X17)-ROW($X$15),1):OFFSET(CÁLCULO!$AL$15,ROW($X17)-ROW($X$15),-1))),IF($C17=0,0,ROUND(SomaAgrup,15-13*$AF$11)))</f>
        <v>0</v>
      </c>
      <c r="Y17" s="215" t="s">
        <v>774</v>
      </c>
      <c r="Z17" s="0" t="str">
        <f aca="false">IF(AND($C17="S",$X17&gt;0),IF(ISBLANK($Y17),"RA",LEFT($Y17,2)),"")</f>
        <v/>
      </c>
      <c r="AA17" s="216" t="n">
        <f aca="true" t="array" ref="AA17:AA17">IF($C17="S",IF($Z17="CP",$X17,IF($Z17="RA",(($X17)*QCI!$AA$3),0)),SomaAgrup)</f>
        <v>0</v>
      </c>
      <c r="AB17" s="217" t="n">
        <f aca="true" t="array" ref="AB17:AB17">IF($C17="S",IF($Z17="OU",ROUND($X17,2),0),SomaAgrup)</f>
        <v>0</v>
      </c>
      <c r="AC17" s="218" t="str">
        <f aca="false" t="array" ref="AC17:AC17">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v>
      </c>
      <c r="AD17" s="0" t="n">
        <f aca="true">IF(C17&lt;=CRONO.NivelExibicao,MAX($AD$15:OFFSET(AD17,-1,0))+IF($C17&lt;&gt;1,1,MAX(1,COUNTIF(QCI!$A$13:$A$24,OFFSET($E17,-1,0)))),"")</f>
        <v>2</v>
      </c>
      <c r="AE17" s="48" t="n">
        <f aca="false" t="array" ref="AE17:AE17">IF(AND($C17="S",ORÇAMENTO.CodBarra&lt;&gt;""),IF(ORÇAMENTO.Fonte="",ORÇAMENTO.CodBarra,CONCATENATE(ORÇAMENTO.Fonte," ",ORÇAMENTO.CodBarra)))</f>
        <v>0</v>
      </c>
      <c r="AF17" s="63" t="str">
        <f aca="true" t="array" ref="AF17:AF17">IF(ISERROR(ORÇAMENTO.BancoRef),"(abra o arquivo 'Referência "&amp;Excel_BuiltIn_Database&amp;".xlsm)",IF(OR($C17&lt;&gt;"S",ORÇAMENTO.CodBarra=""),"(Sem Código)",IF(ISERROR(MATCH($AE17,INDIRECT(ORÇAMENTO.BancoRef),0)),"(Código não identificado nas referências)",MATCH($AE17,INDIRECT(ORÇAMENTO.BancoRef),0))))</f>
        <v>(Sem Código)</v>
      </c>
      <c r="AG17" s="219" t="n">
        <f aca="true" t="array" ref="AG17:AG17">ROUND(IF(DESONERACAO="sim",REFERENCIA.Desonerado,REFERENCIA.NaoDesonerado),2)</f>
        <v>0</v>
      </c>
      <c r="AH17" s="220" t="n">
        <f aca="false">ROUND(IF(ISNUMBER(ORÇAMENTO.OpcaoBDI),ORÇAMENTO.OpcaoBDI,IF(LEFT(ORÇAMENTO.OpcaoBDI,3)="BDI",HLOOKUP(ORÇAMENTO.OpcaoBDI,$F$4:$H$5,2,FALSE()),0)),15-11*$AF$9)</f>
        <v>0.2558</v>
      </c>
      <c r="AJ17" s="221"/>
      <c r="AL17" s="222"/>
      <c r="AM17" s="223" t="n">
        <f aca="false">$X17</f>
        <v>0</v>
      </c>
      <c r="AN17" s="224" t="n">
        <f aca="false" t="array" ref="AN17:AN17">ROUND(ORÇAMENTO.CustoUnitario*(1+$AH17),2)</f>
        <v>0</v>
      </c>
    </row>
    <row r="18" customFormat="false" ht="23.85" hidden="false" customHeight="false" outlineLevel="0" collapsed="false">
      <c r="A18" s="0" t="str">
        <f aca="false">CHOOSE(1+LOG(1+2*(ORÇAMENTO.Nivel="Meta")+4*(ORÇAMENTO.Nivel="Nível 2")+8*(ORÇAMENTO.Nivel="Nível 3")+16*(ORÇAMENTO.Nivel="Nível 4")+32*(ORÇAMENTO.Nivel="Serviço"),2),0,1,2,3,4,"S")</f>
        <v>S</v>
      </c>
      <c r="B18" s="0" t="n">
        <f aca="true">IF(OR(C18="s",C18=0),OFFSET(B18,-1,0),C18)</f>
        <v>2</v>
      </c>
      <c r="C18" s="0" t="str">
        <f aca="true">IF(OFFSET(C18,-1,0)="L",1,IF(OFFSET(C18,-1,0)=1,2,IF(OR(A18="s",A18=0),"S",IF(AND(OFFSET(C18,-1,0)=2,A18=4),3,IF(AND(OR(OFFSET(C18,-1,0)="s",OFFSET(C18,-1,0)=0),A18&lt;&gt;"s",A18&gt;OFFSET(B18,-1,0)),OFFSET(B18,-1,0),A18)))))</f>
        <v>S</v>
      </c>
      <c r="D18" s="0" t="n">
        <f aca="false">IF(OR(C18="S",C18=0),0,IF(ISERROR(K18),J18,SMALL(J18:K18,1)))</f>
        <v>0</v>
      </c>
      <c r="E18" s="0" t="n">
        <f aca="true">IF($C18=1,OFFSET(E18,-1,0)+MAX(1,COUNTIF(QCI!$A$13:$A$24,OFFSET(ORÇAMENTO!E18,-1,0))),OFFSET(E18,-1,0))</f>
        <v>1</v>
      </c>
      <c r="F18" s="0" t="n">
        <f aca="true">IF($C18=1,0,IF($C18=2,OFFSET(F18,-1,0)+1,OFFSET(F18,-1,0)))</f>
        <v>1</v>
      </c>
      <c r="G18" s="0" t="n">
        <f aca="true">IF(AND($C18&lt;=2,$C18&lt;&gt;0),0,IF($C18=3,OFFSET(G18,-1,0)+1,OFFSET(G18,-1,0)))</f>
        <v>0</v>
      </c>
      <c r="H18" s="0" t="n">
        <f aca="true">IF(AND($C18&lt;=3,$C18&lt;&gt;0),0,IF($C18=4,OFFSET(H18,-1,0)+1,OFFSET(H18,-1,0)))</f>
        <v>0</v>
      </c>
      <c r="I18" s="0" t="n">
        <f aca="true">IF(AND($C18&lt;=4,$C18&lt;&gt;0),0,IF(AND($C18="S",$X18&gt;0),OFFSET(I18,-1,0)+1,OFFSET(I18,-1,0)))</f>
        <v>0</v>
      </c>
      <c r="J18" s="0" t="n">
        <f aca="true">IF(OR($C18="S",$C18=0),0,MATCH(0,OFFSET($D18,1,$C18,ROW($C$21)-ROW($C18)),0))</f>
        <v>0</v>
      </c>
      <c r="K18" s="0" t="n">
        <f aca="true">IF(OR($C18="S",$C18=0),0,MATCH(OFFSET($D18,0,$C18)+IF($C18&lt;&gt;1,1,COUNTIF(QCI!$A$13:$A$24,ORÇAMENTO!E18)),OFFSET($D18,1,$C18,ROW($C$21)-ROW($C18)),0))</f>
        <v>0</v>
      </c>
      <c r="L18" s="203" t="str">
        <f aca="false">IF(OR($X18&gt;0,$C18=1,$C18=2,$C18=3,$C18=4),"F","")</f>
        <v/>
      </c>
      <c r="M18" s="204" t="s">
        <v>765</v>
      </c>
      <c r="N18" s="205" t="str">
        <f aca="false">CHOOSE(1+LOG(1+2*(C18=1)+4*(C18=2)+8*(C18=3)+16*(C18=4)+32*(C18="S"),2),"","Meta","Nível 2","Nível 3","Nível 4","Serviço")</f>
        <v>Serviço</v>
      </c>
      <c r="O18" s="206" t="str">
        <f aca="false">IF(OR($C18=0,$L18=""),"-",CONCATENATE(E18&amp;".",IF(AND($A$5&gt;=2,$C18&gt;=2),F18&amp;".",""),IF(AND($A$5&gt;=3,$C18&gt;=3),G18&amp;".",""),IF(AND($A$5&gt;=4,$C18&gt;=4),H18&amp;".",""),IF($C18="S",I18&amp;".","")))</f>
        <v>-</v>
      </c>
      <c r="P18" s="207" t="s">
        <v>766</v>
      </c>
      <c r="Q18" s="208" t="s">
        <v>823</v>
      </c>
      <c r="R18" s="209" t="s">
        <v>824</v>
      </c>
      <c r="S18" s="210" t="str">
        <f aca="true" t="array" ref="S18:S18">REFERENCIA.Unidade</f>
        <v>-</v>
      </c>
      <c r="T18" s="211" t="n">
        <f aca="true">OFFSET(CÁLCULO!H$15,ROW($T18)-ROW(T$15),0)</f>
        <v>5175.65</v>
      </c>
      <c r="U18" s="212" t="n">
        <f aca="false">AG18</f>
        <v>0</v>
      </c>
      <c r="V18" s="213" t="s">
        <v>721</v>
      </c>
      <c r="W18" s="211" t="n">
        <f aca="false" t="array" ref="W18:W18">IF($C18="S",ROUND(IF(TIPOORCAMENTO="Proposto",ORÇAMENTO.CustoUnitario*(1+$AH18),ORÇAMENTO.PrecoUnitarioLicitado),15-13*$AF$10),0)</f>
        <v>0</v>
      </c>
      <c r="X18" s="214" t="n">
        <f aca="true" t="array" ref="X18:X18">IF($C18="S",IF(OR(Import.TipoArredondamento&lt;&gt;"TransfereGOV",ACOMPANHAMENTO="BM"),VTOTAL1,SUM(OFFSET(CÁLCULO!$AA$15,ROW($X18)-ROW($X$15),1):OFFSET(CÁLCULO!$AL$15,ROW($X18)-ROW($X$15),-1))),IF($C18=0,0,ROUND(SomaAgrup,15-13*$AF$11)))</f>
        <v>0</v>
      </c>
      <c r="Y18" s="215" t="s">
        <v>774</v>
      </c>
      <c r="Z18" s="0" t="str">
        <f aca="false">IF(AND($C18="S",$X18&gt;0),IF(ISBLANK($Y18),"RA",LEFT($Y18,2)),"")</f>
        <v/>
      </c>
      <c r="AA18" s="216" t="n">
        <f aca="true" t="array" ref="AA18:AA18">IF($C18="S",IF($Z18="CP",$X18,IF($Z18="RA",(($X18)*QCI!$AA$3),0)),SomaAgrup)</f>
        <v>0</v>
      </c>
      <c r="AB18" s="217" t="n">
        <f aca="true" t="array" ref="AB18:AB18">IF($C18="S",IF($Z18="OU",ROUND($X18,2),0),SomaAgrup)</f>
        <v>0</v>
      </c>
      <c r="AC18" s="218" t="str">
        <f aca="false" t="array" ref="AC18:AC18">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SEM CUSTO</v>
      </c>
      <c r="AD18" s="0" t="str">
        <f aca="true">IF(C18&lt;=CRONO.NivelExibicao,MAX($AD$15:OFFSET(AD18,-1,0))+IF($C18&lt;&gt;1,1,MAX(1,COUNTIF(QCI!$A$13:$A$24,OFFSET($E18,-1,0)))),"")</f>
        <v/>
      </c>
      <c r="AE18" s="48" t="str">
        <f aca="false" t="array" ref="AE18:AE18">IF(AND($C18="S",ORÇAMENTO.CodBarra&lt;&gt;""),IF(ORÇAMENTO.Fonte="",ORÇAMENTO.CodBarra,CONCATENATE(ORÇAMENTO.Fonte," ",ORÇAMENTO.CodBarra)))</f>
        <v>SINAPI 101850</v>
      </c>
      <c r="AF18" s="63" t="str">
        <f aca="true" t="array" ref="AF18:AF18">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219" t="n">
        <f aca="true" t="array" ref="AG18:AG18">ROUND(IF(DESONERACAO="sim",REFERENCIA.Desonerado,REFERENCIA.NaoDesonerado),2)</f>
        <v>0</v>
      </c>
      <c r="AH18" s="220" t="n">
        <f aca="false">ROUND(IF(ISNUMBER(ORÇAMENTO.OpcaoBDI),ORÇAMENTO.OpcaoBDI,IF(LEFT(ORÇAMENTO.OpcaoBDI,3)="BDI",HLOOKUP(ORÇAMENTO.OpcaoBDI,$F$4:$H$5,2,FALSE()),0)),15-11*$AF$9)</f>
        <v>0.2558</v>
      </c>
      <c r="AJ18" s="221"/>
      <c r="AL18" s="222"/>
      <c r="AM18" s="223" t="n">
        <f aca="false">$X18</f>
        <v>0</v>
      </c>
      <c r="AN18" s="224" t="n">
        <f aca="false" t="array" ref="AN18:AN18">ROUND(ORÇAMENTO.CustoUnitario*(1+$AH18),2)</f>
        <v>0</v>
      </c>
    </row>
    <row r="19" customFormat="false" ht="12.75" hidden="false" customHeight="false" outlineLevel="0" collapsed="false">
      <c r="A19" s="0" t="n">
        <f aca="false">CHOOSE(1+LOG(1+2*(ORÇAMENTO.Nivel="Meta")+4*(ORÇAMENTO.Nivel="Nível 2")+8*(ORÇAMENTO.Nivel="Nível 3")+16*(ORÇAMENTO.Nivel="Nível 4")+32*(ORÇAMENTO.Nivel="Serviço"),2),0,1,2,3,4,"S")</f>
        <v>2</v>
      </c>
      <c r="B19" s="0" t="n">
        <f aca="true">IF(OR(C19="s",C19=0),OFFSET(B19,-1,0),C19)</f>
        <v>2</v>
      </c>
      <c r="C19" s="0" t="n">
        <f aca="true">IF(OFFSET(C19,-1,0)="L",1,IF(OFFSET(C19,-1,0)=1,2,IF(OR(A19="s",A19=0),"S",IF(AND(OFFSET(C19,-1,0)=2,A19=4),3,IF(AND(OR(OFFSET(C19,-1,0)="s",OFFSET(C19,-1,0)=0),A19&lt;&gt;"s",A19&gt;OFFSET(B19,-1,0)),OFFSET(B19,-1,0),A19)))))</f>
        <v>2</v>
      </c>
      <c r="D19" s="0" t="n">
        <f aca="false">IF(OR(C19="S",C19=0),0,IF(ISERROR(K19),J19,SMALL(J19:K19,1)))</f>
        <v>2</v>
      </c>
      <c r="E19" s="0" t="n">
        <f aca="true">IF($C19=1,OFFSET(E19,-1,0)+MAX(1,COUNTIF(QCI!$A$13:$A$24,OFFSET(ORÇAMENTO!E19,-1,0))),OFFSET(E19,-1,0))</f>
        <v>1</v>
      </c>
      <c r="F19" s="0" t="n">
        <f aca="true">IF($C19=1,0,IF($C19=2,OFFSET(F19,-1,0)+1,OFFSET(F19,-1,0)))</f>
        <v>2</v>
      </c>
      <c r="G19" s="0" t="n">
        <f aca="true">IF(AND($C19&lt;=2,$C19&lt;&gt;0),0,IF($C19=3,OFFSET(G19,-1,0)+1,OFFSET(G19,-1,0)))</f>
        <v>0</v>
      </c>
      <c r="H19" s="0" t="n">
        <f aca="true">IF(AND($C19&lt;=3,$C19&lt;&gt;0),0,IF($C19=4,OFFSET(H19,-1,0)+1,OFFSET(H19,-1,0)))</f>
        <v>0</v>
      </c>
      <c r="I19" s="0" t="n">
        <f aca="true">IF(AND($C19&lt;=4,$C19&lt;&gt;0),0,IF(AND($C19="S",$X19&gt;0),OFFSET(I19,-1,0)+1,OFFSET(I19,-1,0)))</f>
        <v>0</v>
      </c>
      <c r="J19" s="0" t="n">
        <f aca="true">IF(OR($C19="S",$C19=0),0,MATCH(0,OFFSET($D19,1,$C19,ROW($C$21)-ROW($C19)),0))</f>
        <v>2</v>
      </c>
      <c r="K19" s="0" t="e">
        <f aca="true">IF(OR($C19="S",$C19=0),0,MATCH(OFFSET($D19,0,$C19)+IF($C19&lt;&gt;1,1,COUNTIF(QCI!$A$13:$A$24,ORÇAMENTO!E19)),OFFSET($D19,1,$C19,ROW($C$21)-ROW($C19)),0))</f>
        <v>#N/A</v>
      </c>
      <c r="L19" s="203" t="str">
        <f aca="false">IF(OR($X19&gt;0,$C19=1,$C19=2,$C19=3,$C19=4),"F","")</f>
        <v>F</v>
      </c>
      <c r="M19" s="204" t="s">
        <v>762</v>
      </c>
      <c r="N19" s="205" t="str">
        <f aca="false">CHOOSE(1+LOG(1+2*(C19=1)+4*(C19=2)+8*(C19=3)+16*(C19=4)+32*(C19="S"),2),"","Meta","Nível 2","Nível 3","Nível 4","Serviço")</f>
        <v>Nível 2</v>
      </c>
      <c r="O19" s="206" t="str">
        <f aca="false">IF(OR($C19=0,$L19=""),"-",CONCATENATE(E19&amp;".",IF(AND($A$5&gt;=2,$C19&gt;=2),F19&amp;".",""),IF(AND($A$5&gt;=3,$C19&gt;=3),G19&amp;".",""),IF(AND($A$5&gt;=4,$C19&gt;=4),H19&amp;".",""),IF($C19="S",I19&amp;".","")))</f>
        <v>1.2.</v>
      </c>
      <c r="P19" s="207" t="s">
        <v>766</v>
      </c>
      <c r="Q19" s="208"/>
      <c r="R19" s="209" t="s">
        <v>825</v>
      </c>
      <c r="S19" s="210" t="str">
        <f aca="true" t="array" ref="S19:S19">REFERENCIA.Unidade</f>
        <v>-</v>
      </c>
      <c r="T19" s="211" t="n">
        <f aca="true">OFFSET(CÁLCULO!H$15,ROW($T19)-ROW(T$15),0)</f>
        <v>0</v>
      </c>
      <c r="U19" s="212"/>
      <c r="V19" s="213" t="s">
        <v>721</v>
      </c>
      <c r="W19" s="211" t="n">
        <f aca="false" t="array" ref="W19:W19">IF($C19="S",ROUND(IF(TIPOORCAMENTO="Proposto",ORÇAMENTO.CustoUnitario*(1+$AH19),ORÇAMENTO.PrecoUnitarioLicitado),15-13*$AF$10),0)</f>
        <v>0</v>
      </c>
      <c r="X19" s="214" t="n">
        <f aca="true" t="array" ref="X19:X19">IF($C19="S",IF(OR(Import.TipoArredondamento&lt;&gt;"TransfereGOV",ACOMPANHAMENTO="BM"),VTOTAL1,SUM(OFFSET(CÁLCULO!$AA$15,ROW($X19)-ROW($X$15),1):OFFSET(CÁLCULO!$AL$15,ROW($X19)-ROW($X$15),-1))),IF($C19=0,0,ROUND(SomaAgrup,15-13*$AF$11)))</f>
        <v>0</v>
      </c>
      <c r="Y19" s="215" t="s">
        <v>774</v>
      </c>
      <c r="Z19" s="0" t="str">
        <f aca="false">IF(AND($C19="S",$X19&gt;0),IF(ISBLANK($Y19),"RA",LEFT($Y19,2)),"")</f>
        <v/>
      </c>
      <c r="AA19" s="216" t="n">
        <f aca="true" t="array" ref="AA19:AA19">IF($C19="S",IF($Z19="CP",$X19,IF($Z19="RA",(($X19)*QCI!$AA$3),0)),SomaAgrup)</f>
        <v>0</v>
      </c>
      <c r="AB19" s="217" t="n">
        <f aca="true" t="array" ref="AB19:AB19">IF($C19="S",IF($Z19="OU",ROUND($X19,2),0),SomaAgrup)</f>
        <v>0</v>
      </c>
      <c r="AC19" s="218" t="str">
        <f aca="false" t="array" ref="AC19:AC19">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v>
      </c>
      <c r="AD19" s="0" t="n">
        <f aca="true">IF(C19&lt;=CRONO.NivelExibicao,MAX($AD$15:OFFSET(AD19,-1,0))+IF($C19&lt;&gt;1,1,MAX(1,COUNTIF(QCI!$A$13:$A$24,OFFSET($E19,-1,0)))),"")</f>
        <v>3</v>
      </c>
      <c r="AE19" s="48" t="n">
        <f aca="false" t="array" ref="AE19:AE19">IF(AND($C19="S",ORÇAMENTO.CodBarra&lt;&gt;""),IF(ORÇAMENTO.Fonte="",ORÇAMENTO.CodBarra,CONCATENATE(ORÇAMENTO.Fonte," ",ORÇAMENTO.CodBarra)))</f>
        <v>0</v>
      </c>
      <c r="AF19" s="63" t="str">
        <f aca="true" t="array" ref="AF19:AF19">IF(ISERROR(ORÇAMENTO.BancoRef),"(abra o arquivo 'Referência "&amp;Excel_BuiltIn_Database&amp;".xlsm)",IF(OR($C19&lt;&gt;"S",ORÇAMENTO.CodBarra=""),"(Sem Código)",IF(ISERROR(MATCH($AE19,INDIRECT(ORÇAMENTO.BancoRef),0)),"(Código não identificado nas referências)",MATCH($AE19,INDIRECT(ORÇAMENTO.BancoRef),0))))</f>
        <v>(Sem Código)</v>
      </c>
      <c r="AG19" s="219" t="n">
        <f aca="true" t="array" ref="AG19:AG19">ROUND(IF(DESONERACAO="sim",REFERENCIA.Desonerado,REFERENCIA.NaoDesonerado),2)</f>
        <v>0</v>
      </c>
      <c r="AH19" s="220" t="n">
        <f aca="false">ROUND(IF(ISNUMBER(ORÇAMENTO.OpcaoBDI),ORÇAMENTO.OpcaoBDI,IF(LEFT(ORÇAMENTO.OpcaoBDI,3)="BDI",HLOOKUP(ORÇAMENTO.OpcaoBDI,$F$4:$H$5,2,FALSE()),0)),15-11*$AF$9)</f>
        <v>0.2558</v>
      </c>
      <c r="AJ19" s="221"/>
      <c r="AL19" s="222"/>
      <c r="AM19" s="223" t="n">
        <f aca="false">$X19</f>
        <v>0</v>
      </c>
      <c r="AN19" s="224" t="n">
        <f aca="false" t="array" ref="AN19:AN19">ROUND(ORÇAMENTO.CustoUnitario*(1+$AH19),2)</f>
        <v>0</v>
      </c>
    </row>
    <row r="20" customFormat="false" ht="23.85" hidden="false" customHeight="false" outlineLevel="0" collapsed="false">
      <c r="A20" s="0" t="str">
        <f aca="false">CHOOSE(1+LOG(1+2*(ORÇAMENTO.Nivel="Meta")+4*(ORÇAMENTO.Nivel="Nível 2")+8*(ORÇAMENTO.Nivel="Nível 3")+16*(ORÇAMENTO.Nivel="Nível 4")+32*(ORÇAMENTO.Nivel="Serviço"),2),0,1,2,3,4,"S")</f>
        <v>S</v>
      </c>
      <c r="B20" s="0" t="n">
        <f aca="true">IF(OR(C20="s",C20=0),OFFSET(B20,-1,0),C20)</f>
        <v>2</v>
      </c>
      <c r="C20" s="0" t="str">
        <f aca="true">IF(OFFSET(C20,-1,0)="L",1,IF(OFFSET(C20,-1,0)=1,2,IF(OR(A20="s",A20=0),"S",IF(AND(OFFSET(C20,-1,0)=2,A20=4),3,IF(AND(OR(OFFSET(C20,-1,0)="s",OFFSET(C20,-1,0)=0),A20&lt;&gt;"s",A20&gt;OFFSET(B20,-1,0)),OFFSET(B20,-1,0),A20)))))</f>
        <v>S</v>
      </c>
      <c r="D20" s="0" t="n">
        <f aca="false">IF(OR(C20="S",C20=0),0,IF(ISERROR(K20),J20,SMALL(J20:K20,1)))</f>
        <v>0</v>
      </c>
      <c r="E20" s="0" t="n">
        <f aca="true">IF($C20=1,OFFSET(E20,-1,0)+MAX(1,COUNTIF(QCI!$A$13:$A$24,OFFSET(ORÇAMENTO!E20,-1,0))),OFFSET(E20,-1,0))</f>
        <v>1</v>
      </c>
      <c r="F20" s="0" t="n">
        <f aca="true">IF($C20=1,0,IF($C20=2,OFFSET(F20,-1,0)+1,OFFSET(F20,-1,0)))</f>
        <v>2</v>
      </c>
      <c r="G20" s="0" t="n">
        <f aca="true">IF(AND($C20&lt;=2,$C20&lt;&gt;0),0,IF($C20=3,OFFSET(G20,-1,0)+1,OFFSET(G20,-1,0)))</f>
        <v>0</v>
      </c>
      <c r="H20" s="0" t="n">
        <f aca="true">IF(AND($C20&lt;=3,$C20&lt;&gt;0),0,IF($C20=4,OFFSET(H20,-1,0)+1,OFFSET(H20,-1,0)))</f>
        <v>0</v>
      </c>
      <c r="I20" s="0" t="n">
        <f aca="true">IF(AND($C20&lt;=4,$C20&lt;&gt;0),0,IF(AND($C20="S",$X20&gt;0),OFFSET(I20,-1,0)+1,OFFSET(I20,-1,0)))</f>
        <v>0</v>
      </c>
      <c r="J20" s="0" t="n">
        <f aca="true">IF(OR($C20="S",$C20=0),0,MATCH(0,OFFSET($D20,1,$C20,ROW($C$21)-ROW($C20)),0))</f>
        <v>0</v>
      </c>
      <c r="K20" s="0" t="n">
        <f aca="true">IF(OR($C20="S",$C20=0),0,MATCH(OFFSET($D20,0,$C20)+IF($C20&lt;&gt;1,1,COUNTIF(QCI!$A$13:$A$24,ORÇAMENTO!E20)),OFFSET($D20,1,$C20,ROW($C$21)-ROW($C20)),0))</f>
        <v>0</v>
      </c>
      <c r="L20" s="203" t="str">
        <f aca="false">IF(OR($X20&gt;0,$C20=1,$C20=2,$C20=3,$C20=4),"F","")</f>
        <v/>
      </c>
      <c r="M20" s="204" t="s">
        <v>765</v>
      </c>
      <c r="N20" s="205" t="str">
        <f aca="false">CHOOSE(1+LOG(1+2*(C20=1)+4*(C20=2)+8*(C20=3)+16*(C20=4)+32*(C20="S"),2),"","Meta","Nível 2","Nível 3","Nível 4","Serviço")</f>
        <v>Serviço</v>
      </c>
      <c r="O20" s="206" t="str">
        <f aca="false">IF(OR($C20=0,$L20=""),"-",CONCATENATE(E20&amp;".",IF(AND($A$5&gt;=2,$C20&gt;=2),F20&amp;".",""),IF(AND($A$5&gt;=3,$C20&gt;=3),G20&amp;".",""),IF(AND($A$5&gt;=4,$C20&gt;=4),H20&amp;".",""),IF($C20="S",I20&amp;".","")))</f>
        <v>-</v>
      </c>
      <c r="P20" s="207" t="s">
        <v>766</v>
      </c>
      <c r="Q20" s="208" t="s">
        <v>823</v>
      </c>
      <c r="R20" s="209" t="s">
        <v>826</v>
      </c>
      <c r="S20" s="210" t="str">
        <f aca="true" t="array" ref="S20:S20">REFERENCIA.Unidade</f>
        <v>-</v>
      </c>
      <c r="T20" s="211" t="n">
        <f aca="true">OFFSET(CÁLCULO!H$15,ROW($T20)-ROW(T$15),0)</f>
        <v>913.35</v>
      </c>
      <c r="U20" s="212" t="n">
        <f aca="false">AG20</f>
        <v>0</v>
      </c>
      <c r="V20" s="213" t="s">
        <v>721</v>
      </c>
      <c r="W20" s="211" t="n">
        <f aca="false" t="array" ref="W20:W20">IF($C20="S",ROUND(IF(TIPOORCAMENTO="Proposto",ORÇAMENTO.CustoUnitario*(1+$AH20),ORÇAMENTO.PrecoUnitarioLicitado),15-13*$AF$10),0)</f>
        <v>0</v>
      </c>
      <c r="X20" s="214" t="n">
        <f aca="true" t="array" ref="X20:X20">IF($C20="S",IF(OR(Import.TipoArredondamento&lt;&gt;"TransfereGOV",ACOMPANHAMENTO="BM"),VTOTAL1,SUM(OFFSET(CÁLCULO!$AA$15,ROW($X20)-ROW($X$15),1):OFFSET(CÁLCULO!$AL$15,ROW($X20)-ROW($X$15),-1))),IF($C20=0,0,ROUND(SomaAgrup,15-13*$AF$11)))</f>
        <v>0</v>
      </c>
      <c r="Y20" s="215" t="s">
        <v>774</v>
      </c>
      <c r="Z20" s="0" t="str">
        <f aca="false">IF(AND($C20="S",$X20&gt;0),IF(ISBLANK($Y20),"RA",LEFT($Y20,2)),"")</f>
        <v/>
      </c>
      <c r="AA20" s="216" t="n">
        <f aca="true" t="array" ref="AA20:AA20">IF($C20="S",IF($Z20="CP",$X20,IF($Z20="RA",(($X20)*QCI!$AA$3),0)),SomaAgrup)</f>
        <v>0</v>
      </c>
      <c r="AB20" s="217" t="n">
        <f aca="true" t="array" ref="AB20:AB20">IF($C20="S",IF($Z20="OU",ROUND($X20,2),0),SomaAgrup)</f>
        <v>0</v>
      </c>
      <c r="AC20" s="218" t="str">
        <f aca="false" t="array" ref="AC20:AC20">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SEM CUSTO</v>
      </c>
      <c r="AD20" s="0" t="str">
        <f aca="true">IF(C20&lt;=CRONO.NivelExibicao,MAX($AD$15:OFFSET(AD20,-1,0))+IF($C20&lt;&gt;1,1,MAX(1,COUNTIF(QCI!$A$13:$A$24,OFFSET($E20,-1,0)))),"")</f>
        <v/>
      </c>
      <c r="AE20" s="48" t="str">
        <f aca="false" t="array" ref="AE20:AE20">IF(AND($C20="S",ORÇAMENTO.CodBarra&lt;&gt;""),IF(ORÇAMENTO.Fonte="",ORÇAMENTO.CodBarra,CONCATENATE(ORÇAMENTO.Fonte," ",ORÇAMENTO.CodBarra)))</f>
        <v>SINAPI 101850</v>
      </c>
      <c r="AF20" s="63" t="str">
        <f aca="true" t="array" ref="AF20:AF20">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219" t="n">
        <f aca="true" t="array" ref="AG20:AG20">ROUND(IF(DESONERACAO="sim",REFERENCIA.Desonerado,REFERENCIA.NaoDesonerado),2)</f>
        <v>0</v>
      </c>
      <c r="AH20" s="220" t="n">
        <f aca="false">ROUND(IF(ISNUMBER(ORÇAMENTO.OpcaoBDI),ORÇAMENTO.OpcaoBDI,IF(LEFT(ORÇAMENTO.OpcaoBDI,3)="BDI",HLOOKUP(ORÇAMENTO.OpcaoBDI,$F$4:$H$5,2,FALSE()),0)),15-11*$AF$9)</f>
        <v>0.2558</v>
      </c>
      <c r="AJ20" s="221"/>
      <c r="AL20" s="222"/>
      <c r="AM20" s="223" t="n">
        <f aca="false">$X20</f>
        <v>0</v>
      </c>
      <c r="AN20" s="224" t="n">
        <f aca="false" t="array" ref="AN20:AN20">ROUND(ORÇAMENTO.CustoUnitario*(1+$AH20),2)</f>
        <v>0</v>
      </c>
    </row>
    <row r="21" customFormat="false" ht="4.5" hidden="false" customHeight="true" outlineLevel="0" collapsed="false">
      <c r="A21" s="0" t="n">
        <v>-1</v>
      </c>
      <c r="C21" s="0" t="n">
        <v>-1</v>
      </c>
      <c r="E21" s="0" t="n">
        <v>0</v>
      </c>
      <c r="F21" s="0" t="n">
        <v>0</v>
      </c>
      <c r="G21" s="0" t="n">
        <v>0</v>
      </c>
      <c r="H21" s="0" t="n">
        <v>0</v>
      </c>
      <c r="I21" s="0" t="n">
        <v>0</v>
      </c>
      <c r="L21" s="203" t="s">
        <v>594</v>
      </c>
      <c r="M21" s="239"/>
      <c r="N21" s="240"/>
      <c r="O21" s="239"/>
      <c r="P21" s="241"/>
      <c r="Q21" s="241"/>
      <c r="R21" s="241"/>
      <c r="S21" s="241"/>
      <c r="T21" s="241"/>
      <c r="U21" s="241"/>
      <c r="V21" s="241"/>
      <c r="W21" s="241"/>
      <c r="X21" s="240"/>
      <c r="Y21" s="240"/>
      <c r="AC21" s="218" t="str">
        <f aca="false" t="array" ref="AC21:AC2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v>
      </c>
      <c r="AF21" s="63"/>
      <c r="AG21" s="242"/>
      <c r="AH21" s="243"/>
      <c r="AJ21" s="244"/>
      <c r="AL21" s="242"/>
      <c r="AM21" s="245"/>
      <c r="AN21" s="243"/>
    </row>
    <row r="22" customFormat="false" ht="12.75" hidden="false" customHeight="false" outlineLevel="0" collapsed="false">
      <c r="AF22" s="63"/>
    </row>
    <row r="23" customFormat="false" ht="12.75" hidden="false" customHeight="false" outlineLevel="0" collapsed="false">
      <c r="AF23" s="63"/>
    </row>
    <row r="24" customFormat="false" ht="13.8" hidden="false" customHeight="false" outlineLevel="0" collapsed="false">
      <c r="O24" s="246" t="s">
        <v>827</v>
      </c>
      <c r="Q24" s="247" t="s">
        <v>828</v>
      </c>
      <c r="R24" s="247"/>
      <c r="S24" s="247"/>
      <c r="T24" s="247"/>
      <c r="U24" s="247"/>
      <c r="V24" s="247"/>
      <c r="W24" s="247"/>
      <c r="X24" s="247"/>
      <c r="AF24" s="63"/>
    </row>
    <row r="25" customFormat="false" ht="12.75" hidden="false" customHeight="false" outlineLevel="0" collapsed="false">
      <c r="AF25" s="63"/>
    </row>
    <row r="26" customFormat="false" ht="13.8" hidden="false" customHeight="false" outlineLevel="0" collapsed="false">
      <c r="O26" s="248" t="s">
        <v>749</v>
      </c>
      <c r="X26" s="8"/>
      <c r="AF26" s="63"/>
    </row>
    <row r="27" customFormat="false" ht="12.75" hidden="false" customHeight="true" outlineLevel="0" collapsed="false">
      <c r="O27" s="249"/>
      <c r="P27" s="249"/>
      <c r="Q27" s="249"/>
      <c r="R27" s="249"/>
      <c r="S27" s="249"/>
      <c r="T27" s="249"/>
      <c r="U27" s="249"/>
      <c r="V27" s="249"/>
      <c r="W27" s="249"/>
      <c r="X27" s="249"/>
      <c r="AF27" s="63"/>
    </row>
    <row r="28" customFormat="false" ht="12.75" hidden="false" customHeight="false" outlineLevel="0" collapsed="false">
      <c r="O28" s="249"/>
      <c r="P28" s="249"/>
      <c r="Q28" s="249"/>
      <c r="R28" s="249"/>
      <c r="S28" s="249"/>
      <c r="T28" s="249"/>
      <c r="U28" s="249"/>
      <c r="V28" s="249"/>
      <c r="W28" s="249"/>
      <c r="X28" s="249"/>
      <c r="AF28" s="63"/>
    </row>
    <row r="29" customFormat="false" ht="12.75" hidden="false" customHeight="false" outlineLevel="0" collapsed="false">
      <c r="O29" s="249"/>
      <c r="P29" s="249"/>
      <c r="Q29" s="249"/>
      <c r="R29" s="249"/>
      <c r="S29" s="249"/>
      <c r="T29" s="249"/>
      <c r="U29" s="249"/>
      <c r="V29" s="249"/>
      <c r="W29" s="249"/>
      <c r="X29" s="249"/>
      <c r="AF29" s="63"/>
    </row>
    <row r="30" customFormat="false" ht="13.8" hidden="false" customHeight="false" outlineLevel="0" collapsed="false">
      <c r="O30" s="250"/>
      <c r="P30" s="250"/>
      <c r="Q30" s="250"/>
      <c r="R30" s="250"/>
      <c r="S30" s="250"/>
      <c r="T30" s="250"/>
      <c r="U30" s="250"/>
      <c r="V30" s="250"/>
      <c r="W30" s="250"/>
      <c r="X30" s="250"/>
      <c r="Y30" s="250"/>
      <c r="Z30" s="251"/>
      <c r="AA30" s="251"/>
      <c r="AB30" s="251"/>
      <c r="AF30" s="63"/>
    </row>
    <row r="31" customFormat="false" ht="14.15" hidden="false" customHeight="false" outlineLevel="0" collapsed="false">
      <c r="O31" s="252" t="str">
        <f aca="false">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31" s="252"/>
      <c r="Q31" s="252"/>
      <c r="R31" s="252"/>
      <c r="S31" s="252"/>
      <c r="T31" s="252"/>
      <c r="U31" s="252"/>
      <c r="V31" s="252"/>
      <c r="W31" s="252"/>
      <c r="X31" s="252"/>
      <c r="Y31" s="253"/>
      <c r="Z31" s="253"/>
      <c r="AA31" s="253"/>
      <c r="AB31" s="253"/>
      <c r="AF31" s="63"/>
    </row>
    <row r="32" customFormat="false" ht="15" hidden="false" customHeight="true" outlineLevel="0" collapsed="false">
      <c r="O32" s="254" t="s">
        <v>829</v>
      </c>
      <c r="P32" s="254"/>
      <c r="Q32" s="254"/>
      <c r="R32" s="254"/>
      <c r="S32" s="254"/>
      <c r="T32" s="254"/>
      <c r="U32" s="254"/>
      <c r="V32" s="254"/>
      <c r="W32" s="254"/>
      <c r="X32" s="254"/>
      <c r="Y32" s="253"/>
      <c r="Z32" s="253"/>
      <c r="AA32" s="253"/>
      <c r="AB32" s="253"/>
      <c r="AF32" s="63"/>
    </row>
    <row r="33" customFormat="false" ht="12.75" hidden="false" customHeight="false" outlineLevel="0" collapsed="false">
      <c r="AF33" s="63"/>
    </row>
    <row r="34" customFormat="false" ht="30" hidden="false" customHeight="true" outlineLevel="0" collapsed="false">
      <c r="O34" s="255" t="n">
        <f aca="false">Import.Município</f>
        <v>0</v>
      </c>
      <c r="P34" s="255"/>
      <c r="Q34" s="255"/>
      <c r="S34" s="256"/>
      <c r="T34" s="256"/>
      <c r="U34" s="256"/>
      <c r="V34" s="256"/>
      <c r="W34" s="46"/>
      <c r="AF34" s="63"/>
    </row>
    <row r="35" customFormat="false" ht="12.75" hidden="false" customHeight="false" outlineLevel="0" collapsed="false">
      <c r="O35" s="52" t="s">
        <v>753</v>
      </c>
      <c r="S35" s="257" t="s">
        <v>756</v>
      </c>
      <c r="T35" s="257"/>
      <c r="U35" s="257"/>
      <c r="V35" s="257"/>
      <c r="AF35" s="63"/>
    </row>
    <row r="36" customFormat="false" ht="12.75" hidden="false" customHeight="false" outlineLevel="0" collapsed="false">
      <c r="S36" s="147" t="s">
        <v>295</v>
      </c>
      <c r="T36" s="148" t="str">
        <f aca="false" t="array" ref="T36:T38">Import.RespOrçamento</f>
        <v>ANA PAULA MESQUITA CICHOWSI</v>
      </c>
      <c r="V36" s="149"/>
      <c r="AF36" s="63"/>
    </row>
    <row r="37" customFormat="false" ht="12.75" hidden="false" customHeight="false" outlineLevel="0" collapsed="false">
      <c r="O37" s="258" t="n">
        <f aca="false">DADOS!$C$25</f>
        <v>45991</v>
      </c>
      <c r="P37" s="258"/>
      <c r="Q37" s="258"/>
      <c r="S37" s="147" t="s">
        <v>299</v>
      </c>
      <c r="T37" s="148" t="str">
        <v>RS 207.916</v>
      </c>
      <c r="U37" s="149"/>
      <c r="V37" s="149"/>
      <c r="AF37" s="63"/>
    </row>
    <row r="38" customFormat="false" ht="12.75" hidden="false" customHeight="false" outlineLevel="0" collapsed="false">
      <c r="O38" s="259" t="s">
        <v>754</v>
      </c>
      <c r="P38" s="32"/>
      <c r="Q38" s="32"/>
      <c r="S38" s="147" t="s">
        <v>303</v>
      </c>
      <c r="T38" s="148" t="n">
        <v>0</v>
      </c>
      <c r="U38" s="149"/>
      <c r="V38" s="149"/>
      <c r="AF38" s="63"/>
    </row>
    <row r="39" customFormat="false" ht="12.75" hidden="false" customHeight="false" outlineLevel="0" collapsed="false">
      <c r="AF39" s="63"/>
    </row>
    <row r="40" customFormat="false" ht="12.75" hidden="false" customHeight="false" outlineLevel="0" collapsed="false">
      <c r="AF40" s="63"/>
    </row>
    <row r="41" customFormat="false" ht="12.75" hidden="false" customHeight="false" outlineLevel="0" collapsed="false">
      <c r="AF41" s="63"/>
    </row>
    <row r="42" customFormat="false" ht="12.75" hidden="false" customHeight="false" outlineLevel="0" collapsed="false">
      <c r="AF42" s="63"/>
    </row>
    <row r="43" customFormat="false" ht="12.75" hidden="false" customHeight="false" outlineLevel="0" collapsed="false">
      <c r="AF43" s="63"/>
    </row>
    <row r="44" customFormat="false" ht="12.75" hidden="false" customHeight="false" outlineLevel="0" collapsed="false">
      <c r="AF44" s="63"/>
    </row>
    <row r="45" customFormat="false" ht="12.75" hidden="false" customHeight="false" outlineLevel="0" collapsed="false">
      <c r="AF45" s="63"/>
    </row>
    <row r="46" customFormat="false" ht="12.75" hidden="false" customHeight="false" outlineLevel="0" collapsed="false">
      <c r="AF46" s="63"/>
    </row>
    <row r="47" customFormat="false" ht="12.75" hidden="false" customHeight="false" outlineLevel="0" collapsed="false">
      <c r="AF47" s="63"/>
    </row>
    <row r="48" customFormat="false" ht="12.75" hidden="false" customHeight="false" outlineLevel="0" collapsed="false">
      <c r="AF48" s="63"/>
    </row>
    <row r="49" customFormat="false" ht="12.75" hidden="false" customHeight="false" outlineLevel="0" collapsed="false">
      <c r="AF49" s="63"/>
    </row>
    <row r="50" customFormat="false" ht="12.75" hidden="false" customHeight="false" outlineLevel="0" collapsed="false">
      <c r="AF50" s="63"/>
    </row>
    <row r="51" customFormat="false" ht="12.75" hidden="false" customHeight="false" outlineLevel="0" collapsed="false">
      <c r="AF51" s="63"/>
    </row>
    <row r="52" customFormat="false" ht="12.75" hidden="false" customHeight="false" outlineLevel="0" collapsed="false">
      <c r="AF52" s="63"/>
    </row>
    <row r="53" customFormat="false" ht="12.75" hidden="false" customHeight="false" outlineLevel="0" collapsed="false">
      <c r="AF53" s="63"/>
    </row>
    <row r="54" customFormat="false" ht="12.75" hidden="false" customHeight="false" outlineLevel="0" collapsed="false">
      <c r="AF54" s="63"/>
    </row>
    <row r="55" customFormat="false" ht="12.75" hidden="false" customHeight="false" outlineLevel="0" collapsed="false">
      <c r="AF55" s="63"/>
    </row>
    <row r="56" customFormat="false" ht="12.75" hidden="false" customHeight="false" outlineLevel="0" collapsed="false">
      <c r="AF56" s="63"/>
    </row>
    <row r="57" customFormat="false" ht="12.75" hidden="false" customHeight="false" outlineLevel="0" collapsed="false">
      <c r="AF57" s="63"/>
    </row>
    <row r="58" customFormat="false" ht="12.75" hidden="false" customHeight="false" outlineLevel="0" collapsed="false">
      <c r="AF58" s="63"/>
    </row>
    <row r="59" customFormat="false" ht="12.75" hidden="false" customHeight="false" outlineLevel="0" collapsed="false">
      <c r="AF59" s="63"/>
    </row>
    <row r="60" customFormat="false" ht="12.75" hidden="false" customHeight="false" outlineLevel="0" collapsed="false">
      <c r="AF60" s="63"/>
    </row>
    <row r="61" customFormat="false" ht="12.75" hidden="false" customHeight="false" outlineLevel="0" collapsed="false">
      <c r="AF61" s="63"/>
    </row>
    <row r="62" customFormat="false" ht="12.75" hidden="false" customHeight="false" outlineLevel="0" collapsed="false">
      <c r="AF62" s="63"/>
    </row>
    <row r="63" customFormat="false" ht="12.75" hidden="false" customHeight="false" outlineLevel="0" collapsed="false">
      <c r="AF63" s="63"/>
    </row>
    <row r="64" customFormat="false" ht="12.75" hidden="false" customHeight="false" outlineLevel="0" collapsed="false">
      <c r="AF64" s="63"/>
    </row>
    <row r="65" customFormat="false" ht="12.75" hidden="false" customHeight="false" outlineLevel="0" collapsed="false">
      <c r="AF65" s="63"/>
    </row>
    <row r="66" customFormat="false" ht="12.75" hidden="false" customHeight="false" outlineLevel="0" collapsed="false">
      <c r="AF66" s="63"/>
    </row>
    <row r="67" customFormat="false" ht="12.75" hidden="false" customHeight="false" outlineLevel="0" collapsed="false">
      <c r="AF67" s="63"/>
    </row>
    <row r="68" customFormat="false" ht="12.75" hidden="false" customHeight="false" outlineLevel="0" collapsed="false">
      <c r="AF68" s="63"/>
    </row>
    <row r="69" customFormat="false" ht="12.75" hidden="false" customHeight="false" outlineLevel="0" collapsed="false">
      <c r="AF69" s="63"/>
    </row>
    <row r="70" customFormat="false" ht="12.75" hidden="false" customHeight="false" outlineLevel="0" collapsed="false">
      <c r="AF70" s="63"/>
    </row>
    <row r="71" customFormat="false" ht="12.75" hidden="false" customHeight="false" outlineLevel="0" collapsed="false">
      <c r="AF71" s="63"/>
    </row>
    <row r="72" customFormat="false" ht="12.75" hidden="false" customHeight="false" outlineLevel="0" collapsed="false">
      <c r="AF72" s="63"/>
    </row>
    <row r="73" customFormat="false" ht="12.75" hidden="false" customHeight="false" outlineLevel="0" collapsed="false">
      <c r="AF73" s="63"/>
    </row>
    <row r="74" customFormat="false" ht="12.75" hidden="false" customHeight="false" outlineLevel="0" collapsed="false">
      <c r="AF74" s="63"/>
    </row>
    <row r="75" customFormat="false" ht="12.75" hidden="false" customHeight="false" outlineLevel="0" collapsed="false">
      <c r="AF75" s="63"/>
    </row>
    <row r="76" customFormat="false" ht="12.75" hidden="false" customHeight="false" outlineLevel="0" collapsed="false">
      <c r="AF76" s="63"/>
    </row>
    <row r="77" customFormat="false" ht="12.75" hidden="false" customHeight="false" outlineLevel="0" collapsed="false">
      <c r="AF77" s="63"/>
    </row>
    <row r="78" customFormat="false" ht="12.75" hidden="false" customHeight="false" outlineLevel="0" collapsed="false">
      <c r="AF78" s="63"/>
    </row>
    <row r="79" customFormat="false" ht="12.75" hidden="false" customHeight="false" outlineLevel="0" collapsed="false">
      <c r="AF79" s="63"/>
    </row>
    <row r="80" customFormat="false" ht="12.75" hidden="false" customHeight="false" outlineLevel="0" collapsed="false">
      <c r="AF80" s="63"/>
    </row>
    <row r="81" customFormat="false" ht="12.75" hidden="false" customHeight="false" outlineLevel="0" collapsed="false">
      <c r="AF81" s="63"/>
    </row>
    <row r="82" customFormat="false" ht="12.75" hidden="false" customHeight="false" outlineLevel="0" collapsed="false">
      <c r="AF82" s="63"/>
    </row>
    <row r="83" customFormat="false" ht="12.75" hidden="false" customHeight="false" outlineLevel="0" collapsed="false">
      <c r="AF83" s="63"/>
    </row>
    <row r="84" customFormat="false" ht="12.75" hidden="false" customHeight="false" outlineLevel="0" collapsed="false">
      <c r="AF84" s="63"/>
    </row>
    <row r="85" customFormat="false" ht="12.75" hidden="false" customHeight="false" outlineLevel="0" collapsed="false">
      <c r="AF85" s="63"/>
    </row>
    <row r="86" customFormat="false" ht="12.75" hidden="false" customHeight="false" outlineLevel="0" collapsed="false">
      <c r="AF86" s="63"/>
    </row>
    <row r="87" customFormat="false" ht="12.75" hidden="false" customHeight="false" outlineLevel="0" collapsed="false">
      <c r="AF87" s="63"/>
    </row>
    <row r="88" customFormat="false" ht="12.75" hidden="false" customHeight="false" outlineLevel="0" collapsed="false">
      <c r="AF88" s="63"/>
    </row>
    <row r="89" customFormat="false" ht="12.75" hidden="false" customHeight="false" outlineLevel="0" collapsed="false">
      <c r="AF89" s="63"/>
    </row>
    <row r="90" customFormat="false" ht="12.75" hidden="false" customHeight="false" outlineLevel="0" collapsed="false">
      <c r="AF90" s="63"/>
    </row>
    <row r="91" customFormat="false" ht="12.75" hidden="false" customHeight="false" outlineLevel="0" collapsed="false">
      <c r="AF91" s="63"/>
    </row>
    <row r="92" customFormat="false" ht="12.75" hidden="false" customHeight="false" outlineLevel="0" collapsed="false">
      <c r="AF92" s="63"/>
    </row>
    <row r="93" customFormat="false" ht="12.75" hidden="false" customHeight="false" outlineLevel="0" collapsed="false">
      <c r="AF93" s="63"/>
    </row>
    <row r="94" customFormat="false" ht="12.75" hidden="false" customHeight="false" outlineLevel="0" collapsed="false">
      <c r="AF94" s="63"/>
    </row>
    <row r="95" customFormat="false" ht="12.75" hidden="false" customHeight="false" outlineLevel="0" collapsed="false">
      <c r="AF95" s="63"/>
    </row>
    <row r="96" customFormat="false" ht="12.75" hidden="false" customHeight="false" outlineLevel="0" collapsed="false">
      <c r="AF96" s="63"/>
    </row>
    <row r="97" customFormat="false" ht="12.75" hidden="false" customHeight="false" outlineLevel="0" collapsed="false">
      <c r="AF97" s="63"/>
    </row>
    <row r="98" customFormat="false" ht="12.75" hidden="false" customHeight="false" outlineLevel="0" collapsed="false">
      <c r="AF98" s="63"/>
    </row>
    <row r="99" customFormat="false" ht="12.75" hidden="false" customHeight="false" outlineLevel="0" collapsed="false">
      <c r="AF99" s="63"/>
    </row>
    <row r="100" customFormat="false" ht="12.75" hidden="false" customHeight="false" outlineLevel="0" collapsed="false">
      <c r="AF100" s="63"/>
    </row>
    <row r="101" customFormat="false" ht="12.75" hidden="false" customHeight="false" outlineLevel="0" collapsed="false">
      <c r="AF101" s="63"/>
    </row>
    <row r="102" customFormat="false" ht="12.75" hidden="false" customHeight="false" outlineLevel="0" collapsed="false">
      <c r="AF102" s="63"/>
    </row>
    <row r="103" customFormat="false" ht="12.75" hidden="false" customHeight="false" outlineLevel="0" collapsed="false">
      <c r="AF103" s="63"/>
    </row>
    <row r="104" customFormat="false" ht="12.75" hidden="false" customHeight="false" outlineLevel="0" collapsed="false">
      <c r="AF104" s="63"/>
    </row>
    <row r="105" customFormat="false" ht="12.75" hidden="false" customHeight="false" outlineLevel="0" collapsed="false">
      <c r="AF105" s="63"/>
    </row>
    <row r="106" customFormat="false" ht="12.75" hidden="false" customHeight="false" outlineLevel="0" collapsed="false">
      <c r="AF106" s="63"/>
    </row>
    <row r="107" customFormat="false" ht="12.75" hidden="false" customHeight="false" outlineLevel="0" collapsed="false">
      <c r="AF107" s="63"/>
    </row>
    <row r="108" customFormat="false" ht="12.75" hidden="false" customHeight="false" outlineLevel="0" collapsed="false">
      <c r="AF108" s="63"/>
    </row>
    <row r="109" customFormat="false" ht="12.75" hidden="false" customHeight="false" outlineLevel="0" collapsed="false">
      <c r="AF109" s="63"/>
    </row>
    <row r="110" customFormat="false" ht="12.75" hidden="false" customHeight="false" outlineLevel="0" collapsed="false">
      <c r="AF110" s="63"/>
    </row>
    <row r="111" customFormat="false" ht="12.75" hidden="false" customHeight="false" outlineLevel="0" collapsed="false">
      <c r="AF111" s="63"/>
    </row>
    <row r="112" customFormat="false" ht="12.75" hidden="false" customHeight="false" outlineLevel="0" collapsed="false">
      <c r="AF112" s="63"/>
    </row>
    <row r="113" customFormat="false" ht="12.75" hidden="false" customHeight="false" outlineLevel="0" collapsed="false">
      <c r="AF113" s="63"/>
    </row>
    <row r="114" customFormat="false" ht="12.75" hidden="false" customHeight="false" outlineLevel="0" collapsed="false">
      <c r="AF114" s="63"/>
    </row>
    <row r="115" customFormat="false" ht="12.75" hidden="false" customHeight="false" outlineLevel="0" collapsed="false">
      <c r="AF115" s="63"/>
    </row>
    <row r="116" customFormat="false" ht="12.75" hidden="false" customHeight="false" outlineLevel="0" collapsed="false">
      <c r="AF116" s="63"/>
    </row>
    <row r="117" customFormat="false" ht="12.75" hidden="false" customHeight="false" outlineLevel="0" collapsed="false">
      <c r="AF117" s="63"/>
    </row>
    <row r="118" customFormat="false" ht="12.75" hidden="false" customHeight="false" outlineLevel="0" collapsed="false">
      <c r="AF118" s="63"/>
    </row>
    <row r="119" customFormat="false" ht="12.75" hidden="false" customHeight="false" outlineLevel="0" collapsed="false">
      <c r="AF119" s="63"/>
    </row>
    <row r="120" customFormat="false" ht="12.75" hidden="false" customHeight="false" outlineLevel="0" collapsed="false">
      <c r="AF120" s="63"/>
    </row>
    <row r="121" customFormat="false" ht="12.75" hidden="false" customHeight="false" outlineLevel="0" collapsed="false">
      <c r="AF121" s="63"/>
    </row>
    <row r="122" customFormat="false" ht="12.75" hidden="false" customHeight="false" outlineLevel="0" collapsed="false">
      <c r="AF122" s="63"/>
    </row>
    <row r="123" customFormat="false" ht="12.75" hidden="false" customHeight="false" outlineLevel="0" collapsed="false">
      <c r="AF123" s="63"/>
    </row>
    <row r="124" customFormat="false" ht="12.75" hidden="false" customHeight="false" outlineLevel="0" collapsed="false">
      <c r="AF124" s="63"/>
    </row>
    <row r="125" customFormat="false" ht="12.75" hidden="false" customHeight="false" outlineLevel="0" collapsed="false">
      <c r="AF125" s="63"/>
    </row>
    <row r="126" customFormat="false" ht="12.75" hidden="false" customHeight="false" outlineLevel="0" collapsed="false">
      <c r="AF126" s="63"/>
    </row>
    <row r="127" customFormat="false" ht="12.75" hidden="false" customHeight="false" outlineLevel="0" collapsed="false">
      <c r="AF127" s="63"/>
    </row>
    <row r="128" customFormat="false" ht="12.75" hidden="false" customHeight="false" outlineLevel="0" collapsed="false">
      <c r="AF128" s="63"/>
    </row>
    <row r="129" customFormat="false" ht="12.75" hidden="false" customHeight="false" outlineLevel="0" collapsed="false">
      <c r="AF129" s="63"/>
    </row>
    <row r="130" customFormat="false" ht="12.75" hidden="false" customHeight="false" outlineLevel="0" collapsed="false">
      <c r="AF130" s="63"/>
    </row>
    <row r="131" customFormat="false" ht="12.75" hidden="false" customHeight="false" outlineLevel="0" collapsed="false">
      <c r="AF131" s="63"/>
    </row>
    <row r="132" customFormat="false" ht="12.75" hidden="false" customHeight="false" outlineLevel="0" collapsed="false">
      <c r="AF132" s="63"/>
    </row>
    <row r="133" customFormat="false" ht="12.75" hidden="false" customHeight="false" outlineLevel="0" collapsed="false">
      <c r="AF133" s="63"/>
    </row>
    <row r="134" customFormat="false" ht="12.75" hidden="false" customHeight="false" outlineLevel="0" collapsed="false">
      <c r="AF134" s="63"/>
    </row>
    <row r="135" customFormat="false" ht="12.75" hidden="false" customHeight="false" outlineLevel="0" collapsed="false">
      <c r="AF135" s="63"/>
    </row>
    <row r="136" customFormat="false" ht="12.75" hidden="false" customHeight="false" outlineLevel="0" collapsed="false">
      <c r="AF136" s="63"/>
    </row>
    <row r="137" customFormat="false" ht="12.75" hidden="false" customHeight="false" outlineLevel="0" collapsed="false">
      <c r="AF137" s="63"/>
    </row>
    <row r="138" customFormat="false" ht="12.75" hidden="false" customHeight="false" outlineLevel="0" collapsed="false">
      <c r="AF138" s="63"/>
    </row>
    <row r="139" customFormat="false" ht="12.75" hidden="false" customHeight="false" outlineLevel="0" collapsed="false">
      <c r="AF139" s="63"/>
    </row>
    <row r="140" customFormat="false" ht="12.75" hidden="false" customHeight="false" outlineLevel="0" collapsed="false">
      <c r="AF140" s="63"/>
    </row>
    <row r="141" customFormat="false" ht="12.75" hidden="false" customHeight="false" outlineLevel="0" collapsed="false">
      <c r="AF141" s="63"/>
    </row>
    <row r="142" customFormat="false" ht="12.75" hidden="false" customHeight="false" outlineLevel="0" collapsed="false">
      <c r="AF142" s="63"/>
    </row>
    <row r="143" customFormat="false" ht="12.75" hidden="false" customHeight="false" outlineLevel="0" collapsed="false">
      <c r="AF143" s="63"/>
    </row>
    <row r="144" customFormat="false" ht="12.75" hidden="false" customHeight="false" outlineLevel="0" collapsed="false">
      <c r="AF144" s="63"/>
    </row>
    <row r="145" customFormat="false" ht="12.75" hidden="false" customHeight="false" outlineLevel="0" collapsed="false">
      <c r="AF145" s="63"/>
    </row>
    <row r="146" customFormat="false" ht="12.75" hidden="false" customHeight="false" outlineLevel="0" collapsed="false">
      <c r="AF146" s="63"/>
    </row>
    <row r="147" customFormat="false" ht="12.75" hidden="false" customHeight="false" outlineLevel="0" collapsed="false">
      <c r="AF147" s="63"/>
    </row>
    <row r="148" customFormat="false" ht="12.75" hidden="false" customHeight="false" outlineLevel="0" collapsed="false">
      <c r="AF148" s="63"/>
    </row>
    <row r="149" customFormat="false" ht="12.75" hidden="false" customHeight="false" outlineLevel="0" collapsed="false">
      <c r="AF149" s="63"/>
    </row>
    <row r="150" customFormat="false" ht="12.75" hidden="false" customHeight="false" outlineLevel="0" collapsed="false">
      <c r="AF150" s="63"/>
    </row>
    <row r="151" customFormat="false" ht="12.75" hidden="false" customHeight="false" outlineLevel="0" collapsed="false">
      <c r="AF151" s="63"/>
    </row>
    <row r="152" customFormat="false" ht="12.75" hidden="false" customHeight="false" outlineLevel="0" collapsed="false">
      <c r="AF152" s="63"/>
    </row>
    <row r="153" customFormat="false" ht="12.75" hidden="false" customHeight="false" outlineLevel="0" collapsed="false">
      <c r="AF153" s="63"/>
    </row>
    <row r="154" customFormat="false" ht="12.75" hidden="false" customHeight="false" outlineLevel="0" collapsed="false">
      <c r="AF154" s="63"/>
    </row>
    <row r="155" customFormat="false" ht="12.75" hidden="false" customHeight="false" outlineLevel="0" collapsed="false">
      <c r="AF155" s="63"/>
    </row>
    <row r="156" customFormat="false" ht="12.75" hidden="false" customHeight="false" outlineLevel="0" collapsed="false">
      <c r="AF156" s="63"/>
    </row>
    <row r="157" customFormat="false" ht="12.75" hidden="false" customHeight="false" outlineLevel="0" collapsed="false">
      <c r="AF157" s="63"/>
    </row>
    <row r="158" customFormat="false" ht="12.75" hidden="false" customHeight="false" outlineLevel="0" collapsed="false">
      <c r="AF158" s="63"/>
    </row>
    <row r="159" customFormat="false" ht="12.75" hidden="false" customHeight="false" outlineLevel="0" collapsed="false">
      <c r="AF159" s="63"/>
    </row>
    <row r="160" customFormat="false" ht="12.75" hidden="false" customHeight="false" outlineLevel="0" collapsed="false">
      <c r="AF160" s="63"/>
    </row>
    <row r="161" customFormat="false" ht="12.75" hidden="false" customHeight="false" outlineLevel="0" collapsed="false">
      <c r="AF161" s="63"/>
    </row>
    <row r="162" customFormat="false" ht="12.75" hidden="false" customHeight="false" outlineLevel="0" collapsed="false">
      <c r="AF162" s="63"/>
    </row>
    <row r="163" customFormat="false" ht="12.75" hidden="false" customHeight="false" outlineLevel="0" collapsed="false">
      <c r="AF163" s="63"/>
    </row>
    <row r="164" customFormat="false" ht="12.75" hidden="false" customHeight="false" outlineLevel="0" collapsed="false">
      <c r="AF164" s="63"/>
    </row>
    <row r="165" customFormat="false" ht="12.75" hidden="false" customHeight="false" outlineLevel="0" collapsed="false">
      <c r="AF165" s="63"/>
    </row>
    <row r="166" customFormat="false" ht="12.75" hidden="false" customHeight="false" outlineLevel="0" collapsed="false">
      <c r="AF166" s="63"/>
    </row>
    <row r="167" customFormat="false" ht="12.75" hidden="false" customHeight="false" outlineLevel="0" collapsed="false">
      <c r="AF167" s="63"/>
    </row>
    <row r="168" customFormat="false" ht="12.75" hidden="false" customHeight="false" outlineLevel="0" collapsed="false">
      <c r="AF168" s="63"/>
    </row>
    <row r="169" customFormat="false" ht="12.75" hidden="false" customHeight="false" outlineLevel="0" collapsed="false">
      <c r="AF169" s="63"/>
    </row>
    <row r="170" customFormat="false" ht="12.75" hidden="false" customHeight="false" outlineLevel="0" collapsed="false">
      <c r="AF170" s="63"/>
    </row>
    <row r="171" customFormat="false" ht="12.75" hidden="false" customHeight="false" outlineLevel="0" collapsed="false">
      <c r="AF171" s="63"/>
    </row>
    <row r="172" customFormat="false" ht="12.75" hidden="false" customHeight="false" outlineLevel="0" collapsed="false">
      <c r="AF172" s="63"/>
    </row>
    <row r="173" customFormat="false" ht="12.75" hidden="false" customHeight="false" outlineLevel="0" collapsed="false">
      <c r="AF173" s="63"/>
    </row>
    <row r="174" customFormat="false" ht="12.75" hidden="false" customHeight="false" outlineLevel="0" collapsed="false">
      <c r="AF174" s="63"/>
    </row>
    <row r="175" customFormat="false" ht="12.75" hidden="false" customHeight="false" outlineLevel="0" collapsed="false">
      <c r="AF175" s="63"/>
    </row>
    <row r="176" customFormat="false" ht="12.75" hidden="false" customHeight="false" outlineLevel="0" collapsed="false">
      <c r="AF176" s="63"/>
    </row>
    <row r="177" customFormat="false" ht="12.75" hidden="false" customHeight="false" outlineLevel="0" collapsed="false">
      <c r="AF177" s="63"/>
    </row>
    <row r="178" customFormat="false" ht="12.75" hidden="false" customHeight="false" outlineLevel="0" collapsed="false">
      <c r="AF178" s="63"/>
    </row>
    <row r="179" customFormat="false" ht="12.75" hidden="false" customHeight="false" outlineLevel="0" collapsed="false">
      <c r="AF179" s="63"/>
    </row>
    <row r="180" customFormat="false" ht="12.75" hidden="false" customHeight="false" outlineLevel="0" collapsed="false">
      <c r="AF180" s="63"/>
    </row>
    <row r="181" customFormat="false" ht="12.75" hidden="false" customHeight="false" outlineLevel="0" collapsed="false">
      <c r="AF181" s="63"/>
    </row>
    <row r="182" customFormat="false" ht="12.75" hidden="false" customHeight="false" outlineLevel="0" collapsed="false">
      <c r="AF182" s="63"/>
    </row>
    <row r="183" customFormat="false" ht="12.75" hidden="false" customHeight="false" outlineLevel="0" collapsed="false">
      <c r="AF183" s="63"/>
    </row>
    <row r="184" customFormat="false" ht="12.75" hidden="false" customHeight="false" outlineLevel="0" collapsed="false">
      <c r="AF184" s="63"/>
    </row>
    <row r="185" customFormat="false" ht="12.75" hidden="false" customHeight="false" outlineLevel="0" collapsed="false">
      <c r="AF185" s="63"/>
    </row>
    <row r="186" customFormat="false" ht="12.75" hidden="false" customHeight="false" outlineLevel="0" collapsed="false">
      <c r="AF186" s="63"/>
    </row>
    <row r="187" customFormat="false" ht="12.75" hidden="false" customHeight="false" outlineLevel="0" collapsed="false">
      <c r="AF187" s="63"/>
    </row>
    <row r="188" customFormat="false" ht="12.75" hidden="false" customHeight="false" outlineLevel="0" collapsed="false">
      <c r="AF188" s="63"/>
    </row>
    <row r="189" customFormat="false" ht="12.75" hidden="false" customHeight="false" outlineLevel="0" collapsed="false">
      <c r="AF189" s="63"/>
    </row>
    <row r="190" customFormat="false" ht="12.75" hidden="false" customHeight="false" outlineLevel="0" collapsed="false">
      <c r="AF190" s="63"/>
    </row>
    <row r="191" customFormat="false" ht="12.75" hidden="false" customHeight="false" outlineLevel="0" collapsed="false">
      <c r="AF191" s="63"/>
    </row>
    <row r="192" customFormat="false" ht="12.75" hidden="false" customHeight="false" outlineLevel="0" collapsed="false">
      <c r="AF192" s="63"/>
    </row>
    <row r="193" customFormat="false" ht="12.75" hidden="false" customHeight="false" outlineLevel="0" collapsed="false">
      <c r="AF193" s="63"/>
    </row>
    <row r="194" customFormat="false" ht="12.75" hidden="false" customHeight="false" outlineLevel="0" collapsed="false">
      <c r="AF194" s="63"/>
    </row>
    <row r="195" customFormat="false" ht="12.75" hidden="false" customHeight="false" outlineLevel="0" collapsed="false">
      <c r="AF195" s="63"/>
    </row>
    <row r="196" customFormat="false" ht="12.75" hidden="false" customHeight="false" outlineLevel="0" collapsed="false">
      <c r="AF196" s="63"/>
    </row>
    <row r="197" customFormat="false" ht="12.75" hidden="false" customHeight="false" outlineLevel="0" collapsed="false">
      <c r="AF197" s="63"/>
    </row>
    <row r="198" customFormat="false" ht="12.75" hidden="false" customHeight="false" outlineLevel="0" collapsed="false">
      <c r="AF198" s="63"/>
    </row>
    <row r="199" customFormat="false" ht="12.75" hidden="false" customHeight="false" outlineLevel="0" collapsed="false">
      <c r="AF199" s="63"/>
    </row>
    <row r="200" customFormat="false" ht="12.75" hidden="false" customHeight="false" outlineLevel="0" collapsed="false">
      <c r="AF200" s="63"/>
    </row>
    <row r="201" customFormat="false" ht="12.75" hidden="false" customHeight="false" outlineLevel="0" collapsed="false">
      <c r="AF201" s="63"/>
    </row>
    <row r="202" customFormat="false" ht="12.75" hidden="false" customHeight="false" outlineLevel="0" collapsed="false">
      <c r="AF202" s="63"/>
    </row>
    <row r="203" customFormat="false" ht="12.75" hidden="false" customHeight="false" outlineLevel="0" collapsed="false">
      <c r="AF203" s="63"/>
    </row>
    <row r="204" customFormat="false" ht="12.75" hidden="false" customHeight="false" outlineLevel="0" collapsed="false">
      <c r="AF204" s="63"/>
    </row>
    <row r="205" customFormat="false" ht="12.75" hidden="false" customHeight="false" outlineLevel="0" collapsed="false">
      <c r="AF205" s="63"/>
    </row>
    <row r="206" customFormat="false" ht="12.75" hidden="false" customHeight="false" outlineLevel="0" collapsed="false">
      <c r="AF206" s="63"/>
    </row>
    <row r="207" customFormat="false" ht="12.75" hidden="false" customHeight="false" outlineLevel="0" collapsed="false">
      <c r="AF207" s="63"/>
    </row>
    <row r="208" customFormat="false" ht="12.75" hidden="false" customHeight="false" outlineLevel="0" collapsed="false">
      <c r="AF208" s="63"/>
    </row>
    <row r="209" customFormat="false" ht="12.75" hidden="false" customHeight="false" outlineLevel="0" collapsed="false">
      <c r="AF209" s="63"/>
    </row>
    <row r="210" customFormat="false" ht="12.75" hidden="false" customHeight="false" outlineLevel="0" collapsed="false">
      <c r="AF210" s="63"/>
    </row>
    <row r="211" customFormat="false" ht="12.75" hidden="false" customHeight="false" outlineLevel="0" collapsed="false">
      <c r="AF211" s="63"/>
    </row>
    <row r="212" customFormat="false" ht="12.75" hidden="false" customHeight="false" outlineLevel="0" collapsed="false">
      <c r="AF212" s="63"/>
    </row>
    <row r="213" customFormat="false" ht="12.75" hidden="false" customHeight="false" outlineLevel="0" collapsed="false">
      <c r="AF213" s="63"/>
    </row>
    <row r="214" customFormat="false" ht="12.75" hidden="false" customHeight="false" outlineLevel="0" collapsed="false">
      <c r="AF214" s="63"/>
    </row>
    <row r="215" customFormat="false" ht="12.75" hidden="false" customHeight="false" outlineLevel="0" collapsed="false">
      <c r="AF215" s="63"/>
    </row>
    <row r="216" customFormat="false" ht="12.75" hidden="false" customHeight="false" outlineLevel="0" collapsed="false">
      <c r="AF216" s="63"/>
    </row>
    <row r="217" customFormat="false" ht="12.75" hidden="false" customHeight="false" outlineLevel="0" collapsed="false">
      <c r="AF217" s="63"/>
    </row>
    <row r="218" customFormat="false" ht="12.75" hidden="false" customHeight="false" outlineLevel="0" collapsed="false">
      <c r="AF218" s="63"/>
    </row>
    <row r="219" customFormat="false" ht="12.75" hidden="false" customHeight="false" outlineLevel="0" collapsed="false">
      <c r="AF219" s="63"/>
    </row>
    <row r="220" customFormat="false" ht="12.75" hidden="false" customHeight="false" outlineLevel="0" collapsed="false">
      <c r="AF220" s="63"/>
    </row>
    <row r="221" customFormat="false" ht="12.75" hidden="false" customHeight="false" outlineLevel="0" collapsed="false">
      <c r="AF221" s="63"/>
    </row>
    <row r="222" customFormat="false" ht="12.75" hidden="false" customHeight="false" outlineLevel="0" collapsed="false">
      <c r="AF222" s="63"/>
    </row>
    <row r="223" customFormat="false" ht="12.75" hidden="false" customHeight="false" outlineLevel="0" collapsed="false">
      <c r="AF223" s="63"/>
    </row>
    <row r="224" customFormat="false" ht="12.75" hidden="false" customHeight="false" outlineLevel="0" collapsed="false">
      <c r="AF224" s="63"/>
    </row>
    <row r="225" customFormat="false" ht="12.75" hidden="false" customHeight="false" outlineLevel="0" collapsed="false">
      <c r="AF225" s="63"/>
    </row>
    <row r="226" customFormat="false" ht="12.75" hidden="false" customHeight="false" outlineLevel="0" collapsed="false">
      <c r="AF226" s="63"/>
    </row>
    <row r="227" customFormat="false" ht="12.75" hidden="false" customHeight="false" outlineLevel="0" collapsed="false">
      <c r="AF227" s="63"/>
    </row>
    <row r="228" customFormat="false" ht="12.75" hidden="false" customHeight="false" outlineLevel="0" collapsed="false">
      <c r="AF228" s="63"/>
    </row>
    <row r="229" customFormat="false" ht="12.75" hidden="false" customHeight="false" outlineLevel="0" collapsed="false">
      <c r="AF229" s="63"/>
    </row>
    <row r="230" customFormat="false" ht="12.75" hidden="false" customHeight="false" outlineLevel="0" collapsed="false">
      <c r="AF230" s="63"/>
    </row>
    <row r="231" customFormat="false" ht="12.75" hidden="false" customHeight="false" outlineLevel="0" collapsed="false">
      <c r="AF231" s="63"/>
    </row>
    <row r="232" customFormat="false" ht="12.75" hidden="false" customHeight="false" outlineLevel="0" collapsed="false">
      <c r="AF232" s="63"/>
    </row>
    <row r="233" customFormat="false" ht="12.75" hidden="false" customHeight="false" outlineLevel="0" collapsed="false">
      <c r="AF233" s="63"/>
    </row>
    <row r="234" customFormat="false" ht="12.75" hidden="false" customHeight="false" outlineLevel="0" collapsed="false">
      <c r="AF234" s="63"/>
    </row>
    <row r="235" customFormat="false" ht="12.75" hidden="false" customHeight="false" outlineLevel="0" collapsed="false">
      <c r="AF235" s="63"/>
    </row>
    <row r="236" customFormat="false" ht="12.75" hidden="false" customHeight="false" outlineLevel="0" collapsed="false">
      <c r="AF236" s="63"/>
    </row>
    <row r="237" customFormat="false" ht="12.75" hidden="false" customHeight="false" outlineLevel="0" collapsed="false">
      <c r="AF237" s="63"/>
    </row>
    <row r="238" customFormat="false" ht="12.75" hidden="false" customHeight="false" outlineLevel="0" collapsed="false">
      <c r="AF238" s="63"/>
    </row>
    <row r="239" customFormat="false" ht="12.75" hidden="false" customHeight="false" outlineLevel="0" collapsed="false">
      <c r="AF239" s="63"/>
    </row>
    <row r="240" customFormat="false" ht="12.75" hidden="false" customHeight="false" outlineLevel="0" collapsed="false">
      <c r="AF240" s="63"/>
    </row>
    <row r="241" customFormat="false" ht="12.75" hidden="false" customHeight="false" outlineLevel="0" collapsed="false">
      <c r="AF241" s="63"/>
    </row>
    <row r="242" customFormat="false" ht="12.75" hidden="false" customHeight="false" outlineLevel="0" collapsed="false">
      <c r="AF242" s="63"/>
    </row>
    <row r="243" customFormat="false" ht="12.75" hidden="false" customHeight="false" outlineLevel="0" collapsed="false">
      <c r="AF243" s="63"/>
    </row>
    <row r="244" customFormat="false" ht="12.75" hidden="false" customHeight="false" outlineLevel="0" collapsed="false">
      <c r="AF244" s="63"/>
    </row>
    <row r="245" customFormat="false" ht="12.75" hidden="false" customHeight="false" outlineLevel="0" collapsed="false">
      <c r="AF245" s="63"/>
    </row>
    <row r="246" customFormat="false" ht="12.75" hidden="false" customHeight="false" outlineLevel="0" collapsed="false">
      <c r="AF246" s="63"/>
    </row>
    <row r="247" customFormat="false" ht="12.75" hidden="false" customHeight="false" outlineLevel="0" collapsed="false">
      <c r="AF247" s="63"/>
    </row>
    <row r="248" customFormat="false" ht="12.75" hidden="false" customHeight="false" outlineLevel="0" collapsed="false">
      <c r="AF248" s="63"/>
    </row>
    <row r="249" customFormat="false" ht="12.75" hidden="false" customHeight="false" outlineLevel="0" collapsed="false">
      <c r="AF249" s="63"/>
    </row>
    <row r="250" customFormat="false" ht="12.75" hidden="false" customHeight="false" outlineLevel="0" collapsed="false">
      <c r="AF250" s="63"/>
    </row>
    <row r="251" customFormat="false" ht="12.75" hidden="false" customHeight="false" outlineLevel="0" collapsed="false">
      <c r="AF251" s="63"/>
    </row>
    <row r="252" customFormat="false" ht="12.75" hidden="false" customHeight="false" outlineLevel="0" collapsed="false">
      <c r="AF252" s="63"/>
    </row>
    <row r="253" customFormat="false" ht="12.75" hidden="false" customHeight="false" outlineLevel="0" collapsed="false">
      <c r="AF253" s="63"/>
    </row>
    <row r="254" customFormat="false" ht="12.75" hidden="false" customHeight="false" outlineLevel="0" collapsed="false">
      <c r="AF254" s="63"/>
    </row>
    <row r="255" customFormat="false" ht="12.75" hidden="false" customHeight="false" outlineLevel="0" collapsed="false">
      <c r="AF255" s="63"/>
    </row>
    <row r="256" customFormat="false" ht="12.75" hidden="false" customHeight="false" outlineLevel="0" collapsed="false">
      <c r="AF256" s="63"/>
    </row>
    <row r="257" customFormat="false" ht="12.75" hidden="false" customHeight="false" outlineLevel="0" collapsed="false">
      <c r="AF257" s="63"/>
    </row>
    <row r="258" customFormat="false" ht="12.75" hidden="false" customHeight="false" outlineLevel="0" collapsed="false">
      <c r="AF258" s="63"/>
    </row>
    <row r="259" customFormat="false" ht="12.75" hidden="false" customHeight="false" outlineLevel="0" collapsed="false">
      <c r="AF259" s="63"/>
    </row>
    <row r="260" customFormat="false" ht="12.75" hidden="false" customHeight="false" outlineLevel="0" collapsed="false">
      <c r="AF260" s="63"/>
    </row>
    <row r="261" customFormat="false" ht="12.75" hidden="false" customHeight="false" outlineLevel="0" collapsed="false">
      <c r="AF261" s="63"/>
    </row>
    <row r="262" customFormat="false" ht="12.75" hidden="false" customHeight="false" outlineLevel="0" collapsed="false">
      <c r="AF262" s="63"/>
    </row>
    <row r="263" customFormat="false" ht="12.75" hidden="false" customHeight="false" outlineLevel="0" collapsed="false">
      <c r="AF263" s="63"/>
    </row>
    <row r="264" customFormat="false" ht="12.75" hidden="false" customHeight="false" outlineLevel="0" collapsed="false">
      <c r="AF264" s="63"/>
    </row>
    <row r="265" customFormat="false" ht="12.75" hidden="false" customHeight="false" outlineLevel="0" collapsed="false">
      <c r="AF265" s="63"/>
    </row>
    <row r="266" customFormat="false" ht="12.75" hidden="false" customHeight="false" outlineLevel="0" collapsed="false">
      <c r="AF266" s="63"/>
    </row>
    <row r="267" customFormat="false" ht="12.75" hidden="false" customHeight="false" outlineLevel="0" collapsed="false">
      <c r="AF267" s="63"/>
    </row>
    <row r="268" customFormat="false" ht="12.75" hidden="false" customHeight="false" outlineLevel="0" collapsed="false">
      <c r="AF268" s="63"/>
    </row>
    <row r="269" customFormat="false" ht="12.75" hidden="false" customHeight="false" outlineLevel="0" collapsed="false">
      <c r="AF269" s="63"/>
    </row>
    <row r="270" customFormat="false" ht="12.75" hidden="false" customHeight="false" outlineLevel="0" collapsed="false">
      <c r="AF270" s="63"/>
    </row>
    <row r="271" customFormat="false" ht="12.75" hidden="false" customHeight="false" outlineLevel="0" collapsed="false">
      <c r="AF271" s="63"/>
    </row>
    <row r="272" customFormat="false" ht="12.75" hidden="false" customHeight="false" outlineLevel="0" collapsed="false">
      <c r="AF272" s="63"/>
    </row>
    <row r="273" customFormat="false" ht="12.75" hidden="false" customHeight="false" outlineLevel="0" collapsed="false">
      <c r="AF273" s="63"/>
    </row>
    <row r="274" customFormat="false" ht="12.75" hidden="false" customHeight="false" outlineLevel="0" collapsed="false">
      <c r="AF274" s="63"/>
    </row>
    <row r="275" customFormat="false" ht="12.75" hidden="false" customHeight="false" outlineLevel="0" collapsed="false">
      <c r="AF275" s="63"/>
    </row>
    <row r="276" customFormat="false" ht="12.75" hidden="false" customHeight="false" outlineLevel="0" collapsed="false">
      <c r="AF276" s="63"/>
    </row>
    <row r="277" customFormat="false" ht="12.75" hidden="false" customHeight="false" outlineLevel="0" collapsed="false">
      <c r="AF277" s="63"/>
    </row>
    <row r="278" customFormat="false" ht="12.75" hidden="false" customHeight="false" outlineLevel="0" collapsed="false">
      <c r="AF278" s="63"/>
    </row>
    <row r="279" customFormat="false" ht="12.75" hidden="false" customHeight="false" outlineLevel="0" collapsed="false">
      <c r="AF279" s="63"/>
    </row>
    <row r="280" customFormat="false" ht="12.75" hidden="false" customHeight="false" outlineLevel="0" collapsed="false">
      <c r="AF280" s="63"/>
    </row>
    <row r="281" customFormat="false" ht="12.75" hidden="false" customHeight="false" outlineLevel="0" collapsed="false">
      <c r="AF281" s="63"/>
    </row>
    <row r="282" customFormat="false" ht="12.75" hidden="false" customHeight="false" outlineLevel="0" collapsed="false">
      <c r="AF282" s="63"/>
    </row>
    <row r="283" customFormat="false" ht="12.75" hidden="false" customHeight="false" outlineLevel="0" collapsed="false">
      <c r="AF283" s="63"/>
    </row>
    <row r="284" customFormat="false" ht="12.75" hidden="false" customHeight="false" outlineLevel="0" collapsed="false">
      <c r="AF284" s="63"/>
    </row>
    <row r="285" customFormat="false" ht="12.75" hidden="false" customHeight="false" outlineLevel="0" collapsed="false">
      <c r="AF285" s="63"/>
    </row>
    <row r="286" customFormat="false" ht="12.75" hidden="false" customHeight="false" outlineLevel="0" collapsed="false">
      <c r="AF286" s="63"/>
    </row>
    <row r="287" customFormat="false" ht="12.75" hidden="false" customHeight="false" outlineLevel="0" collapsed="false">
      <c r="AF287" s="63"/>
    </row>
    <row r="288" customFormat="false" ht="12.75" hidden="false" customHeight="false" outlineLevel="0" collapsed="false">
      <c r="AF288" s="63"/>
    </row>
    <row r="289" customFormat="false" ht="12.75" hidden="false" customHeight="false" outlineLevel="0" collapsed="false">
      <c r="AF289" s="63"/>
    </row>
    <row r="290" customFormat="false" ht="12.75" hidden="false" customHeight="false" outlineLevel="0" collapsed="false">
      <c r="AF290" s="63"/>
    </row>
    <row r="291" customFormat="false" ht="12.75" hidden="false" customHeight="false" outlineLevel="0" collapsed="false">
      <c r="AF291" s="63"/>
    </row>
    <row r="292" customFormat="false" ht="12.75" hidden="false" customHeight="false" outlineLevel="0" collapsed="false">
      <c r="AF292" s="63"/>
    </row>
    <row r="293" customFormat="false" ht="12.75" hidden="false" customHeight="false" outlineLevel="0" collapsed="false">
      <c r="AF293" s="63"/>
    </row>
    <row r="294" customFormat="false" ht="12.75" hidden="false" customHeight="false" outlineLevel="0" collapsed="false">
      <c r="AF294" s="63"/>
    </row>
    <row r="295" customFormat="false" ht="12.75" hidden="false" customHeight="false" outlineLevel="0" collapsed="false">
      <c r="AF295" s="63"/>
    </row>
    <row r="296" customFormat="false" ht="12.75" hidden="false" customHeight="false" outlineLevel="0" collapsed="false">
      <c r="AF296" s="63"/>
    </row>
    <row r="297" customFormat="false" ht="12.75" hidden="false" customHeight="false" outlineLevel="0" collapsed="false">
      <c r="AF297" s="63"/>
    </row>
    <row r="298" customFormat="false" ht="12.75" hidden="false" customHeight="false" outlineLevel="0" collapsed="false">
      <c r="AF298" s="63"/>
    </row>
    <row r="299" customFormat="false" ht="12.75" hidden="false" customHeight="false" outlineLevel="0" collapsed="false">
      <c r="AF299" s="63"/>
    </row>
    <row r="300" customFormat="false" ht="12.75" hidden="false" customHeight="false" outlineLevel="0" collapsed="false">
      <c r="AF300" s="63"/>
    </row>
    <row r="301" customFormat="false" ht="12.75" hidden="false" customHeight="false" outlineLevel="0" collapsed="false">
      <c r="AF301" s="63"/>
    </row>
    <row r="302" customFormat="false" ht="12.75" hidden="false" customHeight="false" outlineLevel="0" collapsed="false">
      <c r="AF302" s="63"/>
    </row>
    <row r="303" customFormat="false" ht="12.75" hidden="false" customHeight="false" outlineLevel="0" collapsed="false">
      <c r="AF303" s="63"/>
    </row>
    <row r="304" customFormat="false" ht="12.75" hidden="false" customHeight="false" outlineLevel="0" collapsed="false">
      <c r="AF304" s="63"/>
    </row>
    <row r="305" customFormat="false" ht="12.75" hidden="false" customHeight="false" outlineLevel="0" collapsed="false">
      <c r="AF305" s="63"/>
    </row>
    <row r="306" customFormat="false" ht="12.75" hidden="false" customHeight="false" outlineLevel="0" collapsed="false">
      <c r="AF306" s="63"/>
    </row>
    <row r="307" customFormat="false" ht="12.75" hidden="false" customHeight="false" outlineLevel="0" collapsed="false">
      <c r="AF307" s="63"/>
    </row>
    <row r="308" customFormat="false" ht="12.75" hidden="false" customHeight="false" outlineLevel="0" collapsed="false">
      <c r="AF308" s="63"/>
    </row>
    <row r="309" customFormat="false" ht="12.75" hidden="false" customHeight="false" outlineLevel="0" collapsed="false">
      <c r="AF309" s="63"/>
    </row>
    <row r="310" customFormat="false" ht="12.75" hidden="false" customHeight="false" outlineLevel="0" collapsed="false">
      <c r="AF310" s="63"/>
    </row>
    <row r="311" customFormat="false" ht="12.75" hidden="false" customHeight="false" outlineLevel="0" collapsed="false">
      <c r="AF311" s="63"/>
    </row>
    <row r="312" customFormat="false" ht="12.75" hidden="false" customHeight="false" outlineLevel="0" collapsed="false">
      <c r="AF312" s="63"/>
    </row>
    <row r="313" customFormat="false" ht="12.75" hidden="false" customHeight="false" outlineLevel="0" collapsed="false">
      <c r="AF313" s="63"/>
    </row>
    <row r="314" customFormat="false" ht="12.75" hidden="false" customHeight="false" outlineLevel="0" collapsed="false">
      <c r="AF314" s="63"/>
    </row>
    <row r="315" customFormat="false" ht="12.75" hidden="false" customHeight="false" outlineLevel="0" collapsed="false">
      <c r="AF315" s="63"/>
    </row>
    <row r="316" customFormat="false" ht="12.75" hidden="false" customHeight="false" outlineLevel="0" collapsed="false">
      <c r="AF316" s="63"/>
    </row>
    <row r="317" customFormat="false" ht="12.75" hidden="false" customHeight="false" outlineLevel="0" collapsed="false">
      <c r="AF317" s="63"/>
    </row>
    <row r="318" customFormat="false" ht="12.75" hidden="false" customHeight="false" outlineLevel="0" collapsed="false">
      <c r="AF318" s="63"/>
    </row>
    <row r="319" customFormat="false" ht="12.75" hidden="false" customHeight="false" outlineLevel="0" collapsed="false">
      <c r="AF319" s="63"/>
    </row>
    <row r="320" customFormat="false" ht="12.75" hidden="false" customHeight="false" outlineLevel="0" collapsed="false">
      <c r="AF320" s="63"/>
    </row>
    <row r="321" customFormat="false" ht="12.75" hidden="false" customHeight="false" outlineLevel="0" collapsed="false">
      <c r="AF321" s="63"/>
    </row>
    <row r="322" customFormat="false" ht="12.75" hidden="false" customHeight="false" outlineLevel="0" collapsed="false">
      <c r="AF322" s="63"/>
    </row>
    <row r="323" customFormat="false" ht="12.75" hidden="false" customHeight="false" outlineLevel="0" collapsed="false">
      <c r="AF323" s="63"/>
    </row>
    <row r="324" customFormat="false" ht="12.75" hidden="false" customHeight="false" outlineLevel="0" collapsed="false">
      <c r="AF324" s="63"/>
    </row>
    <row r="325" customFormat="false" ht="12.75" hidden="false" customHeight="false" outlineLevel="0" collapsed="false">
      <c r="AF325" s="63"/>
    </row>
    <row r="326" customFormat="false" ht="12.75" hidden="false" customHeight="false" outlineLevel="0" collapsed="false">
      <c r="AF326" s="63"/>
    </row>
    <row r="327" customFormat="false" ht="12.75" hidden="false" customHeight="false" outlineLevel="0" collapsed="false">
      <c r="AF327" s="63"/>
    </row>
    <row r="328" customFormat="false" ht="12.75" hidden="false" customHeight="false" outlineLevel="0" collapsed="false">
      <c r="AF328" s="63"/>
    </row>
    <row r="329" customFormat="false" ht="12.75" hidden="false" customHeight="false" outlineLevel="0" collapsed="false">
      <c r="AF329" s="63"/>
    </row>
    <row r="330" customFormat="false" ht="12.75" hidden="false" customHeight="false" outlineLevel="0" collapsed="false">
      <c r="AF330" s="63"/>
    </row>
    <row r="331" customFormat="false" ht="12.75" hidden="false" customHeight="false" outlineLevel="0" collapsed="false">
      <c r="AF331" s="63"/>
    </row>
    <row r="332" customFormat="false" ht="12.75" hidden="false" customHeight="false" outlineLevel="0" collapsed="false">
      <c r="AF332" s="63"/>
    </row>
    <row r="333" customFormat="false" ht="12.75" hidden="false" customHeight="false" outlineLevel="0" collapsed="false">
      <c r="AF333" s="63"/>
    </row>
    <row r="334" customFormat="false" ht="12.75" hidden="false" customHeight="false" outlineLevel="0" collapsed="false">
      <c r="AF334" s="63"/>
    </row>
    <row r="335" customFormat="false" ht="12.75" hidden="false" customHeight="false" outlineLevel="0" collapsed="false">
      <c r="AF335" s="63"/>
    </row>
    <row r="336" customFormat="false" ht="12.75" hidden="false" customHeight="false" outlineLevel="0" collapsed="false">
      <c r="AF336" s="63"/>
    </row>
    <row r="337" customFormat="false" ht="12.75" hidden="false" customHeight="false" outlineLevel="0" collapsed="false">
      <c r="AF337" s="63"/>
    </row>
    <row r="338" customFormat="false" ht="12.75" hidden="false" customHeight="false" outlineLevel="0" collapsed="false">
      <c r="AF338" s="63"/>
    </row>
    <row r="339" customFormat="false" ht="12.75" hidden="false" customHeight="false" outlineLevel="0" collapsed="false">
      <c r="AF339" s="63"/>
    </row>
    <row r="340" customFormat="false" ht="12.75" hidden="false" customHeight="false" outlineLevel="0" collapsed="false">
      <c r="AF340" s="63"/>
    </row>
    <row r="341" customFormat="false" ht="12.75" hidden="false" customHeight="false" outlineLevel="0" collapsed="false">
      <c r="AF341" s="63"/>
    </row>
    <row r="342" customFormat="false" ht="12.75" hidden="false" customHeight="false" outlineLevel="0" collapsed="false">
      <c r="AF342" s="63"/>
    </row>
    <row r="343" customFormat="false" ht="12.75" hidden="false" customHeight="false" outlineLevel="0" collapsed="false">
      <c r="AF343" s="63"/>
    </row>
    <row r="344" customFormat="false" ht="12.75" hidden="false" customHeight="false" outlineLevel="0" collapsed="false">
      <c r="AF344" s="63"/>
    </row>
    <row r="345" customFormat="false" ht="12.75" hidden="false" customHeight="false" outlineLevel="0" collapsed="false">
      <c r="AF345" s="63"/>
    </row>
    <row r="346" customFormat="false" ht="12.75" hidden="false" customHeight="false" outlineLevel="0" collapsed="false">
      <c r="AF346" s="63"/>
    </row>
    <row r="347" customFormat="false" ht="12.75" hidden="false" customHeight="false" outlineLevel="0" collapsed="false">
      <c r="AF347" s="63"/>
    </row>
    <row r="348" customFormat="false" ht="12.75" hidden="false" customHeight="false" outlineLevel="0" collapsed="false">
      <c r="AF348" s="63"/>
    </row>
    <row r="349" customFormat="false" ht="12.75" hidden="false" customHeight="false" outlineLevel="0" collapsed="false">
      <c r="AF349" s="63"/>
    </row>
    <row r="350" customFormat="false" ht="12.75" hidden="false" customHeight="false" outlineLevel="0" collapsed="false">
      <c r="AF350" s="63"/>
    </row>
    <row r="351" customFormat="false" ht="12.75" hidden="false" customHeight="false" outlineLevel="0" collapsed="false">
      <c r="AF351" s="63"/>
    </row>
    <row r="352" customFormat="false" ht="12.75" hidden="false" customHeight="false" outlineLevel="0" collapsed="false">
      <c r="AF352" s="63"/>
    </row>
    <row r="353" customFormat="false" ht="12.75" hidden="false" customHeight="false" outlineLevel="0" collapsed="false">
      <c r="AF353" s="63"/>
    </row>
    <row r="354" customFormat="false" ht="12.75" hidden="false" customHeight="false" outlineLevel="0" collapsed="false">
      <c r="AF354" s="63"/>
    </row>
    <row r="355" customFormat="false" ht="12.75" hidden="false" customHeight="false" outlineLevel="0" collapsed="false">
      <c r="AF355" s="63"/>
    </row>
    <row r="356" customFormat="false" ht="12.75" hidden="false" customHeight="false" outlineLevel="0" collapsed="false">
      <c r="AF356" s="63"/>
    </row>
    <row r="357" customFormat="false" ht="12.75" hidden="false" customHeight="false" outlineLevel="0" collapsed="false">
      <c r="AF357" s="63"/>
    </row>
    <row r="358" customFormat="false" ht="12.75" hidden="false" customHeight="false" outlineLevel="0" collapsed="false">
      <c r="AF358" s="63"/>
    </row>
    <row r="359" customFormat="false" ht="12.75" hidden="false" customHeight="false" outlineLevel="0" collapsed="false">
      <c r="AF359" s="63"/>
    </row>
    <row r="360" customFormat="false" ht="12.75" hidden="false" customHeight="false" outlineLevel="0" collapsed="false">
      <c r="AF360" s="63"/>
    </row>
    <row r="361" customFormat="false" ht="12.75" hidden="false" customHeight="false" outlineLevel="0" collapsed="false">
      <c r="AF361" s="63"/>
    </row>
    <row r="362" customFormat="false" ht="12.75" hidden="false" customHeight="false" outlineLevel="0" collapsed="false">
      <c r="AF362" s="63"/>
    </row>
    <row r="363" customFormat="false" ht="12.75" hidden="false" customHeight="false" outlineLevel="0" collapsed="false">
      <c r="AF363" s="63"/>
    </row>
    <row r="364" customFormat="false" ht="12.75" hidden="false" customHeight="false" outlineLevel="0" collapsed="false">
      <c r="AF364" s="63"/>
    </row>
    <row r="365" customFormat="false" ht="12.75" hidden="false" customHeight="false" outlineLevel="0" collapsed="false">
      <c r="AF365" s="63"/>
    </row>
    <row r="366" customFormat="false" ht="12.75" hidden="false" customHeight="false" outlineLevel="0" collapsed="false">
      <c r="AF366" s="63"/>
    </row>
    <row r="367" customFormat="false" ht="12.75" hidden="false" customHeight="false" outlineLevel="0" collapsed="false">
      <c r="AF367" s="63"/>
    </row>
    <row r="368" customFormat="false" ht="12.75" hidden="false" customHeight="false" outlineLevel="0" collapsed="false">
      <c r="AF368" s="63"/>
    </row>
    <row r="369" customFormat="false" ht="12.75" hidden="false" customHeight="false" outlineLevel="0" collapsed="false">
      <c r="AF369" s="63"/>
    </row>
    <row r="370" customFormat="false" ht="12.75" hidden="false" customHeight="false" outlineLevel="0" collapsed="false">
      <c r="AF370" s="63"/>
    </row>
    <row r="371" customFormat="false" ht="12.75" hidden="false" customHeight="false" outlineLevel="0" collapsed="false">
      <c r="AF371" s="63"/>
    </row>
    <row r="372" customFormat="false" ht="12.75" hidden="false" customHeight="false" outlineLevel="0" collapsed="false">
      <c r="AF372" s="63"/>
    </row>
    <row r="373" customFormat="false" ht="12.75" hidden="false" customHeight="false" outlineLevel="0" collapsed="false">
      <c r="AF373" s="63"/>
    </row>
    <row r="374" customFormat="false" ht="12.75" hidden="false" customHeight="false" outlineLevel="0" collapsed="false">
      <c r="AF374" s="63"/>
    </row>
    <row r="375" customFormat="false" ht="12.75" hidden="false" customHeight="false" outlineLevel="0" collapsed="false">
      <c r="AF375" s="63"/>
    </row>
    <row r="376" customFormat="false" ht="12.75" hidden="false" customHeight="false" outlineLevel="0" collapsed="false">
      <c r="AF376" s="63"/>
    </row>
    <row r="377" customFormat="false" ht="12.75" hidden="false" customHeight="false" outlineLevel="0" collapsed="false">
      <c r="AF377" s="63"/>
    </row>
    <row r="378" customFormat="false" ht="12.75" hidden="false" customHeight="false" outlineLevel="0" collapsed="false">
      <c r="AF378" s="63"/>
    </row>
    <row r="379" customFormat="false" ht="12.75" hidden="false" customHeight="false" outlineLevel="0" collapsed="false">
      <c r="AF379" s="63"/>
    </row>
    <row r="380" customFormat="false" ht="12.75" hidden="false" customHeight="false" outlineLevel="0" collapsed="false">
      <c r="AF380" s="63"/>
    </row>
    <row r="381" customFormat="false" ht="12.75" hidden="false" customHeight="false" outlineLevel="0" collapsed="false">
      <c r="AF381" s="63"/>
    </row>
    <row r="382" customFormat="false" ht="12.75" hidden="false" customHeight="false" outlineLevel="0" collapsed="false">
      <c r="AF382" s="63"/>
    </row>
    <row r="383" customFormat="false" ht="12.75" hidden="false" customHeight="false" outlineLevel="0" collapsed="false">
      <c r="AF383" s="63"/>
    </row>
    <row r="384" customFormat="false" ht="12.75" hidden="false" customHeight="false" outlineLevel="0" collapsed="false">
      <c r="AF384" s="63"/>
    </row>
    <row r="385" customFormat="false" ht="12.75" hidden="false" customHeight="false" outlineLevel="0" collapsed="false">
      <c r="AF385" s="63"/>
    </row>
    <row r="386" customFormat="false" ht="12.75" hidden="false" customHeight="false" outlineLevel="0" collapsed="false">
      <c r="AF386" s="63"/>
    </row>
    <row r="387" customFormat="false" ht="12.75" hidden="false" customHeight="false" outlineLevel="0" collapsed="false">
      <c r="AF387" s="63"/>
    </row>
    <row r="388" customFormat="false" ht="12.75" hidden="false" customHeight="false" outlineLevel="0" collapsed="false">
      <c r="AF388" s="63"/>
    </row>
    <row r="389" customFormat="false" ht="12.75" hidden="false" customHeight="false" outlineLevel="0" collapsed="false">
      <c r="AF389" s="63"/>
    </row>
    <row r="390" customFormat="false" ht="12.75" hidden="false" customHeight="false" outlineLevel="0" collapsed="false">
      <c r="AF390" s="63"/>
    </row>
    <row r="391" customFormat="false" ht="12.75" hidden="false" customHeight="false" outlineLevel="0" collapsed="false">
      <c r="AF391" s="63"/>
    </row>
    <row r="392" customFormat="false" ht="12.75" hidden="false" customHeight="false" outlineLevel="0" collapsed="false">
      <c r="AF392" s="63"/>
    </row>
    <row r="393" customFormat="false" ht="12.75" hidden="false" customHeight="false" outlineLevel="0" collapsed="false">
      <c r="AF393" s="63"/>
    </row>
    <row r="394" customFormat="false" ht="12.75" hidden="false" customHeight="false" outlineLevel="0" collapsed="false">
      <c r="AF394" s="63"/>
    </row>
    <row r="395" customFormat="false" ht="12.75" hidden="false" customHeight="false" outlineLevel="0" collapsed="false">
      <c r="AF395" s="63"/>
    </row>
    <row r="396" customFormat="false" ht="12.75" hidden="false" customHeight="false" outlineLevel="0" collapsed="false">
      <c r="AF396" s="63"/>
    </row>
    <row r="397" customFormat="false" ht="12.75" hidden="false" customHeight="false" outlineLevel="0" collapsed="false">
      <c r="AF397" s="63"/>
    </row>
    <row r="398" customFormat="false" ht="12.75" hidden="false" customHeight="false" outlineLevel="0" collapsed="false">
      <c r="AF398" s="63"/>
    </row>
    <row r="399" customFormat="false" ht="12.75" hidden="false" customHeight="false" outlineLevel="0" collapsed="false">
      <c r="AF399" s="63"/>
    </row>
    <row r="400" customFormat="false" ht="12.75" hidden="false" customHeight="false" outlineLevel="0" collapsed="false">
      <c r="AF400" s="63"/>
    </row>
    <row r="401" customFormat="false" ht="12.75" hidden="false" customHeight="false" outlineLevel="0" collapsed="false">
      <c r="AF401" s="63"/>
    </row>
    <row r="402" customFormat="false" ht="12.75" hidden="false" customHeight="false" outlineLevel="0" collapsed="false">
      <c r="AF402" s="63"/>
    </row>
    <row r="403" customFormat="false" ht="12.75" hidden="false" customHeight="false" outlineLevel="0" collapsed="false">
      <c r="AF403" s="63"/>
    </row>
    <row r="404" customFormat="false" ht="12.75" hidden="false" customHeight="false" outlineLevel="0" collapsed="false">
      <c r="AF404" s="63"/>
    </row>
    <row r="405" customFormat="false" ht="12.75" hidden="false" customHeight="false" outlineLevel="0" collapsed="false">
      <c r="AF405" s="63"/>
    </row>
    <row r="406" customFormat="false" ht="12.75" hidden="false" customHeight="false" outlineLevel="0" collapsed="false">
      <c r="AF406" s="63"/>
    </row>
    <row r="407" customFormat="false" ht="12.75" hidden="false" customHeight="false" outlineLevel="0" collapsed="false">
      <c r="AF407" s="63"/>
    </row>
    <row r="408" customFormat="false" ht="12.75" hidden="false" customHeight="false" outlineLevel="0" collapsed="false">
      <c r="AF408" s="63"/>
    </row>
    <row r="409" customFormat="false" ht="12.75" hidden="false" customHeight="false" outlineLevel="0" collapsed="false">
      <c r="AF409" s="63"/>
    </row>
    <row r="410" customFormat="false" ht="12.75" hidden="false" customHeight="false" outlineLevel="0" collapsed="false">
      <c r="AF410" s="63"/>
    </row>
    <row r="411" customFormat="false" ht="12.75" hidden="false" customHeight="false" outlineLevel="0" collapsed="false">
      <c r="AF411" s="63"/>
    </row>
    <row r="412" customFormat="false" ht="12.75" hidden="false" customHeight="false" outlineLevel="0" collapsed="false">
      <c r="AF412" s="63"/>
    </row>
    <row r="413" customFormat="false" ht="12.75" hidden="false" customHeight="false" outlineLevel="0" collapsed="false">
      <c r="AF413" s="63"/>
    </row>
    <row r="414" customFormat="false" ht="12.75" hidden="false" customHeight="false" outlineLevel="0" collapsed="false">
      <c r="AF414" s="63"/>
    </row>
    <row r="415" customFormat="false" ht="12.75" hidden="false" customHeight="false" outlineLevel="0" collapsed="false">
      <c r="AF415" s="63"/>
    </row>
    <row r="416" customFormat="false" ht="12.75" hidden="false" customHeight="false" outlineLevel="0" collapsed="false">
      <c r="AF416" s="63"/>
    </row>
    <row r="417" customFormat="false" ht="12.75" hidden="false" customHeight="false" outlineLevel="0" collapsed="false">
      <c r="AF417" s="63"/>
    </row>
    <row r="418" customFormat="false" ht="12.75" hidden="false" customHeight="false" outlineLevel="0" collapsed="false">
      <c r="AF418" s="63"/>
    </row>
    <row r="419" customFormat="false" ht="12.75" hidden="false" customHeight="false" outlineLevel="0" collapsed="false">
      <c r="AF419" s="63"/>
    </row>
    <row r="420" customFormat="false" ht="12.75" hidden="false" customHeight="false" outlineLevel="0" collapsed="false">
      <c r="AF420" s="63"/>
    </row>
    <row r="421" customFormat="false" ht="12.75" hidden="false" customHeight="false" outlineLevel="0" collapsed="false">
      <c r="AF421" s="63"/>
    </row>
    <row r="422" customFormat="false" ht="12.75" hidden="false" customHeight="false" outlineLevel="0" collapsed="false">
      <c r="AF422" s="63"/>
    </row>
    <row r="423" customFormat="false" ht="12.75" hidden="false" customHeight="false" outlineLevel="0" collapsed="false">
      <c r="AF423" s="63"/>
    </row>
    <row r="424" customFormat="false" ht="12.75" hidden="false" customHeight="false" outlineLevel="0" collapsed="false">
      <c r="AF424" s="63"/>
    </row>
    <row r="425" customFormat="false" ht="12.75" hidden="false" customHeight="false" outlineLevel="0" collapsed="false">
      <c r="AF425" s="63"/>
    </row>
    <row r="426" customFormat="false" ht="12.75" hidden="false" customHeight="false" outlineLevel="0" collapsed="false">
      <c r="AF426" s="63"/>
    </row>
    <row r="427" customFormat="false" ht="12.75" hidden="false" customHeight="false" outlineLevel="0" collapsed="false">
      <c r="AF427" s="63"/>
    </row>
    <row r="428" customFormat="false" ht="12.75" hidden="false" customHeight="false" outlineLevel="0" collapsed="false">
      <c r="AF428" s="63"/>
    </row>
    <row r="429" customFormat="false" ht="12.75" hidden="false" customHeight="false" outlineLevel="0" collapsed="false">
      <c r="AF429" s="63"/>
    </row>
    <row r="430" customFormat="false" ht="12.75" hidden="false" customHeight="false" outlineLevel="0" collapsed="false">
      <c r="AF430" s="63"/>
    </row>
    <row r="431" customFormat="false" ht="12.75" hidden="false" customHeight="false" outlineLevel="0" collapsed="false">
      <c r="AF431" s="63"/>
    </row>
    <row r="432" customFormat="false" ht="12.75" hidden="false" customHeight="false" outlineLevel="0" collapsed="false">
      <c r="AF432" s="63"/>
    </row>
    <row r="433" customFormat="false" ht="12.75" hidden="false" customHeight="false" outlineLevel="0" collapsed="false">
      <c r="AF433" s="63"/>
    </row>
    <row r="434" customFormat="false" ht="12.75" hidden="false" customHeight="false" outlineLevel="0" collapsed="false">
      <c r="AF434" s="63"/>
    </row>
    <row r="435" customFormat="false" ht="12.75" hidden="false" customHeight="false" outlineLevel="0" collapsed="false">
      <c r="AF435" s="63"/>
    </row>
    <row r="436" customFormat="false" ht="12.75" hidden="false" customHeight="false" outlineLevel="0" collapsed="false">
      <c r="AF436" s="63"/>
    </row>
    <row r="437" customFormat="false" ht="12.75" hidden="false" customHeight="false" outlineLevel="0" collapsed="false">
      <c r="AF437" s="63"/>
    </row>
    <row r="438" customFormat="false" ht="12.75" hidden="false" customHeight="false" outlineLevel="0" collapsed="false">
      <c r="AF438" s="63"/>
    </row>
    <row r="439" customFormat="false" ht="12.75" hidden="false" customHeight="false" outlineLevel="0" collapsed="false">
      <c r="AF439" s="63"/>
    </row>
    <row r="440" customFormat="false" ht="12.75" hidden="false" customHeight="false" outlineLevel="0" collapsed="false">
      <c r="AF440" s="63"/>
    </row>
    <row r="441" customFormat="false" ht="12.75" hidden="false" customHeight="false" outlineLevel="0" collapsed="false">
      <c r="AF441" s="63"/>
    </row>
    <row r="442" customFormat="false" ht="12.75" hidden="false" customHeight="false" outlineLevel="0" collapsed="false">
      <c r="AF442" s="63"/>
    </row>
    <row r="443" customFormat="false" ht="12.75" hidden="false" customHeight="false" outlineLevel="0" collapsed="false">
      <c r="AF443" s="63"/>
    </row>
    <row r="444" customFormat="false" ht="12.75" hidden="false" customHeight="false" outlineLevel="0" collapsed="false">
      <c r="AF444" s="63"/>
    </row>
    <row r="445" customFormat="false" ht="12.75" hidden="false" customHeight="false" outlineLevel="0" collapsed="false">
      <c r="AF445" s="63"/>
    </row>
    <row r="446" customFormat="false" ht="12.75" hidden="false" customHeight="false" outlineLevel="0" collapsed="false">
      <c r="AF446" s="63"/>
    </row>
    <row r="447" customFormat="false" ht="12.75" hidden="false" customHeight="false" outlineLevel="0" collapsed="false">
      <c r="AF447" s="63"/>
    </row>
    <row r="448" customFormat="false" ht="12.75" hidden="false" customHeight="false" outlineLevel="0" collapsed="false">
      <c r="AF448" s="63"/>
    </row>
    <row r="449" customFormat="false" ht="12.75" hidden="false" customHeight="false" outlineLevel="0" collapsed="false">
      <c r="AF449" s="63"/>
    </row>
    <row r="450" customFormat="false" ht="12.75" hidden="false" customHeight="false" outlineLevel="0" collapsed="false">
      <c r="AF450" s="63"/>
    </row>
    <row r="451" customFormat="false" ht="12.75" hidden="false" customHeight="false" outlineLevel="0" collapsed="false">
      <c r="AF451" s="63"/>
    </row>
    <row r="452" customFormat="false" ht="12.75" hidden="false" customHeight="false" outlineLevel="0" collapsed="false">
      <c r="AF452" s="63"/>
    </row>
    <row r="453" customFormat="false" ht="12.75" hidden="false" customHeight="false" outlineLevel="0" collapsed="false">
      <c r="AF453" s="63"/>
    </row>
    <row r="454" customFormat="false" ht="12.75" hidden="false" customHeight="false" outlineLevel="0" collapsed="false">
      <c r="AF454" s="63"/>
    </row>
    <row r="455" customFormat="false" ht="12.75" hidden="false" customHeight="false" outlineLevel="0" collapsed="false">
      <c r="AF455" s="63"/>
    </row>
    <row r="456" customFormat="false" ht="12.75" hidden="false" customHeight="false" outlineLevel="0" collapsed="false">
      <c r="AF456" s="63"/>
    </row>
    <row r="457" customFormat="false" ht="12.75" hidden="false" customHeight="false" outlineLevel="0" collapsed="false">
      <c r="AF457" s="63"/>
    </row>
    <row r="458" customFormat="false" ht="12.75" hidden="false" customHeight="false" outlineLevel="0" collapsed="false">
      <c r="AF458" s="63"/>
    </row>
    <row r="459" customFormat="false" ht="12.75" hidden="false" customHeight="false" outlineLevel="0" collapsed="false">
      <c r="AF459" s="63"/>
    </row>
    <row r="460" customFormat="false" ht="12.75" hidden="false" customHeight="false" outlineLevel="0" collapsed="false">
      <c r="AF460" s="63"/>
    </row>
    <row r="461" customFormat="false" ht="12.75" hidden="false" customHeight="false" outlineLevel="0" collapsed="false">
      <c r="AF461" s="63"/>
    </row>
    <row r="462" customFormat="false" ht="12.75" hidden="false" customHeight="false" outlineLevel="0" collapsed="false">
      <c r="AF462" s="63"/>
    </row>
    <row r="463" customFormat="false" ht="12.75" hidden="false" customHeight="false" outlineLevel="0" collapsed="false">
      <c r="AF463" s="63"/>
    </row>
    <row r="464" customFormat="false" ht="12.75" hidden="false" customHeight="false" outlineLevel="0" collapsed="false">
      <c r="AF464" s="63"/>
    </row>
    <row r="465" customFormat="false" ht="12.75" hidden="false" customHeight="false" outlineLevel="0" collapsed="false">
      <c r="AF465" s="63"/>
    </row>
    <row r="466" customFormat="false" ht="12.75" hidden="false" customHeight="false" outlineLevel="0" collapsed="false">
      <c r="AF466" s="63"/>
    </row>
    <row r="467" customFormat="false" ht="12.75" hidden="false" customHeight="false" outlineLevel="0" collapsed="false">
      <c r="AF467" s="63"/>
    </row>
    <row r="468" customFormat="false" ht="12.75" hidden="false" customHeight="false" outlineLevel="0" collapsed="false">
      <c r="AF468" s="63"/>
    </row>
    <row r="469" customFormat="false" ht="12.75" hidden="false" customHeight="false" outlineLevel="0" collapsed="false">
      <c r="AF469" s="63"/>
    </row>
    <row r="470" customFormat="false" ht="12.75" hidden="false" customHeight="false" outlineLevel="0" collapsed="false">
      <c r="AF470" s="63"/>
    </row>
    <row r="471" customFormat="false" ht="12.75" hidden="false" customHeight="false" outlineLevel="0" collapsed="false">
      <c r="AF471" s="63"/>
    </row>
    <row r="472" customFormat="false" ht="12.75" hidden="false" customHeight="false" outlineLevel="0" collapsed="false">
      <c r="AF472" s="63"/>
    </row>
    <row r="473" customFormat="false" ht="12.75" hidden="false" customHeight="false" outlineLevel="0" collapsed="false">
      <c r="AF473" s="63"/>
    </row>
    <row r="474" customFormat="false" ht="12.75" hidden="false" customHeight="false" outlineLevel="0" collapsed="false">
      <c r="AF474" s="63"/>
    </row>
    <row r="475" customFormat="false" ht="12.75" hidden="false" customHeight="false" outlineLevel="0" collapsed="false">
      <c r="AF475" s="63"/>
    </row>
    <row r="476" customFormat="false" ht="12.75" hidden="false" customHeight="false" outlineLevel="0" collapsed="false">
      <c r="AF476" s="63"/>
    </row>
    <row r="477" customFormat="false" ht="12.75" hidden="false" customHeight="false" outlineLevel="0" collapsed="false">
      <c r="AF477" s="63"/>
    </row>
    <row r="478" customFormat="false" ht="12.75" hidden="false" customHeight="false" outlineLevel="0" collapsed="false">
      <c r="AF478" s="63"/>
    </row>
    <row r="479" customFormat="false" ht="12.75" hidden="false" customHeight="false" outlineLevel="0" collapsed="false">
      <c r="AF479" s="63"/>
    </row>
    <row r="480" customFormat="false" ht="12.75" hidden="false" customHeight="false" outlineLevel="0" collapsed="false">
      <c r="AF480" s="63"/>
    </row>
    <row r="481" customFormat="false" ht="12.75" hidden="false" customHeight="false" outlineLevel="0" collapsed="false">
      <c r="AF481" s="63"/>
    </row>
    <row r="482" customFormat="false" ht="12.75" hidden="false" customHeight="false" outlineLevel="0" collapsed="false">
      <c r="AF482" s="63"/>
    </row>
    <row r="483" customFormat="false" ht="12.75" hidden="false" customHeight="false" outlineLevel="0" collapsed="false">
      <c r="AF483" s="63"/>
    </row>
    <row r="484" customFormat="false" ht="12.75" hidden="false" customHeight="false" outlineLevel="0" collapsed="false">
      <c r="AF484" s="63"/>
    </row>
    <row r="485" customFormat="false" ht="12.75" hidden="false" customHeight="false" outlineLevel="0" collapsed="false">
      <c r="AF485" s="63"/>
    </row>
    <row r="486" customFormat="false" ht="12.75" hidden="false" customHeight="false" outlineLevel="0" collapsed="false">
      <c r="AF486" s="63"/>
    </row>
    <row r="487" customFormat="false" ht="12.75" hidden="false" customHeight="false" outlineLevel="0" collapsed="false">
      <c r="AF487" s="63"/>
    </row>
    <row r="488" customFormat="false" ht="12.75" hidden="false" customHeight="false" outlineLevel="0" collapsed="false">
      <c r="AF488" s="63"/>
    </row>
    <row r="489" customFormat="false" ht="12.75" hidden="false" customHeight="false" outlineLevel="0" collapsed="false">
      <c r="AF489" s="63"/>
    </row>
    <row r="490" customFormat="false" ht="12.75" hidden="false" customHeight="false" outlineLevel="0" collapsed="false">
      <c r="AF490" s="63"/>
    </row>
    <row r="491" customFormat="false" ht="12.75" hidden="false" customHeight="false" outlineLevel="0" collapsed="false">
      <c r="AF491" s="63"/>
    </row>
    <row r="492" customFormat="false" ht="12.75" hidden="false" customHeight="false" outlineLevel="0" collapsed="false">
      <c r="AF492" s="63"/>
    </row>
    <row r="493" customFormat="false" ht="12.75" hidden="false" customHeight="false" outlineLevel="0" collapsed="false">
      <c r="AF493" s="63"/>
    </row>
    <row r="494" customFormat="false" ht="12.75" hidden="false" customHeight="false" outlineLevel="0" collapsed="false">
      <c r="AF494" s="63"/>
    </row>
    <row r="495" customFormat="false" ht="12.75" hidden="false" customHeight="false" outlineLevel="0" collapsed="false">
      <c r="AF495" s="63"/>
    </row>
    <row r="496" customFormat="false" ht="12.75" hidden="false" customHeight="false" outlineLevel="0" collapsed="false">
      <c r="AF496" s="63"/>
    </row>
    <row r="497" customFormat="false" ht="12.75" hidden="false" customHeight="false" outlineLevel="0" collapsed="false">
      <c r="AF497" s="63"/>
    </row>
    <row r="498" customFormat="false" ht="12.75" hidden="false" customHeight="false" outlineLevel="0" collapsed="false">
      <c r="AF498" s="63"/>
    </row>
    <row r="499" customFormat="false" ht="12.75" hidden="false" customHeight="false" outlineLevel="0" collapsed="false">
      <c r="AF499" s="63"/>
    </row>
    <row r="500" customFormat="false" ht="12.75" hidden="false" customHeight="false" outlineLevel="0" collapsed="false">
      <c r="AF500" s="63"/>
    </row>
    <row r="501" customFormat="false" ht="12.75" hidden="false" customHeight="false" outlineLevel="0" collapsed="false">
      <c r="AF501" s="63"/>
    </row>
    <row r="502" customFormat="false" ht="12.75" hidden="false" customHeight="false" outlineLevel="0" collapsed="false">
      <c r="AF502" s="63"/>
    </row>
    <row r="503" customFormat="false" ht="12.75" hidden="false" customHeight="false" outlineLevel="0" collapsed="false">
      <c r="AF503" s="63"/>
    </row>
    <row r="504" customFormat="false" ht="12.75" hidden="false" customHeight="false" outlineLevel="0" collapsed="false">
      <c r="AF504" s="63"/>
    </row>
    <row r="505" customFormat="false" ht="12.75" hidden="false" customHeight="false" outlineLevel="0" collapsed="false">
      <c r="AF505" s="63"/>
    </row>
    <row r="506" customFormat="false" ht="12.75" hidden="false" customHeight="false" outlineLevel="0" collapsed="false">
      <c r="AF506" s="63"/>
    </row>
    <row r="507" customFormat="false" ht="12.75" hidden="false" customHeight="false" outlineLevel="0" collapsed="false">
      <c r="AF507" s="63"/>
    </row>
    <row r="508" customFormat="false" ht="12.75" hidden="false" customHeight="false" outlineLevel="0" collapsed="false">
      <c r="AF508" s="63"/>
    </row>
    <row r="509" customFormat="false" ht="12.75" hidden="false" customHeight="false" outlineLevel="0" collapsed="false">
      <c r="AF509" s="63"/>
    </row>
    <row r="510" customFormat="false" ht="12.75" hidden="false" customHeight="false" outlineLevel="0" collapsed="false">
      <c r="AF510" s="63"/>
    </row>
    <row r="511" customFormat="false" ht="12.75" hidden="false" customHeight="false" outlineLevel="0" collapsed="false">
      <c r="AF511" s="63"/>
    </row>
    <row r="512" customFormat="false" ht="12.75" hidden="false" customHeight="false" outlineLevel="0" collapsed="false">
      <c r="AF512" s="63"/>
    </row>
    <row r="513" customFormat="false" ht="12.75" hidden="false" customHeight="false" outlineLevel="0" collapsed="false">
      <c r="AF513" s="63"/>
    </row>
    <row r="514" customFormat="false" ht="12.75" hidden="false" customHeight="false" outlineLevel="0" collapsed="false">
      <c r="AF514" s="63"/>
    </row>
    <row r="515" customFormat="false" ht="12.75" hidden="false" customHeight="false" outlineLevel="0" collapsed="false">
      <c r="AF515" s="63"/>
    </row>
    <row r="516" customFormat="false" ht="12.75" hidden="false" customHeight="false" outlineLevel="0" collapsed="false">
      <c r="AF516" s="63"/>
    </row>
    <row r="517" customFormat="false" ht="12.75" hidden="false" customHeight="false" outlineLevel="0" collapsed="false">
      <c r="AF517" s="63"/>
    </row>
    <row r="518" customFormat="false" ht="12.75" hidden="false" customHeight="false" outlineLevel="0" collapsed="false">
      <c r="AF518" s="63"/>
    </row>
    <row r="519" customFormat="false" ht="12.75" hidden="false" customHeight="false" outlineLevel="0" collapsed="false">
      <c r="AF519" s="63"/>
    </row>
    <row r="520" customFormat="false" ht="12.75" hidden="false" customHeight="false" outlineLevel="0" collapsed="false">
      <c r="AF520" s="63"/>
    </row>
    <row r="521" customFormat="false" ht="12.75" hidden="false" customHeight="false" outlineLevel="0" collapsed="false">
      <c r="AF521" s="63"/>
    </row>
    <row r="522" customFormat="false" ht="12.75" hidden="false" customHeight="false" outlineLevel="0" collapsed="false">
      <c r="AF522" s="63"/>
    </row>
    <row r="523" customFormat="false" ht="12.75" hidden="false" customHeight="false" outlineLevel="0" collapsed="false">
      <c r="AF523" s="63"/>
    </row>
    <row r="524" customFormat="false" ht="12.75" hidden="false" customHeight="false" outlineLevel="0" collapsed="false">
      <c r="AF524" s="63"/>
    </row>
    <row r="525" customFormat="false" ht="12.75" hidden="false" customHeight="false" outlineLevel="0" collapsed="false">
      <c r="AF525" s="63"/>
    </row>
    <row r="526" customFormat="false" ht="12.75" hidden="false" customHeight="false" outlineLevel="0" collapsed="false">
      <c r="AF526" s="63"/>
    </row>
    <row r="527" customFormat="false" ht="12.75" hidden="false" customHeight="false" outlineLevel="0" collapsed="false">
      <c r="AF527" s="63"/>
    </row>
    <row r="528" customFormat="false" ht="12.75" hidden="false" customHeight="false" outlineLevel="0" collapsed="false">
      <c r="AF528" s="63"/>
    </row>
    <row r="529" customFormat="false" ht="12.75" hidden="false" customHeight="false" outlineLevel="0" collapsed="false">
      <c r="AF529" s="63"/>
    </row>
    <row r="530" customFormat="false" ht="12.75" hidden="false" customHeight="false" outlineLevel="0" collapsed="false">
      <c r="AF530" s="63"/>
    </row>
    <row r="531" customFormat="false" ht="12.75" hidden="false" customHeight="false" outlineLevel="0" collapsed="false">
      <c r="AF531" s="63"/>
    </row>
    <row r="532" customFormat="false" ht="12.75" hidden="false" customHeight="false" outlineLevel="0" collapsed="false">
      <c r="AF532" s="63"/>
    </row>
    <row r="533" customFormat="false" ht="12.75" hidden="false" customHeight="false" outlineLevel="0" collapsed="false">
      <c r="AF533" s="63"/>
    </row>
    <row r="534" customFormat="false" ht="12.75" hidden="false" customHeight="false" outlineLevel="0" collapsed="false">
      <c r="AF534" s="63"/>
    </row>
    <row r="535" customFormat="false" ht="12.75" hidden="false" customHeight="false" outlineLevel="0" collapsed="false">
      <c r="AF535" s="63"/>
    </row>
    <row r="536" customFormat="false" ht="12.75" hidden="false" customHeight="false" outlineLevel="0" collapsed="false">
      <c r="AF536" s="63"/>
    </row>
    <row r="537" customFormat="false" ht="12.75" hidden="false" customHeight="false" outlineLevel="0" collapsed="false">
      <c r="AF537" s="63"/>
    </row>
    <row r="538" customFormat="false" ht="12.75" hidden="false" customHeight="false" outlineLevel="0" collapsed="false">
      <c r="AF538" s="63"/>
    </row>
    <row r="539" customFormat="false" ht="12.75" hidden="false" customHeight="false" outlineLevel="0" collapsed="false">
      <c r="AF539" s="63"/>
    </row>
    <row r="540" customFormat="false" ht="12.75" hidden="false" customHeight="false" outlineLevel="0" collapsed="false">
      <c r="AF540" s="63"/>
    </row>
    <row r="541" customFormat="false" ht="12.75" hidden="false" customHeight="false" outlineLevel="0" collapsed="false">
      <c r="AF541" s="63"/>
    </row>
    <row r="542" customFormat="false" ht="12.75" hidden="false" customHeight="false" outlineLevel="0" collapsed="false">
      <c r="AF542" s="63"/>
    </row>
    <row r="543" customFormat="false" ht="12.75" hidden="false" customHeight="false" outlineLevel="0" collapsed="false">
      <c r="AF543" s="63"/>
    </row>
    <row r="544" customFormat="false" ht="12.75" hidden="false" customHeight="false" outlineLevel="0" collapsed="false">
      <c r="AF544" s="63"/>
    </row>
    <row r="545" customFormat="false" ht="12.75" hidden="false" customHeight="false" outlineLevel="0" collapsed="false">
      <c r="AF545" s="63"/>
    </row>
    <row r="546" customFormat="false" ht="12.75" hidden="false" customHeight="false" outlineLevel="0" collapsed="false">
      <c r="AF546" s="63"/>
    </row>
    <row r="547" customFormat="false" ht="12.75" hidden="false" customHeight="false" outlineLevel="0" collapsed="false">
      <c r="AF547" s="63"/>
    </row>
    <row r="548" customFormat="false" ht="12.75" hidden="false" customHeight="false" outlineLevel="0" collapsed="false">
      <c r="AF548" s="63"/>
    </row>
    <row r="549" customFormat="false" ht="12.75" hidden="false" customHeight="false" outlineLevel="0" collapsed="false">
      <c r="AF549" s="63"/>
    </row>
    <row r="550" customFormat="false" ht="12.75" hidden="false" customHeight="false" outlineLevel="0" collapsed="false">
      <c r="AF550" s="63"/>
    </row>
    <row r="551" customFormat="false" ht="12.75" hidden="false" customHeight="false" outlineLevel="0" collapsed="false">
      <c r="AF551" s="63"/>
    </row>
    <row r="552" customFormat="false" ht="12.75" hidden="false" customHeight="false" outlineLevel="0" collapsed="false">
      <c r="AF552" s="63"/>
    </row>
    <row r="553" customFormat="false" ht="12.75" hidden="false" customHeight="false" outlineLevel="0" collapsed="false">
      <c r="AF553" s="63"/>
    </row>
    <row r="554" customFormat="false" ht="12.75" hidden="false" customHeight="false" outlineLevel="0" collapsed="false">
      <c r="AF554" s="63"/>
    </row>
    <row r="555" customFormat="false" ht="12.75" hidden="false" customHeight="false" outlineLevel="0" collapsed="false">
      <c r="AF555" s="63"/>
    </row>
    <row r="556" customFormat="false" ht="12.75" hidden="false" customHeight="false" outlineLevel="0" collapsed="false">
      <c r="AF556" s="63"/>
    </row>
    <row r="557" customFormat="false" ht="12.75" hidden="false" customHeight="false" outlineLevel="0" collapsed="false">
      <c r="AF557" s="63"/>
    </row>
    <row r="558" customFormat="false" ht="12.75" hidden="false" customHeight="false" outlineLevel="0" collapsed="false">
      <c r="AF558" s="63"/>
    </row>
    <row r="559" customFormat="false" ht="12.75" hidden="false" customHeight="false" outlineLevel="0" collapsed="false">
      <c r="AF559" s="63"/>
    </row>
    <row r="560" customFormat="false" ht="12.75" hidden="false" customHeight="false" outlineLevel="0" collapsed="false">
      <c r="AF560" s="63"/>
    </row>
    <row r="561" customFormat="false" ht="12.75" hidden="false" customHeight="false" outlineLevel="0" collapsed="false">
      <c r="AF561" s="63"/>
    </row>
    <row r="562" customFormat="false" ht="12.75" hidden="false" customHeight="false" outlineLevel="0" collapsed="false">
      <c r="AF562" s="63"/>
    </row>
    <row r="563" customFormat="false" ht="12.75" hidden="false" customHeight="false" outlineLevel="0" collapsed="false">
      <c r="AF563" s="63"/>
    </row>
    <row r="564" customFormat="false" ht="12.75" hidden="false" customHeight="false" outlineLevel="0" collapsed="false">
      <c r="AF564" s="63"/>
    </row>
    <row r="565" customFormat="false" ht="12.75" hidden="false" customHeight="false" outlineLevel="0" collapsed="false">
      <c r="AF565" s="63"/>
    </row>
    <row r="566" customFormat="false" ht="12.75" hidden="false" customHeight="false" outlineLevel="0" collapsed="false">
      <c r="AF566" s="63"/>
    </row>
    <row r="567" customFormat="false" ht="12.75" hidden="false" customHeight="false" outlineLevel="0" collapsed="false">
      <c r="AF567" s="63"/>
    </row>
    <row r="568" customFormat="false" ht="12.75" hidden="false" customHeight="false" outlineLevel="0" collapsed="false">
      <c r="AF568" s="63"/>
    </row>
    <row r="569" customFormat="false" ht="12.75" hidden="false" customHeight="false" outlineLevel="0" collapsed="false">
      <c r="AF569" s="63"/>
    </row>
    <row r="570" customFormat="false" ht="12.75" hidden="false" customHeight="false" outlineLevel="0" collapsed="false">
      <c r="AF570" s="63"/>
    </row>
    <row r="571" customFormat="false" ht="12.75" hidden="false" customHeight="false" outlineLevel="0" collapsed="false">
      <c r="AF571" s="63"/>
    </row>
    <row r="572" customFormat="false" ht="12.75" hidden="false" customHeight="false" outlineLevel="0" collapsed="false">
      <c r="AF572" s="63"/>
    </row>
    <row r="573" customFormat="false" ht="12.75" hidden="false" customHeight="false" outlineLevel="0" collapsed="false">
      <c r="AF573" s="63"/>
    </row>
    <row r="574" customFormat="false" ht="12.75" hidden="false" customHeight="false" outlineLevel="0" collapsed="false">
      <c r="AF574" s="63"/>
    </row>
    <row r="575" customFormat="false" ht="12.75" hidden="false" customHeight="false" outlineLevel="0" collapsed="false">
      <c r="AF575" s="63"/>
    </row>
    <row r="576" customFormat="false" ht="12.75" hidden="false" customHeight="false" outlineLevel="0" collapsed="false">
      <c r="AF576" s="63"/>
    </row>
    <row r="577" customFormat="false" ht="12.75" hidden="false" customHeight="false" outlineLevel="0" collapsed="false">
      <c r="AF577" s="63"/>
    </row>
    <row r="578" customFormat="false" ht="12.75" hidden="false" customHeight="false" outlineLevel="0" collapsed="false">
      <c r="AF578" s="63"/>
    </row>
    <row r="579" customFormat="false" ht="12.75" hidden="false" customHeight="false" outlineLevel="0" collapsed="false">
      <c r="AF579" s="63"/>
    </row>
    <row r="580" customFormat="false" ht="12.75" hidden="false" customHeight="false" outlineLevel="0" collapsed="false">
      <c r="AF580" s="63"/>
    </row>
    <row r="581" customFormat="false" ht="12.75" hidden="false" customHeight="false" outlineLevel="0" collapsed="false">
      <c r="AF581" s="63"/>
    </row>
    <row r="582" customFormat="false" ht="12.75" hidden="false" customHeight="false" outlineLevel="0" collapsed="false">
      <c r="AF582" s="63"/>
    </row>
    <row r="583" customFormat="false" ht="12.75" hidden="false" customHeight="false" outlineLevel="0" collapsed="false">
      <c r="AF583" s="63"/>
    </row>
    <row r="584" customFormat="false" ht="12.75" hidden="false" customHeight="false" outlineLevel="0" collapsed="false">
      <c r="AF584" s="63"/>
    </row>
    <row r="585" customFormat="false" ht="12.75" hidden="false" customHeight="false" outlineLevel="0" collapsed="false">
      <c r="AF585" s="63"/>
    </row>
    <row r="586" customFormat="false" ht="12.75" hidden="false" customHeight="false" outlineLevel="0" collapsed="false">
      <c r="AF586" s="63"/>
    </row>
    <row r="587" customFormat="false" ht="12.75" hidden="false" customHeight="false" outlineLevel="0" collapsed="false">
      <c r="AF587" s="63"/>
    </row>
    <row r="588" customFormat="false" ht="12.75" hidden="false" customHeight="false" outlineLevel="0" collapsed="false">
      <c r="AF588" s="63"/>
    </row>
    <row r="589" customFormat="false" ht="12.75" hidden="false" customHeight="false" outlineLevel="0" collapsed="false">
      <c r="AF589" s="63"/>
    </row>
    <row r="590" customFormat="false" ht="12.75" hidden="false" customHeight="false" outlineLevel="0" collapsed="false">
      <c r="AF590" s="63"/>
    </row>
    <row r="591" customFormat="false" ht="12.75" hidden="false" customHeight="false" outlineLevel="0" collapsed="false">
      <c r="AF591" s="63"/>
    </row>
    <row r="592" customFormat="false" ht="12.75" hidden="false" customHeight="false" outlineLevel="0" collapsed="false">
      <c r="AF592" s="63"/>
    </row>
    <row r="593" customFormat="false" ht="12.75" hidden="false" customHeight="false" outlineLevel="0" collapsed="false">
      <c r="AF593" s="63"/>
    </row>
    <row r="594" customFormat="false" ht="12.75" hidden="false" customHeight="false" outlineLevel="0" collapsed="false">
      <c r="AF594" s="63"/>
    </row>
    <row r="595" customFormat="false" ht="12.75" hidden="false" customHeight="false" outlineLevel="0" collapsed="false">
      <c r="AF595" s="63"/>
    </row>
    <row r="596" customFormat="false" ht="12.75" hidden="false" customHeight="false" outlineLevel="0" collapsed="false">
      <c r="AF596" s="63"/>
    </row>
    <row r="597" customFormat="false" ht="12.75" hidden="false" customHeight="false" outlineLevel="0" collapsed="false">
      <c r="AF597" s="63"/>
    </row>
    <row r="598" customFormat="false" ht="12.75" hidden="false" customHeight="false" outlineLevel="0" collapsed="false">
      <c r="AF598" s="63"/>
    </row>
    <row r="599" customFormat="false" ht="12.75" hidden="false" customHeight="false" outlineLevel="0" collapsed="false">
      <c r="AF599" s="63"/>
    </row>
    <row r="600" customFormat="false" ht="12.75" hidden="false" customHeight="false" outlineLevel="0" collapsed="false">
      <c r="AF600" s="63"/>
    </row>
    <row r="601" customFormat="false" ht="12.75" hidden="false" customHeight="false" outlineLevel="0" collapsed="false">
      <c r="AF601" s="63"/>
    </row>
    <row r="602" customFormat="false" ht="12.75" hidden="false" customHeight="false" outlineLevel="0" collapsed="false">
      <c r="AF602" s="63"/>
    </row>
    <row r="603" customFormat="false" ht="12.75" hidden="false" customHeight="false" outlineLevel="0" collapsed="false">
      <c r="AF603" s="63"/>
    </row>
    <row r="604" customFormat="false" ht="12.75" hidden="false" customHeight="false" outlineLevel="0" collapsed="false">
      <c r="AF604" s="63"/>
    </row>
    <row r="605" customFormat="false" ht="12.75" hidden="false" customHeight="false" outlineLevel="0" collapsed="false">
      <c r="AF605" s="63"/>
    </row>
    <row r="606" customFormat="false" ht="12.75" hidden="false" customHeight="false" outlineLevel="0" collapsed="false">
      <c r="AF606" s="63"/>
    </row>
    <row r="607" customFormat="false" ht="12.75" hidden="false" customHeight="false" outlineLevel="0" collapsed="false">
      <c r="AF607" s="63"/>
    </row>
    <row r="608" customFormat="false" ht="12.75" hidden="false" customHeight="false" outlineLevel="0" collapsed="false">
      <c r="AF608" s="63"/>
    </row>
    <row r="609" customFormat="false" ht="12.75" hidden="false" customHeight="false" outlineLevel="0" collapsed="false">
      <c r="AF609" s="63"/>
    </row>
    <row r="610" customFormat="false" ht="12.75" hidden="false" customHeight="false" outlineLevel="0" collapsed="false">
      <c r="AF610" s="63"/>
    </row>
    <row r="611" customFormat="false" ht="12.75" hidden="false" customHeight="false" outlineLevel="0" collapsed="false">
      <c r="AF611" s="63"/>
    </row>
    <row r="612" customFormat="false" ht="12.75" hidden="false" customHeight="false" outlineLevel="0" collapsed="false">
      <c r="AF612" s="63"/>
    </row>
    <row r="613" customFormat="false" ht="12.75" hidden="false" customHeight="false" outlineLevel="0" collapsed="false">
      <c r="AF613" s="63"/>
    </row>
    <row r="614" customFormat="false" ht="12.75" hidden="false" customHeight="false" outlineLevel="0" collapsed="false">
      <c r="AF614" s="63"/>
    </row>
    <row r="615" customFormat="false" ht="12.75" hidden="false" customHeight="false" outlineLevel="0" collapsed="false">
      <c r="AF615" s="63"/>
    </row>
    <row r="616" customFormat="false" ht="12.75" hidden="false" customHeight="false" outlineLevel="0" collapsed="false">
      <c r="AF616" s="63"/>
    </row>
    <row r="617" customFormat="false" ht="12.75" hidden="false" customHeight="false" outlineLevel="0" collapsed="false">
      <c r="AF617" s="63"/>
    </row>
    <row r="618" customFormat="false" ht="12.75" hidden="false" customHeight="false" outlineLevel="0" collapsed="false">
      <c r="AF618" s="63"/>
    </row>
    <row r="619" customFormat="false" ht="12.75" hidden="false" customHeight="false" outlineLevel="0" collapsed="false">
      <c r="AF619" s="63"/>
    </row>
    <row r="620" customFormat="false" ht="12.75" hidden="false" customHeight="false" outlineLevel="0" collapsed="false">
      <c r="AF620" s="63"/>
    </row>
    <row r="621" customFormat="false" ht="12.75" hidden="false" customHeight="false" outlineLevel="0" collapsed="false">
      <c r="AF621" s="63"/>
    </row>
    <row r="622" customFormat="false" ht="12.75" hidden="false" customHeight="false" outlineLevel="0" collapsed="false">
      <c r="AF622" s="63"/>
    </row>
    <row r="623" customFormat="false" ht="12.75" hidden="false" customHeight="false" outlineLevel="0" collapsed="false">
      <c r="AF623" s="63"/>
    </row>
    <row r="624" customFormat="false" ht="12.75" hidden="false" customHeight="false" outlineLevel="0" collapsed="false">
      <c r="AF624" s="63"/>
    </row>
    <row r="625" customFormat="false" ht="12.75" hidden="false" customHeight="false" outlineLevel="0" collapsed="false">
      <c r="AF625" s="63"/>
    </row>
    <row r="626" customFormat="false" ht="12.75" hidden="false" customHeight="false" outlineLevel="0" collapsed="false">
      <c r="AF626" s="63"/>
    </row>
    <row r="627" customFormat="false" ht="12.75" hidden="false" customHeight="false" outlineLevel="0" collapsed="false">
      <c r="AF627" s="63"/>
    </row>
    <row r="628" customFormat="false" ht="12.75" hidden="false" customHeight="false" outlineLevel="0" collapsed="false">
      <c r="AF628" s="63"/>
    </row>
    <row r="629" customFormat="false" ht="12.75" hidden="false" customHeight="false" outlineLevel="0" collapsed="false">
      <c r="AF629" s="63"/>
    </row>
    <row r="630" customFormat="false" ht="12.75" hidden="false" customHeight="false" outlineLevel="0" collapsed="false">
      <c r="AF630" s="63"/>
    </row>
    <row r="631" customFormat="false" ht="12.75" hidden="false" customHeight="false" outlineLevel="0" collapsed="false">
      <c r="AF631" s="63"/>
    </row>
    <row r="632" customFormat="false" ht="12.75" hidden="false" customHeight="false" outlineLevel="0" collapsed="false">
      <c r="AF632" s="63"/>
    </row>
    <row r="633" customFormat="false" ht="12.75" hidden="false" customHeight="false" outlineLevel="0" collapsed="false">
      <c r="AF633" s="63"/>
    </row>
    <row r="634" customFormat="false" ht="12.75" hidden="false" customHeight="false" outlineLevel="0" collapsed="false">
      <c r="AF634" s="63"/>
    </row>
    <row r="635" customFormat="false" ht="12.75" hidden="false" customHeight="false" outlineLevel="0" collapsed="false">
      <c r="AF635" s="63"/>
    </row>
    <row r="636" customFormat="false" ht="12.75" hidden="false" customHeight="false" outlineLevel="0" collapsed="false">
      <c r="AF636" s="63"/>
    </row>
    <row r="637" customFormat="false" ht="12.75" hidden="false" customHeight="false" outlineLevel="0" collapsed="false">
      <c r="AF637" s="63"/>
    </row>
    <row r="638" customFormat="false" ht="12.75" hidden="false" customHeight="false" outlineLevel="0" collapsed="false">
      <c r="AF638" s="63"/>
    </row>
    <row r="639" customFormat="false" ht="12.75" hidden="false" customHeight="false" outlineLevel="0" collapsed="false">
      <c r="AF639" s="63"/>
    </row>
    <row r="640" customFormat="false" ht="12.75" hidden="false" customHeight="false" outlineLevel="0" collapsed="false">
      <c r="AF640" s="63"/>
    </row>
    <row r="641" customFormat="false" ht="12.75" hidden="false" customHeight="false" outlineLevel="0" collapsed="false">
      <c r="AF641" s="63"/>
    </row>
    <row r="642" customFormat="false" ht="12.75" hidden="false" customHeight="false" outlineLevel="0" collapsed="false">
      <c r="AF642" s="63"/>
    </row>
    <row r="643" customFormat="false" ht="12.75" hidden="false" customHeight="false" outlineLevel="0" collapsed="false">
      <c r="AF643" s="63"/>
    </row>
    <row r="644" customFormat="false" ht="12.75" hidden="false" customHeight="false" outlineLevel="0" collapsed="false">
      <c r="AF644" s="63"/>
    </row>
    <row r="645" customFormat="false" ht="12.75" hidden="false" customHeight="false" outlineLevel="0" collapsed="false">
      <c r="AF645" s="63"/>
    </row>
    <row r="646" customFormat="false" ht="12.75" hidden="false" customHeight="false" outlineLevel="0" collapsed="false">
      <c r="AF646" s="63"/>
    </row>
    <row r="647" customFormat="false" ht="12.75" hidden="false" customHeight="false" outlineLevel="0" collapsed="false">
      <c r="AF647" s="63"/>
    </row>
    <row r="648" customFormat="false" ht="12.75" hidden="false" customHeight="false" outlineLevel="0" collapsed="false">
      <c r="AF648" s="63"/>
    </row>
    <row r="649" customFormat="false" ht="12.75" hidden="false" customHeight="false" outlineLevel="0" collapsed="false">
      <c r="AF649" s="63"/>
    </row>
    <row r="650" customFormat="false" ht="12.75" hidden="false" customHeight="false" outlineLevel="0" collapsed="false">
      <c r="AF650" s="63"/>
    </row>
    <row r="651" customFormat="false" ht="12.75" hidden="false" customHeight="false" outlineLevel="0" collapsed="false">
      <c r="AF651" s="63"/>
    </row>
    <row r="652" customFormat="false" ht="12.75" hidden="false" customHeight="false" outlineLevel="0" collapsed="false">
      <c r="AF652" s="63"/>
    </row>
    <row r="653" customFormat="false" ht="12.75" hidden="false" customHeight="false" outlineLevel="0" collapsed="false">
      <c r="AF653" s="63"/>
    </row>
    <row r="654" customFormat="false" ht="12.75" hidden="false" customHeight="false" outlineLevel="0" collapsed="false">
      <c r="AF654" s="63"/>
    </row>
    <row r="655" customFormat="false" ht="12.75" hidden="false" customHeight="false" outlineLevel="0" collapsed="false">
      <c r="AF655" s="63"/>
    </row>
    <row r="656" customFormat="false" ht="12.75" hidden="false" customHeight="false" outlineLevel="0" collapsed="false">
      <c r="AF656" s="63"/>
    </row>
    <row r="657" customFormat="false" ht="12.75" hidden="false" customHeight="false" outlineLevel="0" collapsed="false">
      <c r="AF657" s="63"/>
    </row>
    <row r="658" customFormat="false" ht="12.75" hidden="false" customHeight="false" outlineLevel="0" collapsed="false">
      <c r="AF658" s="63"/>
    </row>
    <row r="659" customFormat="false" ht="12.75" hidden="false" customHeight="false" outlineLevel="0" collapsed="false">
      <c r="AF659" s="63"/>
    </row>
    <row r="660" customFormat="false" ht="12.75" hidden="false" customHeight="false" outlineLevel="0" collapsed="false">
      <c r="AF660" s="63"/>
    </row>
    <row r="661" customFormat="false" ht="12.75" hidden="false" customHeight="false" outlineLevel="0" collapsed="false">
      <c r="AF661" s="63"/>
    </row>
    <row r="662" customFormat="false" ht="12.75" hidden="false" customHeight="false" outlineLevel="0" collapsed="false">
      <c r="AF662" s="63"/>
    </row>
    <row r="663" customFormat="false" ht="12.75" hidden="false" customHeight="false" outlineLevel="0" collapsed="false">
      <c r="AF663" s="63"/>
    </row>
    <row r="664" customFormat="false" ht="12.75" hidden="false" customHeight="false" outlineLevel="0" collapsed="false">
      <c r="AF664" s="63"/>
    </row>
    <row r="665" customFormat="false" ht="12.75" hidden="false" customHeight="false" outlineLevel="0" collapsed="false">
      <c r="AF665" s="63"/>
    </row>
    <row r="666" customFormat="false" ht="12.75" hidden="false" customHeight="false" outlineLevel="0" collapsed="false">
      <c r="AF666" s="63"/>
    </row>
    <row r="667" customFormat="false" ht="12.75" hidden="false" customHeight="false" outlineLevel="0" collapsed="false">
      <c r="AF667" s="63"/>
    </row>
    <row r="668" customFormat="false" ht="12.75" hidden="false" customHeight="false" outlineLevel="0" collapsed="false">
      <c r="AF668" s="63"/>
    </row>
    <row r="669" customFormat="false" ht="12.75" hidden="false" customHeight="false" outlineLevel="0" collapsed="false">
      <c r="AF669" s="63"/>
    </row>
    <row r="670" customFormat="false" ht="12.75" hidden="false" customHeight="false" outlineLevel="0" collapsed="false">
      <c r="AF670" s="63"/>
    </row>
    <row r="671" customFormat="false" ht="12.75" hidden="false" customHeight="false" outlineLevel="0" collapsed="false">
      <c r="AF671" s="63"/>
    </row>
    <row r="672" customFormat="false" ht="12.75" hidden="false" customHeight="false" outlineLevel="0" collapsed="false">
      <c r="AF672" s="63"/>
    </row>
    <row r="673" customFormat="false" ht="12.75" hidden="false" customHeight="false" outlineLevel="0" collapsed="false">
      <c r="AF673" s="63"/>
    </row>
    <row r="674" customFormat="false" ht="12.75" hidden="false" customHeight="false" outlineLevel="0" collapsed="false">
      <c r="AF674" s="63"/>
    </row>
    <row r="675" customFormat="false" ht="12.75" hidden="false" customHeight="false" outlineLevel="0" collapsed="false">
      <c r="AF675" s="63"/>
    </row>
    <row r="676" customFormat="false" ht="12.75" hidden="false" customHeight="false" outlineLevel="0" collapsed="false">
      <c r="AF676" s="63"/>
    </row>
    <row r="677" customFormat="false" ht="12.75" hidden="false" customHeight="false" outlineLevel="0" collapsed="false">
      <c r="AF677" s="63"/>
    </row>
    <row r="678" customFormat="false" ht="12.75" hidden="false" customHeight="false" outlineLevel="0" collapsed="false">
      <c r="AF678" s="63"/>
    </row>
    <row r="679" customFormat="false" ht="12.75" hidden="false" customHeight="false" outlineLevel="0" collapsed="false">
      <c r="AF679" s="63"/>
    </row>
    <row r="680" customFormat="false" ht="12.75" hidden="false" customHeight="false" outlineLevel="0" collapsed="false">
      <c r="AF680" s="63"/>
    </row>
    <row r="681" customFormat="false" ht="12.75" hidden="false" customHeight="false" outlineLevel="0" collapsed="false">
      <c r="AF681" s="63"/>
    </row>
    <row r="682" customFormat="false" ht="12.75" hidden="false" customHeight="false" outlineLevel="0" collapsed="false">
      <c r="AF682" s="63"/>
    </row>
    <row r="683" customFormat="false" ht="12.75" hidden="false" customHeight="false" outlineLevel="0" collapsed="false">
      <c r="AF683" s="63"/>
    </row>
    <row r="684" customFormat="false" ht="12.75" hidden="false" customHeight="false" outlineLevel="0" collapsed="false">
      <c r="AF684" s="63"/>
    </row>
    <row r="685" customFormat="false" ht="12.75" hidden="false" customHeight="false" outlineLevel="0" collapsed="false">
      <c r="AF685" s="63"/>
    </row>
    <row r="686" customFormat="false" ht="12.75" hidden="false" customHeight="false" outlineLevel="0" collapsed="false">
      <c r="AF686" s="63"/>
    </row>
    <row r="687" customFormat="false" ht="12.75" hidden="false" customHeight="false" outlineLevel="0" collapsed="false">
      <c r="AF687" s="63"/>
    </row>
    <row r="688" customFormat="false" ht="12.75" hidden="false" customHeight="false" outlineLevel="0" collapsed="false">
      <c r="AF688" s="63"/>
    </row>
    <row r="689" customFormat="false" ht="12.75" hidden="false" customHeight="false" outlineLevel="0" collapsed="false">
      <c r="AF689" s="63"/>
    </row>
    <row r="690" customFormat="false" ht="12.75" hidden="false" customHeight="false" outlineLevel="0" collapsed="false">
      <c r="AF690" s="63"/>
    </row>
    <row r="691" customFormat="false" ht="12.75" hidden="false" customHeight="false" outlineLevel="0" collapsed="false">
      <c r="AF691" s="63"/>
    </row>
    <row r="692" customFormat="false" ht="12.75" hidden="false" customHeight="false" outlineLevel="0" collapsed="false">
      <c r="AF692" s="63"/>
    </row>
    <row r="693" customFormat="false" ht="12.75" hidden="false" customHeight="false" outlineLevel="0" collapsed="false">
      <c r="AF693" s="63"/>
    </row>
    <row r="694" customFormat="false" ht="12.75" hidden="false" customHeight="false" outlineLevel="0" collapsed="false">
      <c r="AF694" s="63"/>
    </row>
    <row r="695" customFormat="false" ht="12.75" hidden="false" customHeight="false" outlineLevel="0" collapsed="false">
      <c r="AF695" s="63"/>
    </row>
    <row r="696" customFormat="false" ht="12.75" hidden="false" customHeight="false" outlineLevel="0" collapsed="false">
      <c r="AF696" s="63"/>
    </row>
    <row r="697" customFormat="false" ht="12.75" hidden="false" customHeight="false" outlineLevel="0" collapsed="false">
      <c r="AF697" s="63"/>
    </row>
    <row r="698" customFormat="false" ht="12.75" hidden="false" customHeight="false" outlineLevel="0" collapsed="false">
      <c r="AF698" s="63"/>
    </row>
    <row r="699" customFormat="false" ht="12.75" hidden="false" customHeight="false" outlineLevel="0" collapsed="false">
      <c r="AF699" s="63"/>
    </row>
    <row r="700" customFormat="false" ht="12.75" hidden="false" customHeight="false" outlineLevel="0" collapsed="false">
      <c r="AF700" s="63"/>
    </row>
    <row r="701" customFormat="false" ht="12.75" hidden="false" customHeight="false" outlineLevel="0" collapsed="false">
      <c r="AF701" s="63"/>
    </row>
    <row r="702" customFormat="false" ht="12.75" hidden="false" customHeight="false" outlineLevel="0" collapsed="false">
      <c r="AF702" s="63"/>
    </row>
    <row r="703" customFormat="false" ht="12.75" hidden="false" customHeight="false" outlineLevel="0" collapsed="false">
      <c r="AF703" s="63"/>
    </row>
    <row r="704" customFormat="false" ht="12.75" hidden="false" customHeight="false" outlineLevel="0" collapsed="false">
      <c r="AF704" s="63"/>
    </row>
    <row r="705" customFormat="false" ht="12.75" hidden="false" customHeight="false" outlineLevel="0" collapsed="false">
      <c r="AF705" s="63"/>
    </row>
    <row r="706" customFormat="false" ht="12.75" hidden="false" customHeight="false" outlineLevel="0" collapsed="false">
      <c r="AF706" s="63"/>
    </row>
    <row r="707" customFormat="false" ht="12.75" hidden="false" customHeight="false" outlineLevel="0" collapsed="false">
      <c r="AF707" s="63"/>
    </row>
    <row r="708" customFormat="false" ht="12.75" hidden="false" customHeight="false" outlineLevel="0" collapsed="false">
      <c r="AF708" s="63"/>
    </row>
    <row r="709" customFormat="false" ht="12.75" hidden="false" customHeight="false" outlineLevel="0" collapsed="false">
      <c r="AF709" s="63"/>
    </row>
    <row r="710" customFormat="false" ht="12.75" hidden="false" customHeight="false" outlineLevel="0" collapsed="false">
      <c r="AF710" s="63"/>
    </row>
    <row r="711" customFormat="false" ht="12.75" hidden="false" customHeight="false" outlineLevel="0" collapsed="false">
      <c r="AF711" s="63"/>
    </row>
    <row r="712" customFormat="false" ht="12.75" hidden="false" customHeight="false" outlineLevel="0" collapsed="false">
      <c r="AF712" s="63"/>
    </row>
    <row r="713" customFormat="false" ht="12.75" hidden="false" customHeight="false" outlineLevel="0" collapsed="false">
      <c r="AF713" s="63"/>
    </row>
    <row r="714" customFormat="false" ht="12.75" hidden="false" customHeight="false" outlineLevel="0" collapsed="false">
      <c r="AF714" s="63"/>
    </row>
    <row r="715" customFormat="false" ht="12.75" hidden="false" customHeight="false" outlineLevel="0" collapsed="false">
      <c r="AF715" s="63"/>
    </row>
    <row r="716" customFormat="false" ht="12.75" hidden="false" customHeight="false" outlineLevel="0" collapsed="false">
      <c r="AF716" s="63"/>
    </row>
    <row r="717" customFormat="false" ht="12.75" hidden="false" customHeight="false" outlineLevel="0" collapsed="false">
      <c r="AF717" s="63"/>
    </row>
    <row r="718" customFormat="false" ht="12.75" hidden="false" customHeight="false" outlineLevel="0" collapsed="false">
      <c r="AF718" s="63"/>
    </row>
    <row r="719" customFormat="false" ht="12.75" hidden="false" customHeight="false" outlineLevel="0" collapsed="false">
      <c r="AF719" s="63"/>
    </row>
    <row r="720" customFormat="false" ht="12.75" hidden="false" customHeight="false" outlineLevel="0" collapsed="false">
      <c r="AF720" s="63"/>
    </row>
    <row r="721" customFormat="false" ht="12.75" hidden="false" customHeight="false" outlineLevel="0" collapsed="false">
      <c r="AF721" s="63"/>
    </row>
    <row r="722" customFormat="false" ht="12.75" hidden="false" customHeight="false" outlineLevel="0" collapsed="false">
      <c r="AF722" s="63"/>
    </row>
    <row r="723" customFormat="false" ht="12.75" hidden="false" customHeight="false" outlineLevel="0" collapsed="false">
      <c r="AF723" s="63"/>
    </row>
    <row r="724" customFormat="false" ht="12.75" hidden="false" customHeight="false" outlineLevel="0" collapsed="false">
      <c r="AF724" s="63"/>
    </row>
    <row r="725" customFormat="false" ht="12.75" hidden="false" customHeight="false" outlineLevel="0" collapsed="false">
      <c r="AF725" s="63"/>
    </row>
    <row r="726" customFormat="false" ht="12.75" hidden="false" customHeight="false" outlineLevel="0" collapsed="false">
      <c r="AF726" s="63"/>
    </row>
    <row r="727" customFormat="false" ht="12.75" hidden="false" customHeight="false" outlineLevel="0" collapsed="false">
      <c r="AF727" s="63"/>
    </row>
    <row r="728" customFormat="false" ht="12.75" hidden="false" customHeight="false" outlineLevel="0" collapsed="false">
      <c r="AF728" s="63"/>
    </row>
    <row r="729" customFormat="false" ht="12.75" hidden="false" customHeight="false" outlineLevel="0" collapsed="false">
      <c r="AF729" s="63"/>
    </row>
    <row r="730" customFormat="false" ht="12.75" hidden="false" customHeight="false" outlineLevel="0" collapsed="false">
      <c r="AF730" s="63"/>
    </row>
    <row r="731" customFormat="false" ht="12.75" hidden="false" customHeight="false" outlineLevel="0" collapsed="false">
      <c r="AF731" s="63"/>
    </row>
    <row r="732" customFormat="false" ht="12.75" hidden="false" customHeight="false" outlineLevel="0" collapsed="false">
      <c r="AF732" s="63"/>
    </row>
    <row r="733" customFormat="false" ht="12.75" hidden="false" customHeight="false" outlineLevel="0" collapsed="false">
      <c r="AF733" s="63"/>
    </row>
    <row r="734" customFormat="false" ht="12.75" hidden="false" customHeight="false" outlineLevel="0" collapsed="false">
      <c r="AF734" s="63"/>
    </row>
    <row r="735" customFormat="false" ht="12.75" hidden="false" customHeight="false" outlineLevel="0" collapsed="false">
      <c r="AF735" s="63"/>
    </row>
    <row r="736" customFormat="false" ht="12.75" hidden="false" customHeight="false" outlineLevel="0" collapsed="false">
      <c r="AF736" s="63"/>
    </row>
    <row r="737" customFormat="false" ht="12.75" hidden="false" customHeight="false" outlineLevel="0" collapsed="false">
      <c r="AF737" s="63"/>
    </row>
    <row r="738" customFormat="false" ht="12.75" hidden="false" customHeight="false" outlineLevel="0" collapsed="false">
      <c r="AF738" s="63"/>
    </row>
    <row r="739" customFormat="false" ht="12.75" hidden="false" customHeight="false" outlineLevel="0" collapsed="false">
      <c r="AF739" s="63"/>
    </row>
    <row r="740" customFormat="false" ht="12.75" hidden="false" customHeight="false" outlineLevel="0" collapsed="false">
      <c r="AF740" s="63"/>
    </row>
    <row r="741" customFormat="false" ht="12.75" hidden="false" customHeight="false" outlineLevel="0" collapsed="false">
      <c r="AF741" s="63"/>
    </row>
    <row r="742" customFormat="false" ht="12.75" hidden="false" customHeight="false" outlineLevel="0" collapsed="false">
      <c r="AF742" s="63"/>
    </row>
    <row r="743" customFormat="false" ht="12.75" hidden="false" customHeight="false" outlineLevel="0" collapsed="false">
      <c r="AF743" s="63"/>
    </row>
    <row r="744" customFormat="false" ht="12.75" hidden="false" customHeight="false" outlineLevel="0" collapsed="false">
      <c r="AF744" s="63"/>
    </row>
    <row r="745" customFormat="false" ht="12.75" hidden="false" customHeight="false" outlineLevel="0" collapsed="false">
      <c r="AF745" s="63"/>
    </row>
    <row r="746" customFormat="false" ht="12.75" hidden="false" customHeight="false" outlineLevel="0" collapsed="false">
      <c r="AF746" s="63"/>
    </row>
    <row r="747" customFormat="false" ht="12.75" hidden="false" customHeight="false" outlineLevel="0" collapsed="false">
      <c r="AF747" s="63"/>
    </row>
    <row r="748" customFormat="false" ht="12.75" hidden="false" customHeight="false" outlineLevel="0" collapsed="false">
      <c r="AF748" s="63"/>
    </row>
    <row r="749" customFormat="false" ht="12.75" hidden="false" customHeight="false" outlineLevel="0" collapsed="false">
      <c r="AF749" s="63"/>
    </row>
    <row r="750" customFormat="false" ht="12.75" hidden="false" customHeight="false" outlineLevel="0" collapsed="false">
      <c r="AF750" s="63"/>
    </row>
    <row r="751" customFormat="false" ht="12.75" hidden="false" customHeight="false" outlineLevel="0" collapsed="false">
      <c r="AF751" s="63"/>
    </row>
    <row r="752" customFormat="false" ht="12.75" hidden="false" customHeight="false" outlineLevel="0" collapsed="false">
      <c r="AF752" s="63"/>
    </row>
    <row r="753" customFormat="false" ht="12.75" hidden="false" customHeight="false" outlineLevel="0" collapsed="false">
      <c r="AF753" s="63"/>
    </row>
    <row r="754" customFormat="false" ht="12.75" hidden="false" customHeight="false" outlineLevel="0" collapsed="false">
      <c r="AF754" s="63"/>
    </row>
    <row r="755" customFormat="false" ht="12.75" hidden="false" customHeight="false" outlineLevel="0" collapsed="false">
      <c r="AF755" s="63"/>
    </row>
    <row r="756" customFormat="false" ht="12.75" hidden="false" customHeight="false" outlineLevel="0" collapsed="false">
      <c r="AF756" s="63"/>
    </row>
    <row r="757" customFormat="false" ht="12.75" hidden="false" customHeight="false" outlineLevel="0" collapsed="false">
      <c r="AF757" s="63"/>
    </row>
    <row r="758" customFormat="false" ht="12.75" hidden="false" customHeight="false" outlineLevel="0" collapsed="false">
      <c r="AF758" s="63"/>
    </row>
    <row r="759" customFormat="false" ht="12.75" hidden="false" customHeight="false" outlineLevel="0" collapsed="false">
      <c r="AF759" s="63"/>
    </row>
    <row r="760" customFormat="false" ht="12.75" hidden="false" customHeight="false" outlineLevel="0" collapsed="false">
      <c r="AF760" s="63"/>
    </row>
    <row r="761" customFormat="false" ht="12.75" hidden="false" customHeight="false" outlineLevel="0" collapsed="false">
      <c r="AF761" s="63"/>
    </row>
    <row r="762" customFormat="false" ht="12.75" hidden="false" customHeight="false" outlineLevel="0" collapsed="false">
      <c r="AF762" s="63"/>
    </row>
    <row r="763" customFormat="false" ht="12.75" hidden="false" customHeight="false" outlineLevel="0" collapsed="false">
      <c r="AF763" s="63"/>
    </row>
    <row r="764" customFormat="false" ht="12.75" hidden="false" customHeight="false" outlineLevel="0" collapsed="false">
      <c r="AF764" s="63"/>
    </row>
    <row r="765" customFormat="false" ht="12.75" hidden="false" customHeight="false" outlineLevel="0" collapsed="false">
      <c r="AF765" s="63"/>
    </row>
    <row r="766" customFormat="false" ht="12.75" hidden="false" customHeight="false" outlineLevel="0" collapsed="false">
      <c r="AF766" s="63"/>
    </row>
    <row r="767" customFormat="false" ht="12.75" hidden="false" customHeight="false" outlineLevel="0" collapsed="false">
      <c r="AF767" s="63"/>
    </row>
    <row r="768" customFormat="false" ht="12.75" hidden="false" customHeight="false" outlineLevel="0" collapsed="false">
      <c r="AF768" s="63"/>
    </row>
    <row r="769" customFormat="false" ht="12.75" hidden="false" customHeight="false" outlineLevel="0" collapsed="false">
      <c r="AF769" s="63"/>
    </row>
    <row r="770" customFormat="false" ht="12.75" hidden="false" customHeight="false" outlineLevel="0" collapsed="false">
      <c r="AF770" s="63"/>
    </row>
    <row r="771" customFormat="false" ht="12.75" hidden="false" customHeight="false" outlineLevel="0" collapsed="false">
      <c r="AF771" s="63"/>
    </row>
    <row r="772" customFormat="false" ht="12.75" hidden="false" customHeight="false" outlineLevel="0" collapsed="false">
      <c r="AF772" s="63"/>
    </row>
    <row r="773" customFormat="false" ht="12.75" hidden="false" customHeight="false" outlineLevel="0" collapsed="false">
      <c r="AF773" s="63"/>
    </row>
    <row r="774" customFormat="false" ht="12.75" hidden="false" customHeight="false" outlineLevel="0" collapsed="false">
      <c r="AF774" s="63"/>
    </row>
    <row r="775" customFormat="false" ht="12.75" hidden="false" customHeight="false" outlineLevel="0" collapsed="false">
      <c r="AF775" s="63"/>
    </row>
    <row r="776" customFormat="false" ht="12.75" hidden="false" customHeight="false" outlineLevel="0" collapsed="false">
      <c r="AF776" s="63"/>
    </row>
    <row r="777" customFormat="false" ht="12.75" hidden="false" customHeight="false" outlineLevel="0" collapsed="false">
      <c r="AF777" s="63"/>
    </row>
    <row r="778" customFormat="false" ht="12.75" hidden="false" customHeight="false" outlineLevel="0" collapsed="false">
      <c r="AF778" s="63"/>
    </row>
    <row r="779" customFormat="false" ht="12.75" hidden="false" customHeight="false" outlineLevel="0" collapsed="false">
      <c r="AF779" s="63"/>
    </row>
    <row r="780" customFormat="false" ht="12.75" hidden="false" customHeight="false" outlineLevel="0" collapsed="false">
      <c r="AF780" s="63"/>
    </row>
    <row r="781" customFormat="false" ht="12.75" hidden="false" customHeight="false" outlineLevel="0" collapsed="false">
      <c r="AF781" s="63"/>
    </row>
    <row r="782" customFormat="false" ht="12.75" hidden="false" customHeight="false" outlineLevel="0" collapsed="false">
      <c r="AF782" s="63"/>
    </row>
    <row r="783" customFormat="false" ht="12.75" hidden="false" customHeight="false" outlineLevel="0" collapsed="false">
      <c r="AF783" s="63"/>
    </row>
    <row r="784" customFormat="false" ht="12.75" hidden="false" customHeight="false" outlineLevel="0" collapsed="false">
      <c r="AF784" s="63"/>
    </row>
    <row r="785" customFormat="false" ht="12.75" hidden="false" customHeight="false" outlineLevel="0" collapsed="false">
      <c r="AF785" s="63"/>
    </row>
    <row r="786" customFormat="false" ht="12.75" hidden="false" customHeight="false" outlineLevel="0" collapsed="false">
      <c r="AF786" s="63"/>
    </row>
    <row r="787" customFormat="false" ht="12.75" hidden="false" customHeight="false" outlineLevel="0" collapsed="false">
      <c r="AF787" s="63"/>
    </row>
    <row r="788" customFormat="false" ht="12.75" hidden="false" customHeight="false" outlineLevel="0" collapsed="false">
      <c r="AF788" s="63"/>
    </row>
    <row r="789" customFormat="false" ht="12.75" hidden="false" customHeight="false" outlineLevel="0" collapsed="false">
      <c r="AF789" s="63"/>
    </row>
    <row r="790" customFormat="false" ht="12.75" hidden="false" customHeight="false" outlineLevel="0" collapsed="false">
      <c r="AF790" s="63"/>
    </row>
    <row r="791" customFormat="false" ht="12.75" hidden="false" customHeight="false" outlineLevel="0" collapsed="false">
      <c r="AF791" s="63"/>
    </row>
    <row r="792" customFormat="false" ht="12.75" hidden="false" customHeight="false" outlineLevel="0" collapsed="false">
      <c r="AF792" s="63"/>
    </row>
    <row r="793" customFormat="false" ht="12.75" hidden="false" customHeight="false" outlineLevel="0" collapsed="false">
      <c r="AF793" s="63"/>
    </row>
    <row r="794" customFormat="false" ht="12.75" hidden="false" customHeight="false" outlineLevel="0" collapsed="false">
      <c r="AF794" s="63"/>
    </row>
    <row r="795" customFormat="false" ht="12.75" hidden="false" customHeight="false" outlineLevel="0" collapsed="false">
      <c r="AF795" s="63"/>
    </row>
    <row r="796" customFormat="false" ht="12.75" hidden="false" customHeight="false" outlineLevel="0" collapsed="false">
      <c r="AF796" s="63"/>
    </row>
    <row r="797" customFormat="false" ht="12.75" hidden="false" customHeight="false" outlineLevel="0" collapsed="false">
      <c r="AF797" s="63"/>
    </row>
    <row r="798" customFormat="false" ht="12.75" hidden="false" customHeight="false" outlineLevel="0" collapsed="false">
      <c r="AF798" s="63"/>
    </row>
    <row r="799" customFormat="false" ht="12.75" hidden="false" customHeight="false" outlineLevel="0" collapsed="false">
      <c r="AF799" s="63"/>
    </row>
    <row r="800" customFormat="false" ht="12.75" hidden="false" customHeight="false" outlineLevel="0" collapsed="false">
      <c r="AF800" s="63"/>
    </row>
    <row r="801" customFormat="false" ht="12.75" hidden="false" customHeight="false" outlineLevel="0" collapsed="false">
      <c r="AF801" s="63"/>
    </row>
    <row r="802" customFormat="false" ht="12.75" hidden="false" customHeight="false" outlineLevel="0" collapsed="false">
      <c r="AF802" s="63"/>
    </row>
    <row r="803" customFormat="false" ht="12.75" hidden="false" customHeight="false" outlineLevel="0" collapsed="false">
      <c r="AF803" s="63"/>
    </row>
    <row r="804" customFormat="false" ht="12.75" hidden="false" customHeight="false" outlineLevel="0" collapsed="false">
      <c r="AF804" s="63"/>
    </row>
    <row r="805" customFormat="false" ht="12.75" hidden="false" customHeight="false" outlineLevel="0" collapsed="false">
      <c r="AF805" s="63"/>
    </row>
    <row r="806" customFormat="false" ht="12.75" hidden="false" customHeight="false" outlineLevel="0" collapsed="false">
      <c r="AF806" s="63"/>
    </row>
    <row r="807" customFormat="false" ht="12.75" hidden="false" customHeight="false" outlineLevel="0" collapsed="false">
      <c r="AF807" s="63"/>
    </row>
    <row r="808" customFormat="false" ht="12.75" hidden="false" customHeight="false" outlineLevel="0" collapsed="false">
      <c r="AF808" s="63"/>
    </row>
    <row r="809" customFormat="false" ht="12.75" hidden="false" customHeight="false" outlineLevel="0" collapsed="false">
      <c r="AF809" s="63"/>
    </row>
    <row r="810" customFormat="false" ht="12.75" hidden="false" customHeight="false" outlineLevel="0" collapsed="false">
      <c r="AF810" s="63"/>
    </row>
    <row r="811" customFormat="false" ht="12.75" hidden="false" customHeight="false" outlineLevel="0" collapsed="false">
      <c r="AF811" s="63"/>
    </row>
    <row r="812" customFormat="false" ht="12.75" hidden="false" customHeight="false" outlineLevel="0" collapsed="false">
      <c r="AF812" s="63"/>
    </row>
    <row r="813" customFormat="false" ht="12.75" hidden="false" customHeight="false" outlineLevel="0" collapsed="false">
      <c r="AF813" s="63"/>
    </row>
    <row r="814" customFormat="false" ht="12.75" hidden="false" customHeight="false" outlineLevel="0" collapsed="false">
      <c r="AF814" s="63"/>
    </row>
    <row r="815" customFormat="false" ht="12.75" hidden="false" customHeight="false" outlineLevel="0" collapsed="false">
      <c r="AF815" s="63"/>
    </row>
    <row r="816" customFormat="false" ht="12.75" hidden="false" customHeight="false" outlineLevel="0" collapsed="false">
      <c r="AF816" s="63"/>
    </row>
    <row r="817" customFormat="false" ht="12.75" hidden="false" customHeight="false" outlineLevel="0" collapsed="false">
      <c r="AF817" s="63"/>
    </row>
    <row r="818" customFormat="false" ht="12.75" hidden="false" customHeight="false" outlineLevel="0" collapsed="false">
      <c r="AF818" s="63"/>
    </row>
    <row r="819" customFormat="false" ht="12.75" hidden="false" customHeight="false" outlineLevel="0" collapsed="false">
      <c r="AF819" s="63"/>
    </row>
    <row r="820" customFormat="false" ht="12.75" hidden="false" customHeight="false" outlineLevel="0" collapsed="false">
      <c r="AF820" s="63"/>
    </row>
    <row r="821" customFormat="false" ht="12.75" hidden="false" customHeight="false" outlineLevel="0" collapsed="false">
      <c r="AF821" s="63"/>
    </row>
    <row r="822" customFormat="false" ht="12.75" hidden="false" customHeight="false" outlineLevel="0" collapsed="false">
      <c r="AF822" s="63"/>
    </row>
    <row r="823" customFormat="false" ht="12.75" hidden="false" customHeight="false" outlineLevel="0" collapsed="false">
      <c r="AF823" s="63"/>
    </row>
    <row r="824" customFormat="false" ht="12.75" hidden="false" customHeight="false" outlineLevel="0" collapsed="false">
      <c r="AF824" s="63"/>
    </row>
    <row r="825" customFormat="false" ht="12.75" hidden="false" customHeight="false" outlineLevel="0" collapsed="false">
      <c r="AF825" s="63"/>
    </row>
    <row r="826" customFormat="false" ht="12.75" hidden="false" customHeight="false" outlineLevel="0" collapsed="false">
      <c r="AF826" s="63"/>
    </row>
    <row r="827" customFormat="false" ht="12.75" hidden="false" customHeight="false" outlineLevel="0" collapsed="false">
      <c r="AF827" s="63"/>
    </row>
    <row r="828" customFormat="false" ht="12.75" hidden="false" customHeight="false" outlineLevel="0" collapsed="false">
      <c r="AF828" s="63"/>
    </row>
    <row r="829" customFormat="false" ht="12.75" hidden="false" customHeight="false" outlineLevel="0" collapsed="false">
      <c r="AF829" s="63"/>
    </row>
    <row r="830" customFormat="false" ht="12.75" hidden="false" customHeight="false" outlineLevel="0" collapsed="false">
      <c r="AF830" s="63"/>
    </row>
    <row r="831" customFormat="false" ht="12.75" hidden="false" customHeight="false" outlineLevel="0" collapsed="false">
      <c r="AF831" s="63"/>
    </row>
    <row r="832" customFormat="false" ht="12.75" hidden="false" customHeight="false" outlineLevel="0" collapsed="false">
      <c r="AF832" s="63"/>
    </row>
    <row r="833" customFormat="false" ht="12.75" hidden="false" customHeight="false" outlineLevel="0" collapsed="false">
      <c r="AF833" s="63"/>
    </row>
    <row r="834" customFormat="false" ht="12.75" hidden="false" customHeight="false" outlineLevel="0" collapsed="false">
      <c r="AF834" s="63"/>
    </row>
    <row r="835" customFormat="false" ht="12.75" hidden="false" customHeight="false" outlineLevel="0" collapsed="false">
      <c r="AF835" s="63"/>
    </row>
    <row r="836" customFormat="false" ht="12.75" hidden="false" customHeight="false" outlineLevel="0" collapsed="false">
      <c r="AF836" s="63"/>
    </row>
    <row r="837" customFormat="false" ht="12.75" hidden="false" customHeight="false" outlineLevel="0" collapsed="false">
      <c r="AF837" s="63"/>
    </row>
    <row r="838" customFormat="false" ht="12.75" hidden="false" customHeight="false" outlineLevel="0" collapsed="false">
      <c r="AF838" s="63"/>
    </row>
    <row r="839" customFormat="false" ht="12.75" hidden="false" customHeight="false" outlineLevel="0" collapsed="false">
      <c r="AF839" s="63"/>
    </row>
    <row r="840" customFormat="false" ht="12.75" hidden="false" customHeight="false" outlineLevel="0" collapsed="false">
      <c r="AF840" s="63"/>
    </row>
    <row r="841" customFormat="false" ht="12.75" hidden="false" customHeight="false" outlineLevel="0" collapsed="false">
      <c r="AF841" s="63"/>
    </row>
    <row r="842" customFormat="false" ht="12.75" hidden="false" customHeight="false" outlineLevel="0" collapsed="false">
      <c r="AF842" s="63"/>
    </row>
    <row r="843" customFormat="false" ht="12.75" hidden="false" customHeight="false" outlineLevel="0" collapsed="false">
      <c r="AF843" s="63"/>
    </row>
    <row r="844" customFormat="false" ht="12.75" hidden="false" customHeight="false" outlineLevel="0" collapsed="false">
      <c r="AF844" s="63"/>
    </row>
    <row r="845" customFormat="false" ht="12.75" hidden="false" customHeight="false" outlineLevel="0" collapsed="false">
      <c r="AF845" s="63"/>
    </row>
    <row r="846" customFormat="false" ht="12.75" hidden="false" customHeight="false" outlineLevel="0" collapsed="false">
      <c r="AF846" s="63"/>
    </row>
    <row r="847" customFormat="false" ht="12.75" hidden="false" customHeight="false" outlineLevel="0" collapsed="false">
      <c r="AF847" s="63"/>
    </row>
    <row r="848" customFormat="false" ht="12.75" hidden="false" customHeight="false" outlineLevel="0" collapsed="false">
      <c r="AF848" s="63"/>
    </row>
    <row r="849" customFormat="false" ht="12.75" hidden="false" customHeight="false" outlineLevel="0" collapsed="false">
      <c r="AF849" s="63"/>
    </row>
    <row r="850" customFormat="false" ht="12.75" hidden="false" customHeight="false" outlineLevel="0" collapsed="false">
      <c r="AF850" s="63"/>
    </row>
    <row r="851" customFormat="false" ht="12.75" hidden="false" customHeight="false" outlineLevel="0" collapsed="false">
      <c r="AF851" s="63"/>
    </row>
    <row r="852" customFormat="false" ht="12.75" hidden="false" customHeight="false" outlineLevel="0" collapsed="false">
      <c r="AF852" s="63"/>
    </row>
    <row r="853" customFormat="false" ht="12.75" hidden="false" customHeight="false" outlineLevel="0" collapsed="false">
      <c r="AF853" s="63"/>
    </row>
    <row r="854" customFormat="false" ht="12.75" hidden="false" customHeight="false" outlineLevel="0" collapsed="false">
      <c r="AF854" s="63"/>
    </row>
    <row r="855" customFormat="false" ht="12.75" hidden="false" customHeight="false" outlineLevel="0" collapsed="false">
      <c r="AF855" s="63"/>
    </row>
    <row r="856" customFormat="false" ht="12.75" hidden="false" customHeight="false" outlineLevel="0" collapsed="false">
      <c r="AF856" s="63"/>
    </row>
    <row r="857" customFormat="false" ht="12.75" hidden="false" customHeight="false" outlineLevel="0" collapsed="false">
      <c r="AF857" s="63"/>
    </row>
    <row r="858" customFormat="false" ht="12.75" hidden="false" customHeight="false" outlineLevel="0" collapsed="false">
      <c r="AF858" s="63"/>
    </row>
    <row r="859" customFormat="false" ht="12.75" hidden="false" customHeight="false" outlineLevel="0" collapsed="false">
      <c r="AF859" s="63"/>
    </row>
    <row r="860" customFormat="false" ht="12.75" hidden="false" customHeight="false" outlineLevel="0" collapsed="false">
      <c r="AF860" s="63"/>
    </row>
    <row r="861" customFormat="false" ht="12.75" hidden="false" customHeight="false" outlineLevel="0" collapsed="false">
      <c r="AF861" s="63"/>
    </row>
    <row r="862" customFormat="false" ht="12.75" hidden="false" customHeight="false" outlineLevel="0" collapsed="false">
      <c r="AF862" s="63"/>
    </row>
    <row r="863" customFormat="false" ht="12.75" hidden="false" customHeight="false" outlineLevel="0" collapsed="false">
      <c r="AF863" s="63"/>
    </row>
    <row r="864" customFormat="false" ht="12.75" hidden="false" customHeight="false" outlineLevel="0" collapsed="false">
      <c r="AF864" s="63"/>
    </row>
    <row r="865" customFormat="false" ht="12.75" hidden="false" customHeight="false" outlineLevel="0" collapsed="false">
      <c r="AF865" s="63"/>
    </row>
    <row r="866" customFormat="false" ht="12.75" hidden="false" customHeight="false" outlineLevel="0" collapsed="false">
      <c r="AF866" s="63"/>
    </row>
    <row r="867" customFormat="false" ht="12.75" hidden="false" customHeight="false" outlineLevel="0" collapsed="false">
      <c r="AF867" s="63"/>
    </row>
    <row r="868" customFormat="false" ht="12.75" hidden="false" customHeight="false" outlineLevel="0" collapsed="false">
      <c r="AF868" s="63"/>
    </row>
    <row r="869" customFormat="false" ht="12.75" hidden="false" customHeight="false" outlineLevel="0" collapsed="false">
      <c r="AF869" s="63"/>
    </row>
    <row r="870" customFormat="false" ht="12.75" hidden="false" customHeight="false" outlineLevel="0" collapsed="false">
      <c r="AF870" s="63"/>
    </row>
    <row r="871" customFormat="false" ht="12.75" hidden="false" customHeight="false" outlineLevel="0" collapsed="false">
      <c r="AF871" s="63"/>
    </row>
    <row r="872" customFormat="false" ht="12.75" hidden="false" customHeight="false" outlineLevel="0" collapsed="false">
      <c r="AF872" s="63"/>
    </row>
    <row r="873" customFormat="false" ht="12.75" hidden="false" customHeight="false" outlineLevel="0" collapsed="false">
      <c r="AF873" s="63"/>
    </row>
    <row r="874" customFormat="false" ht="12.75" hidden="false" customHeight="false" outlineLevel="0" collapsed="false">
      <c r="AF874" s="63"/>
    </row>
    <row r="875" customFormat="false" ht="12.75" hidden="false" customHeight="false" outlineLevel="0" collapsed="false">
      <c r="AF875" s="63"/>
    </row>
    <row r="876" customFormat="false" ht="12.75" hidden="false" customHeight="false" outlineLevel="0" collapsed="false">
      <c r="AF876" s="63"/>
    </row>
    <row r="877" customFormat="false" ht="12.75" hidden="false" customHeight="false" outlineLevel="0" collapsed="false">
      <c r="AF877" s="63"/>
    </row>
    <row r="878" customFormat="false" ht="12.75" hidden="false" customHeight="false" outlineLevel="0" collapsed="false">
      <c r="AF878" s="63"/>
    </row>
    <row r="879" customFormat="false" ht="12.75" hidden="false" customHeight="false" outlineLevel="0" collapsed="false">
      <c r="AF879" s="63"/>
    </row>
    <row r="880" customFormat="false" ht="12.75" hidden="false" customHeight="false" outlineLevel="0" collapsed="false">
      <c r="AF880" s="63"/>
    </row>
    <row r="881" customFormat="false" ht="12.75" hidden="false" customHeight="false" outlineLevel="0" collapsed="false">
      <c r="AF881" s="63"/>
    </row>
    <row r="882" customFormat="false" ht="12.75" hidden="false" customHeight="false" outlineLevel="0" collapsed="false">
      <c r="AF882" s="63"/>
    </row>
    <row r="883" customFormat="false" ht="12.75" hidden="false" customHeight="false" outlineLevel="0" collapsed="false">
      <c r="AF883" s="63"/>
    </row>
    <row r="884" customFormat="false" ht="12.75" hidden="false" customHeight="false" outlineLevel="0" collapsed="false">
      <c r="AF884" s="63"/>
    </row>
    <row r="885" customFormat="false" ht="12.75" hidden="false" customHeight="false" outlineLevel="0" collapsed="false">
      <c r="AF885" s="63"/>
    </row>
    <row r="886" customFormat="false" ht="12.75" hidden="false" customHeight="false" outlineLevel="0" collapsed="false">
      <c r="AF886" s="63"/>
    </row>
    <row r="887" customFormat="false" ht="12.75" hidden="false" customHeight="false" outlineLevel="0" collapsed="false">
      <c r="AF887" s="63"/>
    </row>
    <row r="888" customFormat="false" ht="12.75" hidden="false" customHeight="false" outlineLevel="0" collapsed="false">
      <c r="AF888" s="63"/>
    </row>
    <row r="889" customFormat="false" ht="12.75" hidden="false" customHeight="false" outlineLevel="0" collapsed="false">
      <c r="AF889" s="63"/>
    </row>
    <row r="890" customFormat="false" ht="12.75" hidden="false" customHeight="false" outlineLevel="0" collapsed="false">
      <c r="AF890" s="63"/>
    </row>
    <row r="891" customFormat="false" ht="12.75" hidden="false" customHeight="false" outlineLevel="0" collapsed="false">
      <c r="AF891" s="63"/>
    </row>
    <row r="892" customFormat="false" ht="12.75" hidden="false" customHeight="false" outlineLevel="0" collapsed="false">
      <c r="AF892" s="63"/>
    </row>
    <row r="893" customFormat="false" ht="12.75" hidden="false" customHeight="false" outlineLevel="0" collapsed="false">
      <c r="AF893" s="63"/>
    </row>
    <row r="894" customFormat="false" ht="12.75" hidden="false" customHeight="false" outlineLevel="0" collapsed="false">
      <c r="AF894" s="63"/>
    </row>
    <row r="895" customFormat="false" ht="12.75" hidden="false" customHeight="false" outlineLevel="0" collapsed="false">
      <c r="AF895" s="63"/>
    </row>
    <row r="896" customFormat="false" ht="12.75" hidden="false" customHeight="false" outlineLevel="0" collapsed="false">
      <c r="AF896" s="63"/>
    </row>
    <row r="897" customFormat="false" ht="12.75" hidden="false" customHeight="false" outlineLevel="0" collapsed="false">
      <c r="AF897" s="63"/>
    </row>
    <row r="898" customFormat="false" ht="12.75" hidden="false" customHeight="false" outlineLevel="0" collapsed="false">
      <c r="AF898" s="63"/>
    </row>
    <row r="899" customFormat="false" ht="12.75" hidden="false" customHeight="false" outlineLevel="0" collapsed="false">
      <c r="AF899" s="63"/>
    </row>
    <row r="900" customFormat="false" ht="12.75" hidden="false" customHeight="false" outlineLevel="0" collapsed="false">
      <c r="AF900" s="63"/>
    </row>
    <row r="901" customFormat="false" ht="12.75" hidden="false" customHeight="false" outlineLevel="0" collapsed="false">
      <c r="AF901" s="63"/>
    </row>
    <row r="902" customFormat="false" ht="12.75" hidden="false" customHeight="false" outlineLevel="0" collapsed="false">
      <c r="AF902" s="63"/>
    </row>
    <row r="903" customFormat="false" ht="12.75" hidden="false" customHeight="false" outlineLevel="0" collapsed="false">
      <c r="AF903" s="63"/>
    </row>
    <row r="904" customFormat="false" ht="12.75" hidden="false" customHeight="false" outlineLevel="0" collapsed="false">
      <c r="AF904" s="63"/>
    </row>
    <row r="905" customFormat="false" ht="12.75" hidden="false" customHeight="false" outlineLevel="0" collapsed="false">
      <c r="AF905" s="63"/>
    </row>
    <row r="906" customFormat="false" ht="12.75" hidden="false" customHeight="false" outlineLevel="0" collapsed="false">
      <c r="AF906" s="63"/>
    </row>
    <row r="907" customFormat="false" ht="12.75" hidden="false" customHeight="false" outlineLevel="0" collapsed="false">
      <c r="AF907" s="63"/>
    </row>
    <row r="908" customFormat="false" ht="12.75" hidden="false" customHeight="false" outlineLevel="0" collapsed="false">
      <c r="AF908" s="63"/>
    </row>
    <row r="909" customFormat="false" ht="12.75" hidden="false" customHeight="false" outlineLevel="0" collapsed="false">
      <c r="AF909" s="63"/>
    </row>
    <row r="910" customFormat="false" ht="12.75" hidden="false" customHeight="false" outlineLevel="0" collapsed="false">
      <c r="AF910" s="63"/>
    </row>
    <row r="911" customFormat="false" ht="12.75" hidden="false" customHeight="false" outlineLevel="0" collapsed="false">
      <c r="AF911" s="63"/>
    </row>
    <row r="912" customFormat="false" ht="12.75" hidden="false" customHeight="false" outlineLevel="0" collapsed="false">
      <c r="AF912" s="63"/>
    </row>
    <row r="913" customFormat="false" ht="12.75" hidden="false" customHeight="false" outlineLevel="0" collapsed="false">
      <c r="AF913" s="63"/>
    </row>
    <row r="914" customFormat="false" ht="12.75" hidden="false" customHeight="false" outlineLevel="0" collapsed="false">
      <c r="AF914" s="63"/>
    </row>
    <row r="915" customFormat="false" ht="12.75" hidden="false" customHeight="false" outlineLevel="0" collapsed="false">
      <c r="AF915" s="63"/>
    </row>
    <row r="916" customFormat="false" ht="12.75" hidden="false" customHeight="false" outlineLevel="0" collapsed="false">
      <c r="AF916" s="63"/>
    </row>
    <row r="917" customFormat="false" ht="12.75" hidden="false" customHeight="false" outlineLevel="0" collapsed="false">
      <c r="AF917" s="63"/>
    </row>
    <row r="918" customFormat="false" ht="12.75" hidden="false" customHeight="false" outlineLevel="0" collapsed="false">
      <c r="AF918" s="63"/>
    </row>
    <row r="919" customFormat="false" ht="12.75" hidden="false" customHeight="false" outlineLevel="0" collapsed="false">
      <c r="AF919" s="63"/>
    </row>
    <row r="920" customFormat="false" ht="12.75" hidden="false" customHeight="false" outlineLevel="0" collapsed="false">
      <c r="AF920" s="63"/>
    </row>
    <row r="921" customFormat="false" ht="12.75" hidden="false" customHeight="false" outlineLevel="0" collapsed="false">
      <c r="AF921" s="63"/>
    </row>
    <row r="922" customFormat="false" ht="12.75" hidden="false" customHeight="false" outlineLevel="0" collapsed="false">
      <c r="AF922" s="63"/>
    </row>
    <row r="923" customFormat="false" ht="12.75" hidden="false" customHeight="false" outlineLevel="0" collapsed="false">
      <c r="AF923" s="63"/>
    </row>
    <row r="924" customFormat="false" ht="12.75" hidden="false" customHeight="false" outlineLevel="0" collapsed="false">
      <c r="AF924" s="63"/>
    </row>
    <row r="925" customFormat="false" ht="12.75" hidden="false" customHeight="false" outlineLevel="0" collapsed="false">
      <c r="AF925" s="63"/>
    </row>
    <row r="926" customFormat="false" ht="12.75" hidden="false" customHeight="false" outlineLevel="0" collapsed="false">
      <c r="AF926" s="63"/>
    </row>
    <row r="927" customFormat="false" ht="12.75" hidden="false" customHeight="false" outlineLevel="0" collapsed="false">
      <c r="AF927" s="63"/>
    </row>
    <row r="928" customFormat="false" ht="12.75" hidden="false" customHeight="false" outlineLevel="0" collapsed="false">
      <c r="AF928" s="63"/>
    </row>
    <row r="929" customFormat="false" ht="12.75" hidden="false" customHeight="false" outlineLevel="0" collapsed="false">
      <c r="AF929" s="63"/>
    </row>
    <row r="930" customFormat="false" ht="12.75" hidden="false" customHeight="false" outlineLevel="0" collapsed="false">
      <c r="AF930" s="63"/>
    </row>
    <row r="931" customFormat="false" ht="12.75" hidden="false" customHeight="false" outlineLevel="0" collapsed="false">
      <c r="AF931" s="63"/>
    </row>
    <row r="932" customFormat="false" ht="12.75" hidden="false" customHeight="false" outlineLevel="0" collapsed="false">
      <c r="AF932" s="63"/>
    </row>
    <row r="933" customFormat="false" ht="12.75" hidden="false" customHeight="false" outlineLevel="0" collapsed="false">
      <c r="AF933" s="63"/>
    </row>
    <row r="934" customFormat="false" ht="12.75" hidden="false" customHeight="false" outlineLevel="0" collapsed="false">
      <c r="AF934" s="63"/>
    </row>
    <row r="935" customFormat="false" ht="12.75" hidden="false" customHeight="false" outlineLevel="0" collapsed="false">
      <c r="AF935" s="63"/>
    </row>
    <row r="936" customFormat="false" ht="12.75" hidden="false" customHeight="false" outlineLevel="0" collapsed="false">
      <c r="AF936" s="63"/>
    </row>
    <row r="937" customFormat="false" ht="12.75" hidden="false" customHeight="false" outlineLevel="0" collapsed="false">
      <c r="AF937" s="63"/>
    </row>
    <row r="938" customFormat="false" ht="12.75" hidden="false" customHeight="false" outlineLevel="0" collapsed="false">
      <c r="AF938" s="63"/>
    </row>
    <row r="939" customFormat="false" ht="12.75" hidden="false" customHeight="false" outlineLevel="0" collapsed="false">
      <c r="AF939" s="63"/>
    </row>
    <row r="940" customFormat="false" ht="12.75" hidden="false" customHeight="false" outlineLevel="0" collapsed="false">
      <c r="AF940" s="63"/>
    </row>
    <row r="941" customFormat="false" ht="12.75" hidden="false" customHeight="false" outlineLevel="0" collapsed="false">
      <c r="AF941" s="63"/>
    </row>
    <row r="942" customFormat="false" ht="12.75" hidden="false" customHeight="false" outlineLevel="0" collapsed="false">
      <c r="AF942" s="63"/>
    </row>
    <row r="943" customFormat="false" ht="12.75" hidden="false" customHeight="false" outlineLevel="0" collapsed="false">
      <c r="AF943" s="63"/>
    </row>
    <row r="944" customFormat="false" ht="12.75" hidden="false" customHeight="false" outlineLevel="0" collapsed="false">
      <c r="AF944" s="63"/>
    </row>
    <row r="945" customFormat="false" ht="12.75" hidden="false" customHeight="false" outlineLevel="0" collapsed="false">
      <c r="AF945" s="63"/>
    </row>
    <row r="946" customFormat="false" ht="12.75" hidden="false" customHeight="false" outlineLevel="0" collapsed="false">
      <c r="AF946" s="63"/>
    </row>
    <row r="947" customFormat="false" ht="12.75" hidden="false" customHeight="false" outlineLevel="0" collapsed="false">
      <c r="AF947" s="63"/>
    </row>
    <row r="948" customFormat="false" ht="12.75" hidden="false" customHeight="false" outlineLevel="0" collapsed="false">
      <c r="AF948" s="63"/>
    </row>
    <row r="949" customFormat="false" ht="12.75" hidden="false" customHeight="false" outlineLevel="0" collapsed="false">
      <c r="AF949" s="63"/>
    </row>
    <row r="950" customFormat="false" ht="12.75" hidden="false" customHeight="false" outlineLevel="0" collapsed="false">
      <c r="AF950" s="63"/>
    </row>
    <row r="951" customFormat="false" ht="12.75" hidden="false" customHeight="false" outlineLevel="0" collapsed="false">
      <c r="AF951" s="63"/>
    </row>
    <row r="952" customFormat="false" ht="12.75" hidden="false" customHeight="false" outlineLevel="0" collapsed="false">
      <c r="AF952" s="63"/>
    </row>
    <row r="953" customFormat="false" ht="12.75" hidden="false" customHeight="false" outlineLevel="0" collapsed="false">
      <c r="AF953" s="63"/>
    </row>
    <row r="954" customFormat="false" ht="12.75" hidden="false" customHeight="false" outlineLevel="0" collapsed="false">
      <c r="AF954" s="63"/>
    </row>
    <row r="955" customFormat="false" ht="12.75" hidden="false" customHeight="false" outlineLevel="0" collapsed="false">
      <c r="AF955" s="63"/>
    </row>
    <row r="956" customFormat="false" ht="12.75" hidden="false" customHeight="false" outlineLevel="0" collapsed="false">
      <c r="AF956" s="63"/>
    </row>
    <row r="957" customFormat="false" ht="12.75" hidden="false" customHeight="false" outlineLevel="0" collapsed="false">
      <c r="AF957" s="63"/>
    </row>
    <row r="958" customFormat="false" ht="12.75" hidden="false" customHeight="false" outlineLevel="0" collapsed="false">
      <c r="AF958" s="63"/>
    </row>
    <row r="959" customFormat="false" ht="12.75" hidden="false" customHeight="false" outlineLevel="0" collapsed="false">
      <c r="AF959" s="63"/>
    </row>
    <row r="960" customFormat="false" ht="12.75" hidden="false" customHeight="false" outlineLevel="0" collapsed="false">
      <c r="AF960" s="63"/>
    </row>
    <row r="961" customFormat="false" ht="12.75" hidden="false" customHeight="false" outlineLevel="0" collapsed="false">
      <c r="AF961" s="63"/>
    </row>
    <row r="962" customFormat="false" ht="12.75" hidden="false" customHeight="false" outlineLevel="0" collapsed="false">
      <c r="AF962" s="63"/>
    </row>
    <row r="963" customFormat="false" ht="12.75" hidden="false" customHeight="false" outlineLevel="0" collapsed="false">
      <c r="AF963" s="63"/>
    </row>
    <row r="964" customFormat="false" ht="12.75" hidden="false" customHeight="false" outlineLevel="0" collapsed="false">
      <c r="AF964" s="63"/>
    </row>
    <row r="965" customFormat="false" ht="12.75" hidden="false" customHeight="false" outlineLevel="0" collapsed="false">
      <c r="AF965" s="63"/>
    </row>
    <row r="966" customFormat="false" ht="12.75" hidden="false" customHeight="false" outlineLevel="0" collapsed="false">
      <c r="AF966" s="63"/>
    </row>
    <row r="967" customFormat="false" ht="12.75" hidden="false" customHeight="false" outlineLevel="0" collapsed="false">
      <c r="AF967" s="63"/>
    </row>
    <row r="968" customFormat="false" ht="12.75" hidden="false" customHeight="false" outlineLevel="0" collapsed="false">
      <c r="AF968" s="63"/>
    </row>
    <row r="969" customFormat="false" ht="12.75" hidden="false" customHeight="false" outlineLevel="0" collapsed="false">
      <c r="AF969" s="63"/>
    </row>
    <row r="970" customFormat="false" ht="12.75" hidden="false" customHeight="false" outlineLevel="0" collapsed="false">
      <c r="AF970" s="63"/>
    </row>
    <row r="971" customFormat="false" ht="12.75" hidden="false" customHeight="false" outlineLevel="0" collapsed="false">
      <c r="AF971" s="63"/>
    </row>
    <row r="972" customFormat="false" ht="12.75" hidden="false" customHeight="false" outlineLevel="0" collapsed="false">
      <c r="AF972" s="63"/>
    </row>
    <row r="973" customFormat="false" ht="12.75" hidden="false" customHeight="false" outlineLevel="0" collapsed="false">
      <c r="AF973" s="63"/>
    </row>
    <row r="974" customFormat="false" ht="12.75" hidden="false" customHeight="false" outlineLevel="0" collapsed="false">
      <c r="AF974" s="63"/>
    </row>
    <row r="975" customFormat="false" ht="12.75" hidden="false" customHeight="false" outlineLevel="0" collapsed="false">
      <c r="AF975" s="63"/>
    </row>
    <row r="976" customFormat="false" ht="12.75" hidden="false" customHeight="false" outlineLevel="0" collapsed="false">
      <c r="AF976" s="63"/>
    </row>
    <row r="977" customFormat="false" ht="12.75" hidden="false" customHeight="false" outlineLevel="0" collapsed="false">
      <c r="AF977" s="63"/>
    </row>
    <row r="978" customFormat="false" ht="12.75" hidden="false" customHeight="false" outlineLevel="0" collapsed="false">
      <c r="AF978" s="63"/>
    </row>
    <row r="979" customFormat="false" ht="12.75" hidden="false" customHeight="false" outlineLevel="0" collapsed="false">
      <c r="AF979" s="63"/>
    </row>
    <row r="980" customFormat="false" ht="12.75" hidden="false" customHeight="false" outlineLevel="0" collapsed="false">
      <c r="AF980" s="63"/>
    </row>
    <row r="981" customFormat="false" ht="12.75" hidden="false" customHeight="false" outlineLevel="0" collapsed="false">
      <c r="AF981" s="63"/>
    </row>
    <row r="982" customFormat="false" ht="12.75" hidden="false" customHeight="false" outlineLevel="0" collapsed="false">
      <c r="AF982" s="63"/>
    </row>
    <row r="983" customFormat="false" ht="12.75" hidden="false" customHeight="false" outlineLevel="0" collapsed="false">
      <c r="AF983" s="63"/>
    </row>
    <row r="984" customFormat="false" ht="12.75" hidden="false" customHeight="false" outlineLevel="0" collapsed="false">
      <c r="AF984" s="63"/>
    </row>
    <row r="985" customFormat="false" ht="12.75" hidden="false" customHeight="false" outlineLevel="0" collapsed="false">
      <c r="AF985" s="63"/>
    </row>
    <row r="986" customFormat="false" ht="12.75" hidden="false" customHeight="false" outlineLevel="0" collapsed="false">
      <c r="AF986" s="63"/>
    </row>
    <row r="987" customFormat="false" ht="12.75" hidden="false" customHeight="false" outlineLevel="0" collapsed="false">
      <c r="AF987" s="63"/>
    </row>
    <row r="988" customFormat="false" ht="12.75" hidden="false" customHeight="false" outlineLevel="0" collapsed="false">
      <c r="AF988" s="63"/>
    </row>
    <row r="989" customFormat="false" ht="12.75" hidden="false" customHeight="false" outlineLevel="0" collapsed="false">
      <c r="AF989" s="63"/>
    </row>
    <row r="990" customFormat="false" ht="12.75" hidden="false" customHeight="false" outlineLevel="0" collapsed="false">
      <c r="AF990" s="63"/>
    </row>
    <row r="991" customFormat="false" ht="12.75" hidden="false" customHeight="false" outlineLevel="0" collapsed="false">
      <c r="AF991" s="63"/>
    </row>
    <row r="992" customFormat="false" ht="12.75" hidden="false" customHeight="false" outlineLevel="0" collapsed="false">
      <c r="AF992" s="63"/>
    </row>
    <row r="993" customFormat="false" ht="12.75" hidden="false" customHeight="false" outlineLevel="0" collapsed="false">
      <c r="AF993" s="63"/>
    </row>
    <row r="994" customFormat="false" ht="12.75" hidden="false" customHeight="false" outlineLevel="0" collapsed="false">
      <c r="AF994" s="63"/>
    </row>
    <row r="995" customFormat="false" ht="12.75" hidden="false" customHeight="false" outlineLevel="0" collapsed="false">
      <c r="AF995" s="63"/>
    </row>
    <row r="996" customFormat="false" ht="12.75" hidden="false" customHeight="false" outlineLevel="0" collapsed="false">
      <c r="AF996" s="63"/>
    </row>
    <row r="997" customFormat="false" ht="12.75" hidden="false" customHeight="false" outlineLevel="0" collapsed="false">
      <c r="AF997" s="63"/>
    </row>
    <row r="998" customFormat="false" ht="12.75" hidden="false" customHeight="false" outlineLevel="0" collapsed="false">
      <c r="AF998" s="63"/>
    </row>
    <row r="999" customFormat="false" ht="12.75" hidden="false" customHeight="false" outlineLevel="0" collapsed="false">
      <c r="AF999" s="63"/>
    </row>
    <row r="1000" customFormat="false" ht="12.75" hidden="false" customHeight="false" outlineLevel="0" collapsed="false">
      <c r="AF1000" s="63"/>
    </row>
    <row r="1001" customFormat="false" ht="12.75" hidden="false" customHeight="false" outlineLevel="0" collapsed="false">
      <c r="AF1001" s="63"/>
    </row>
    <row r="1002" customFormat="false" ht="12.75" hidden="false" customHeight="false" outlineLevel="0" collapsed="false">
      <c r="AF1002" s="63"/>
    </row>
    <row r="1003" customFormat="false" ht="12.75" hidden="false" customHeight="false" outlineLevel="0" collapsed="false">
      <c r="AF1003" s="63"/>
    </row>
    <row r="1004" customFormat="false" ht="12.75" hidden="false" customHeight="false" outlineLevel="0" collapsed="false">
      <c r="AF1004" s="63"/>
    </row>
    <row r="1005" customFormat="false" ht="12.75" hidden="false" customHeight="false" outlineLevel="0" collapsed="false">
      <c r="AF1005" s="63"/>
    </row>
    <row r="1006" customFormat="false" ht="12.75" hidden="false" customHeight="false" outlineLevel="0" collapsed="false">
      <c r="AF1006" s="63"/>
    </row>
    <row r="1007" customFormat="false" ht="12.75" hidden="false" customHeight="false" outlineLevel="0" collapsed="false">
      <c r="AF1007" s="63"/>
    </row>
    <row r="1008" customFormat="false" ht="12.75" hidden="false" customHeight="false" outlineLevel="0" collapsed="false">
      <c r="AF1008" s="63"/>
    </row>
    <row r="1009" customFormat="false" ht="12.75" hidden="false" customHeight="false" outlineLevel="0" collapsed="false">
      <c r="AF1009" s="63"/>
    </row>
    <row r="1010" customFormat="false" ht="12.75" hidden="false" customHeight="false" outlineLevel="0" collapsed="false">
      <c r="AF1010" s="63"/>
    </row>
    <row r="1011" customFormat="false" ht="12.75" hidden="false" customHeight="false" outlineLevel="0" collapsed="false">
      <c r="AF1011" s="63"/>
    </row>
    <row r="1012" customFormat="false" ht="12.75" hidden="false" customHeight="false" outlineLevel="0" collapsed="false">
      <c r="AF1012" s="63"/>
    </row>
    <row r="1013" customFormat="false" ht="12.75" hidden="false" customHeight="false" outlineLevel="0" collapsed="false">
      <c r="AF1013" s="63"/>
    </row>
    <row r="1014" customFormat="false" ht="12.75" hidden="false" customHeight="false" outlineLevel="0" collapsed="false">
      <c r="AF1014" s="63"/>
    </row>
    <row r="1015" customFormat="false" ht="12.75" hidden="false" customHeight="false" outlineLevel="0" collapsed="false">
      <c r="AF1015" s="63"/>
    </row>
    <row r="1016" customFormat="false" ht="12.75" hidden="false" customHeight="false" outlineLevel="0" collapsed="false">
      <c r="AF1016" s="63"/>
    </row>
    <row r="1017" customFormat="false" ht="12.75" hidden="false" customHeight="false" outlineLevel="0" collapsed="false">
      <c r="AF1017" s="63"/>
    </row>
    <row r="1018" customFormat="false" ht="12.75" hidden="false" customHeight="false" outlineLevel="0" collapsed="false">
      <c r="AF1018" s="63"/>
    </row>
    <row r="1019" customFormat="false" ht="12.75" hidden="false" customHeight="false" outlineLevel="0" collapsed="false">
      <c r="AF1019" s="63"/>
    </row>
    <row r="1020" customFormat="false" ht="12.75" hidden="false" customHeight="false" outlineLevel="0" collapsed="false">
      <c r="AF1020" s="63"/>
    </row>
    <row r="1021" customFormat="false" ht="12.75" hidden="false" customHeight="false" outlineLevel="0" collapsed="false">
      <c r="AF1021" s="63"/>
    </row>
    <row r="1022" customFormat="false" ht="12.75" hidden="false" customHeight="false" outlineLevel="0" collapsed="false">
      <c r="AF1022" s="63"/>
    </row>
    <row r="1023" customFormat="false" ht="12.75" hidden="false" customHeight="false" outlineLevel="0" collapsed="false">
      <c r="AF1023" s="63"/>
    </row>
    <row r="1024" customFormat="false" ht="12.75" hidden="false" customHeight="false" outlineLevel="0" collapsed="false">
      <c r="AF1024" s="63"/>
    </row>
    <row r="1025" customFormat="false" ht="12.75" hidden="false" customHeight="false" outlineLevel="0" collapsed="false">
      <c r="AF1025" s="63"/>
    </row>
    <row r="1026" customFormat="false" ht="12.75" hidden="false" customHeight="false" outlineLevel="0" collapsed="false">
      <c r="AF1026" s="63"/>
    </row>
    <row r="1027" customFormat="false" ht="12.75" hidden="false" customHeight="false" outlineLevel="0" collapsed="false">
      <c r="AF1027" s="63"/>
    </row>
    <row r="1028" customFormat="false" ht="12.75" hidden="false" customHeight="false" outlineLevel="0" collapsed="false">
      <c r="AF1028" s="63"/>
    </row>
    <row r="1029" customFormat="false" ht="12.75" hidden="false" customHeight="false" outlineLevel="0" collapsed="false">
      <c r="AF1029" s="63"/>
    </row>
    <row r="1030" customFormat="false" ht="12.75" hidden="false" customHeight="false" outlineLevel="0" collapsed="false">
      <c r="AF1030" s="63"/>
    </row>
    <row r="1031" customFormat="false" ht="12.75" hidden="false" customHeight="false" outlineLevel="0" collapsed="false">
      <c r="AF1031" s="63"/>
    </row>
    <row r="1032" customFormat="false" ht="12.75" hidden="false" customHeight="false" outlineLevel="0" collapsed="false">
      <c r="AF1032" s="63"/>
    </row>
    <row r="1033" customFormat="false" ht="12.75" hidden="false" customHeight="false" outlineLevel="0" collapsed="false">
      <c r="AF1033" s="63"/>
    </row>
    <row r="1034" customFormat="false" ht="12.75" hidden="false" customHeight="false" outlineLevel="0" collapsed="false">
      <c r="AF1034" s="63"/>
    </row>
    <row r="1035" customFormat="false" ht="12.75" hidden="false" customHeight="false" outlineLevel="0" collapsed="false">
      <c r="AF1035" s="63"/>
    </row>
    <row r="1036" customFormat="false" ht="12.75" hidden="false" customHeight="false" outlineLevel="0" collapsed="false">
      <c r="AF1036" s="63"/>
    </row>
    <row r="1037" customFormat="false" ht="12.75" hidden="false" customHeight="false" outlineLevel="0" collapsed="false">
      <c r="AF1037" s="63"/>
    </row>
    <row r="1038" customFormat="false" ht="12.75" hidden="false" customHeight="false" outlineLevel="0" collapsed="false">
      <c r="AF1038" s="63"/>
    </row>
  </sheetData>
  <sheetProtection algorithmName="SHA-512" hashValue="npXPaItPpq8nbWLKBXKkoQXukZ3X9JlkFeWa8BDZPL7JaOGFjXTCddB+7V0Z+E+RXhXTQivfL7t5JfQUBfcBnQ==" saltValue="KFVnJZEem0mkDIvH5SVVPg==" spinCount="100000" sheet="true" objects="true" scenarios="true" autoFilter="false"/>
  <autoFilter ref="L15:L21"/>
  <mergeCells count="25">
    <mergeCell ref="O4:P4"/>
    <mergeCell ref="S4:X4"/>
    <mergeCell ref="O5:P5"/>
    <mergeCell ref="S5:X5"/>
    <mergeCell ref="AE5:AF5"/>
    <mergeCell ref="O7:P7"/>
    <mergeCell ref="S7:U7"/>
    <mergeCell ref="AJ7:AJ11"/>
    <mergeCell ref="AL7:AL11"/>
    <mergeCell ref="F8:K8"/>
    <mergeCell ref="L8:L12"/>
    <mergeCell ref="O8:P8"/>
    <mergeCell ref="S8:U8"/>
    <mergeCell ref="Y8:Y12"/>
    <mergeCell ref="Z8:Z12"/>
    <mergeCell ref="F9:K9"/>
    <mergeCell ref="F10:K10"/>
    <mergeCell ref="AA12:AB12"/>
    <mergeCell ref="O15:R15"/>
    <mergeCell ref="Q24:X24"/>
    <mergeCell ref="O27:X29"/>
    <mergeCell ref="O31:X31"/>
    <mergeCell ref="O32:X32"/>
    <mergeCell ref="O34:Q34"/>
    <mergeCell ref="O37:Q37"/>
  </mergeCells>
  <conditionalFormatting sqref="R14 R16 R17:R18 R19 R20">
    <cfRule type="beginsWith" priority="2" operator="beginsWith" aboveAverage="0" equalAverage="0" bottom="0" percent="0" rank="0" text="(" dxfId="20">
      <formula>LEFT(R14,LEN("("))="("</formula>
    </cfRule>
  </conditionalFormatting>
  <conditionalFormatting sqref="AC11">
    <cfRule type="cellIs" priority="3" operator="equal" aboveAverage="0" equalAverage="0" bottom="0" percent="0" rank="0" text="" dxfId="21">
      <formula>"OK"</formula>
    </cfRule>
  </conditionalFormatting>
  <conditionalFormatting sqref="S9:X9">
    <cfRule type="expression" priority="4" aboveAverage="0" equalAverage="0" bottom="0" percent="0" rank="0" text="" dxfId="22">
      <formula>TIPOORCAMENTO="Proposto"</formula>
    </cfRule>
  </conditionalFormatting>
  <conditionalFormatting sqref="M14 M16:M18 M19:M20">
    <cfRule type="cellIs" priority="5" operator="notEqual" aboveAverage="0" equalAverage="0" bottom="0" percent="0" rank="0" text="" dxfId="23">
      <formula>$N14</formula>
    </cfRule>
  </conditionalFormatting>
  <conditionalFormatting sqref="N14:O14 W14 R16:R18 W16:X18 N16:O18 X14 R14 N19:O20 W19:W20 X19:X20 R19 R20">
    <cfRule type="expression" priority="6" aboveAverage="0" equalAverage="0" bottom="0" percent="0" rank="0" text="" dxfId="24">
      <formula>$C14=1</formula>
    </cfRule>
    <cfRule type="expression" priority="7" aboveAverage="0" equalAverage="0" bottom="0" percent="0" rank="0" text="" dxfId="25">
      <formula>OR($C14=0,$C14=2,$C14=3,$C14=4)</formula>
    </cfRule>
  </conditionalFormatting>
  <conditionalFormatting sqref="U14:V14 U16:V18 U19:V19 V20 U20">
    <cfRule type="expression" priority="8" aboveAverage="0" equalAverage="0" bottom="0" percent="0" rank="0" text="" dxfId="26">
      <formula>$C14=1</formula>
    </cfRule>
    <cfRule type="expression" priority="9" aboveAverage="0" equalAverage="0" bottom="0" percent="0" rank="0" text="" dxfId="27">
      <formula>OR($C14=0,$C14=2,$C14=3,$C14=4)</formula>
    </cfRule>
    <cfRule type="expression" priority="10" aboveAverage="0" equalAverage="0" bottom="0" percent="0" rank="0" text="" dxfId="28">
      <formula>AND(TIPOORCAMENTO="Licitado",$C14&lt;&gt;"L",$C14&lt;&gt;-1)</formula>
    </cfRule>
  </conditionalFormatting>
  <conditionalFormatting sqref="P14:Q14 S14:T14 Y14 AG14:AH14 P16:Q18 S16:T18 Y16:Y18 AG16:AH18 P19:Q20 S19:T20 Y19:Y20 AG19:AH20">
    <cfRule type="expression" priority="11" aboveAverage="0" equalAverage="0" bottom="0" percent="0" rank="0" text="" dxfId="29">
      <formula>$C14=1</formula>
    </cfRule>
    <cfRule type="expression" priority="12" aboveAverage="0" equalAverage="0" bottom="0" percent="0" rank="0" text="" dxfId="30">
      <formula>OR($C14=0,$C14=2,$C14=3,$C14=4)</formula>
    </cfRule>
  </conditionalFormatting>
  <conditionalFormatting sqref="AJ21 AJ7:AJ18 AJ19:AJ20">
    <cfRule type="expression" priority="13" aboveAverage="0" equalAverage="0" bottom="0" percent="0" rank="0" text="" dxfId="31">
      <formula>OR(ACOMPANHAMENTO&lt;&gt;"BM",TIPOORCAMENTO="Licitado")</formula>
    </cfRule>
    <cfRule type="expression" priority="14" aboveAverage="0" equalAverage="0" bottom="0" percent="0" rank="0" text="" dxfId="32">
      <formula>$C7=1</formula>
    </cfRule>
    <cfRule type="expression" priority="15" aboveAverage="0" equalAverage="0" bottom="0" percent="0" rank="0" text="" dxfId="33">
      <formula>OR(AND(ISNUMBER($C7),$C7=0),$C7=2,$C7=3,$C7=4)</formula>
    </cfRule>
  </conditionalFormatting>
  <conditionalFormatting sqref="AL21 AL7:AL18 AL19:AL20">
    <cfRule type="expression" priority="16" aboveAverage="0" equalAverage="0" bottom="0" percent="0" rank="0" text="" dxfId="34">
      <formula>TIPOORCAMENTO="PROPOSTO"</formula>
    </cfRule>
    <cfRule type="expression" priority="17" aboveAverage="0" equalAverage="0" bottom="0" percent="0" rank="0" text="" dxfId="35">
      <formula>$C7=1</formula>
    </cfRule>
    <cfRule type="expression" priority="18" aboveAverage="0" equalAverage="0" bottom="0" percent="0" rank="0" text="" dxfId="36">
      <formula>OR(AND(ISNUMBER($C7),$C7=0),$C7=2,$C7=3,$C7=4)</formula>
    </cfRule>
  </conditionalFormatting>
  <conditionalFormatting sqref="AM21:AN21 AM7:AN18 AM19:AN20">
    <cfRule type="expression" priority="19" aboveAverage="0" equalAverage="0" bottom="0" percent="0" rank="0" text="" dxfId="37">
      <formula>TIPOORCAMENTO="PROPOSTO"</formula>
    </cfRule>
    <cfRule type="expression" priority="20" aboveAverage="0" equalAverage="0" bottom="0" percent="0" rank="0" text="" dxfId="38">
      <formula>$C7=1</formula>
    </cfRule>
    <cfRule type="expression" priority="21" aboveAverage="0" equalAverage="0" bottom="0" percent="0" rank="0" text="" dxfId="39">
      <formula>OR(AND(ISNUMBER($C7),$C7=0),$C7=2,$C7=3,$C7=4)</formula>
    </cfRule>
  </conditionalFormatting>
  <conditionalFormatting sqref="O8:P8">
    <cfRule type="expression" priority="22" aboveAverage="0" equalAverage="0" bottom="0" percent="0" rank="0" text="" dxfId="40">
      <formula>ISERROR(INDIRECT($F$9))</formula>
    </cfRule>
  </conditionalFormatting>
  <conditionalFormatting sqref="S7:V8">
    <cfRule type="expression" priority="23" aboveAverage="0" equalAverage="0" bottom="0" percent="0" rank="0" text="" dxfId="41">
      <formula>TIPOORCAMENTO="Proposto"</formula>
    </cfRule>
  </conditionalFormatting>
  <dataValidations count="8">
    <dataValidation allowBlank="true" error="Apenas números decimais maiores que zero." errorStyle="stop" operator="greaterThan" showDropDown="false" showErrorMessage="true" showInputMessage="false" sqref="U14 AJ14 AL14 U16:U20 AJ16:AJ20 AL16:AL20" type="decimal">
      <formula1>0</formula1>
      <formula2>0</formula2>
    </dataValidation>
    <dataValidation allowBlank="true" errorStyle="stop" operator="between" prompt="A entrada de quantidades é feita na coluna AJ se acompanhamento por BM, ou na aba &quot;Memória de Cálculo/PLQ&quot; se acompanhamento por PLE." showDropDown="false" showErrorMessage="true" showInputMessage="true" sqref="T14 T16:T20" type="none">
      <formula1>0</formula1>
      <formula2>0</formula2>
    </dataValidation>
    <dataValidation allowBlank="true" errorStyle="stop" operator="between" prompt="Para Orçamento Proposto, o Preço Unitário é resultado do produto do Custo Unitário pelo BDI.&#10;Para Orçamento Licitado, deve ser preenchido na Coluna AL." showDropDown="false" showErrorMessage="true" showInputMessage="true" sqref="W14 W16:W20" type="none">
      <formula1>0</formula1>
      <formula2>0</formula2>
    </dataValidation>
    <dataValidation allowBlank="true" errorStyle="information" operator="between" prompt="Selecione uma sigla de unidade na lista suspensa." showDropDown="false" showErrorMessage="false" showInputMessage="true" sqref="S14 S16:S20" type="list">
      <formula1>ListaTgov.Unidades</formula1>
      <formula2>0</formula2>
    </dataValidation>
    <dataValidation allowBlank="true" error="Selecione um dos 3 BDI da lista.&#10;&#10;Caso tenha mais de 3 BDI nesta Planilha Orçamentária digite apenas valor percentual." errorStyle="warning" errorTitle="Aviso BDI" operator="between" prompt="RA: Rateio proporcional entre Repasse e Contrapartida.&#10;RP: 100% Repasse&#10;CP: 100% Contrapartida&#10;OU: 100% Outros." promptTitle="Legenda:" showDropDown="false" showErrorMessage="true" showInputMessage="true" sqref="Y14 Y16:Y20" type="list">
      <formula1>ORÇAMENTO.Lista.Recurso</formula1>
      <formula2>0</formula2>
    </dataValidation>
    <dataValidation allowBlank="true" error="Selecione um dos 3 BDI da lista.&#10;&#10;Caso tenha mais de 3 BDI nesta Planilha Orçamentária digite apenas valor percentual." errorStyle="warning" errorTitle="Aviso BDI" operator="between" prompt="Selecione um dos 3 BDI da lista.&#10;&#10;Caso tenha mais de 3 BDI nesta Planilha Orçamentária digite apenas valor percentual." promptTitle="Aviso BDI" showDropDown="false" showErrorMessage="false" showInputMessage="true" sqref="V14 V16:V20" type="list">
      <formula1>ORÇAMENTO.Lista.BDI</formula1>
      <formula2>0</formula2>
    </dataValidation>
    <dataValidation allowBlank="true" errorStyle="stop" operator="between" prompt="Selecione na lista a fonte referencial de custo do serviço.&#10;&#10;Caso seja outra fonte, digite o nome da fonte nesta célula.&#10;&#10;O nome da fonte deve ser idêntico ao que consta na planilha referência." promptTitle="Fonte:" showDropDown="false" showErrorMessage="false" showInputMessage="true" sqref="P14 P16:P20" type="list">
      <formula1>ORÇAMENTO.Lista.Fonte</formula1>
      <formula2>0</formula2>
    </dataValidation>
    <dataValidation allowBlank="false" error="Selecione somente os itens da lista." errorStyle="stop" errorTitle="Erro de Entrada" operator="between" prompt="Selecione na lista o nível de itemização da Planilha." promptTitle="Nível:" showDropDown="false" showErrorMessage="true" showInputMessage="true" sqref="M14 M16:M20" type="list">
      <formula1>ORÇAMENTO.Lista.Nível</formula1>
      <formula2>0</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100" fitToWidth="1" fitToHeight="0" pageOrder="downThenOver" orientation="landscape" blackAndWhite="false" draft="false" cellComments="none" horizontalDpi="300" verticalDpi="300" copies="1"/>
  <headerFooter differentFirst="false" differentOddEven="false">
    <oddHeader>&amp;C&amp;14I</oddHeader>
    <oddFooter>&amp;LPMv3.16&amp;R&amp;P / &amp;N</oddFooter>
  </headerFooter>
  <colBreaks count="1" manualBreakCount="1">
    <brk id="25" man="true" max="65535" min="0"/>
  </colBreaks>
  <drawing r:id="rId2"/>
  <legacyDrawing r:id="rId3"/>
  <mc:AlternateContent xmlns:mc="http://schemas.openxmlformats.org/markup-compatibility/2006">
    <mc:Choice Requires="x14">
      <controls>
        <mc:AlternateContent xmlns:mc="http://schemas.openxmlformats.org/markup-compatibility/2006">
          <mc:Choice Requires="x14">
            <control shapeId="1001" r:id="rId4" name="">
              <controlPr defaultSize="0" locked="1" autoFill="0" autoLine="0" autoPict="0" print="false" altText="CaixaArredQuant">
                <anchor moveWithCells="true" sizeWithCells="false">
                  <from>
                    <xdr:col>3</xdr:col>
                    <xdr:colOff>9039240</xdr:colOff>
                    <xdr:row>6</xdr:row>
                    <xdr:rowOff>121320</xdr:rowOff>
                  </from>
                  <to>
                    <xdr:col>4</xdr:col>
                    <xdr:colOff>283680</xdr:colOff>
                    <xdr:row>8</xdr:row>
                    <xdr:rowOff>8640</xdr:rowOff>
                  </to>
                </anchor>
              </controlPr>
            </control>
          </mc:Choice>
        </mc:AlternateContent>
        <mc:AlternateContent xmlns:mc="http://schemas.openxmlformats.org/markup-compatibility/2006">
          <mc:Choice Requires="x14">
            <control shapeId="1002" r:id="rId5" name="">
              <controlPr defaultSize="0" locked="1" autoFill="0" autoLine="0" autoPict="0" print="false" altText="CaixaArredCustoUnit">
                <anchor moveWithCells="true" sizeWithCells="false">
                  <from>
                    <xdr:col>20</xdr:col>
                    <xdr:colOff>390600</xdr:colOff>
                    <xdr:row>9</xdr:row>
                    <xdr:rowOff>74880</xdr:rowOff>
                  </from>
                  <to>
                    <xdr:col>21</xdr:col>
                    <xdr:colOff>-207720</xdr:colOff>
                    <xdr:row>10</xdr:row>
                    <xdr:rowOff>150840</xdr:rowOff>
                  </to>
                </anchor>
              </controlPr>
            </control>
          </mc:Choice>
        </mc:AlternateContent>
        <mc:AlternateContent xmlns:mc="http://schemas.openxmlformats.org/markup-compatibility/2006">
          <mc:Choice Requires="x14">
            <control shapeId="1003" r:id="rId6" name="">
              <controlPr defaultSize="0" locked="1" autoFill="0" autoLine="0" autoPict="0" print="false" altText="CaixaArredBDI">
                <anchor moveWithCells="true" sizeWithCells="false">
                  <from>
                    <xdr:col>21</xdr:col>
                    <xdr:colOff>266760</xdr:colOff>
                    <xdr:row>9</xdr:row>
                    <xdr:rowOff>74880</xdr:rowOff>
                  </from>
                  <to>
                    <xdr:col>22</xdr:col>
                    <xdr:colOff>-68400</xdr:colOff>
                    <xdr:row>10</xdr:row>
                    <xdr:rowOff>150840</xdr:rowOff>
                  </to>
                </anchor>
              </controlPr>
            </control>
          </mc:Choice>
        </mc:AlternateContent>
        <mc:AlternateContent xmlns:mc="http://schemas.openxmlformats.org/markup-compatibility/2006">
          <mc:Choice Requires="x14">
            <control shapeId="1004" r:id="rId7" name="">
              <controlPr defaultSize="0" locked="1" autoFill="0" autoLine="0" autoPict="0" print="false" altText="CaixaArredPrecoUnit">
                <anchor moveWithCells="true" sizeWithCells="false">
                  <from>
                    <xdr:col>22</xdr:col>
                    <xdr:colOff>390600</xdr:colOff>
                    <xdr:row>9</xdr:row>
                    <xdr:rowOff>74880</xdr:rowOff>
                  </from>
                  <to>
                    <xdr:col>23</xdr:col>
                    <xdr:colOff>-217080</xdr:colOff>
                    <xdr:row>10</xdr:row>
                    <xdr:rowOff>150840</xdr:rowOff>
                  </to>
                </anchor>
              </controlPr>
            </control>
          </mc:Choice>
        </mc:AlternateContent>
        <mc:AlternateContent xmlns:mc="http://schemas.openxmlformats.org/markup-compatibility/2006">
          <mc:Choice Requires="x14">
            <control shapeId="1005" r:id="rId8" name="">
              <controlPr defaultSize="0" locked="1" autoFill="0" autoLine="0" autoPict="0" print="false" altText="CaixaArredPrecoTotal">
                <anchor moveWithCells="true" sizeWithCells="false">
                  <from>
                    <xdr:col>23</xdr:col>
                    <xdr:colOff>428400</xdr:colOff>
                    <xdr:row>9</xdr:row>
                    <xdr:rowOff>55800</xdr:rowOff>
                  </from>
                  <to>
                    <xdr:col>24</xdr:col>
                    <xdr:colOff>-240480</xdr:colOff>
                    <xdr:row>10</xdr:row>
                    <xdr:rowOff>150840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Z4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4" ySplit="14" topLeftCell="E15" activePane="bottomRight" state="frozen"/>
      <selection pane="topLeft" activeCell="A1" activeCellId="0" sqref="A1"/>
      <selection pane="topRight" activeCell="E1" activeCellId="0" sqref="E1"/>
      <selection pane="bottomLeft" activeCell="A15" activeCellId="0" sqref="A15"/>
      <selection pane="bottomRight" activeCell="A1" activeCellId="0" sqref="A1"/>
    </sheetView>
  </sheetViews>
  <sheetFormatPr defaultColWidth="8.6796875" defaultRowHeight="12.75" customHeight="false" zeroHeight="false" outlineLevelRow="0" outlineLevelCol="0"/>
  <cols>
    <col collapsed="false" customWidth="true" hidden="false" outlineLevel="0" max="1" min="1" style="177" width="3.57"/>
    <col collapsed="false" customWidth="true" hidden="true" outlineLevel="0" max="2" min="2" style="0" width="5.42"/>
    <col collapsed="false" customWidth="true" hidden="false" outlineLevel="0" max="3" min="3" style="0" width="12.57"/>
    <col collapsed="false" customWidth="true" hidden="false" outlineLevel="0" max="4" min="4" style="0" width="50.57"/>
    <col collapsed="false" customWidth="true" hidden="true" outlineLevel="0" max="5" min="5" style="0" width="14.57"/>
    <col collapsed="false" customWidth="true" hidden="false" outlineLevel="0" max="6" min="6" style="0" width="28.57"/>
    <col collapsed="false" customWidth="true" hidden="true" outlineLevel="0" max="7" min="7" style="0" width="14.57"/>
    <col collapsed="false" customWidth="true" hidden="false" outlineLevel="0" max="25" min="8" style="0" width="14.57"/>
    <col collapsed="false" customWidth="true" hidden="true" outlineLevel="0" max="26" min="26" style="0" width="14.57"/>
  </cols>
  <sheetData>
    <row r="1" customFormat="false" ht="12.75" hidden="true" customHeight="false" outlineLevel="0" collapsed="false">
      <c r="A1" s="177" t="str">
        <f aca="false">IF(D1="","","F")</f>
        <v/>
      </c>
      <c r="B1" s="0" t="e">
        <f aca="false">IF(OR(C1=" ",D1=""),"",CONCATENATE(C1,". ",D1))</f>
        <v>#VALUE!</v>
      </c>
      <c r="C1" s="260" t="e">
        <f aca="true" t="array" ref="C1:C1">IF(OR(ROW(C1)=ROW(EVENTOS.firstrow)+1,AND(OFFSET(C1,-1,0)&lt;&gt;" ",OFFSET(C1,-1,1)&lt;&gt;"")),OFFSET(C1,-1,0)+1," ")</f>
        <v>#VALUE!</v>
      </c>
      <c r="D1" s="261"/>
      <c r="E1" s="262" t="n">
        <f aca="true" t="array" ref="E1:E1">IF(AUTOEVENTO="Manual",ROUND(SUMPRODUCT((CÁLCULO!$M$15:$M$21=EVENTOS!$C1)*(OFFSET(CÁLCULO!$AA$15:$AA$21,0,E$13))),2),0)</f>
        <v>0</v>
      </c>
      <c r="F1" s="263" t="n">
        <f aca="true">IF(AUTOEVENTO="Manual",ROUND(SUMPRODUCT((CÁLCULO!$M$15:$M$21=EVENTOS!$C1)*(OFFSET(CÁLCULO!$AA$15,0,1):OFFSET(CÁLCULO!$AL$21,0,-1))),2),0)</f>
        <v>0</v>
      </c>
      <c r="G1" s="264" t="str">
        <f aca="false">IF(AND(D1=0,F1&gt;0),"NOME",
 IF(AND(D1&lt;&gt;0,$F$14&gt;0,F1=0),"VALOR",
 IF(AND(Import.TipoArredondamento="TransfereGOV",$A1="F",LEN(D1)&gt;100),"Nome &gt;100","")))</f>
        <v/>
      </c>
      <c r="H1" s="262" t="n">
        <f aca="true" t="array" ref="H1:H1">IF(AUTOEVENTO="Manual",ROUND(SUMPRODUCT((CÁLCULO!$M$15:$M$21=EVENTOS!$C1)*(OFFSET(CÁLCULO!$AA$15:$AA$21,0,H$13))),2),0)</f>
        <v>0</v>
      </c>
      <c r="I1" s="262" t="n">
        <f aca="true" t="array" ref="I1:I1">IF(AUTOEVENTO="Manual",ROUND(SUMPRODUCT((CÁLCULO!$M$15:$M$21=EVENTOS!$C1)*(OFFSET(CÁLCULO!$AA$15:$AA$21,0,I$13))),2),0)</f>
        <v>0</v>
      </c>
      <c r="J1" s="262" t="n">
        <f aca="true" t="array" ref="J1:J1">IF(AUTOEVENTO="Manual",ROUND(SUMPRODUCT((CÁLCULO!$M$15:$M$21=EVENTOS!$C1)*(OFFSET(CÁLCULO!$AA$15:$AA$21,0,J$13))),2),0)</f>
        <v>0</v>
      </c>
      <c r="K1" s="262" t="n">
        <f aca="true" t="array" ref="K1:K1">IF(AUTOEVENTO="Manual",ROUND(SUMPRODUCT((CÁLCULO!$M$15:$M$21=EVENTOS!$C1)*(OFFSET(CÁLCULO!$AA$15:$AA$21,0,K$13))),2),0)</f>
        <v>0</v>
      </c>
      <c r="L1" s="262" t="n">
        <f aca="true" t="array" ref="L1:L1">IF(AUTOEVENTO="Manual",ROUND(SUMPRODUCT((CÁLCULO!$M$15:$M$21=EVENTOS!$C1)*(OFFSET(CÁLCULO!$AA$15:$AA$21,0,L$13))),2),0)</f>
        <v>0</v>
      </c>
      <c r="M1" s="262" t="n">
        <f aca="true" t="array" ref="M1:M1">IF(AUTOEVENTO="Manual",ROUND(SUMPRODUCT((CÁLCULO!$M$15:$M$21=EVENTOS!$C1)*(OFFSET(CÁLCULO!$AA$15:$AA$21,0,M$13))),2),0)</f>
        <v>0</v>
      </c>
      <c r="N1" s="262" t="n">
        <f aca="true" t="array" ref="N1:N1">IF(AUTOEVENTO="Manual",ROUND(SUMPRODUCT((CÁLCULO!$M$15:$M$21=EVENTOS!$C1)*(OFFSET(CÁLCULO!$AA$15:$AA$21,0,N$13))),2),0)</f>
        <v>0</v>
      </c>
      <c r="O1" s="262" t="n">
        <f aca="true" t="array" ref="O1:O1">IF(AUTOEVENTO="Manual",ROUND(SUMPRODUCT((CÁLCULO!$M$15:$M$21=EVENTOS!$C1)*(OFFSET(CÁLCULO!$AA$15:$AA$21,0,O$13))),2),0)</f>
        <v>0</v>
      </c>
      <c r="P1" s="262" t="n">
        <f aca="true" t="array" ref="P1:P1">IF(AUTOEVENTO="Manual",ROUND(SUMPRODUCT((CÁLCULO!$M$15:$M$21=EVENTOS!$C1)*(OFFSET(CÁLCULO!$AA$15:$AA$21,0,P$13))),2),0)</f>
        <v>0</v>
      </c>
      <c r="Q1" s="262" t="n">
        <f aca="true" t="array" ref="Q1:Q1">IF(AUTOEVENTO="Manual",ROUND(SUMPRODUCT((CÁLCULO!$M$15:$M$21=EVENTOS!$C1)*(OFFSET(CÁLCULO!$AA$15:$AA$21,0,Q$13))),2),0)</f>
        <v>0</v>
      </c>
      <c r="R1" s="262" t="n">
        <f aca="true" t="array" ref="R1:R1">IF(AUTOEVENTO="Manual",ROUND(SUMPRODUCT((CÁLCULO!$M$15:$M$21=EVENTOS!$C1)*(OFFSET(CÁLCULO!$AA$15:$AA$21,0,R$13))),2),0)</f>
        <v>0</v>
      </c>
      <c r="S1" s="262" t="n">
        <f aca="true" t="array" ref="S1:S1">IF(AUTOEVENTO="Manual",ROUND(SUMPRODUCT((CÁLCULO!$M$15:$M$21=EVENTOS!$C1)*(OFFSET(CÁLCULO!$AA$15:$AA$21,0,S$13))),2),0)</f>
        <v>0</v>
      </c>
      <c r="T1" s="262" t="n">
        <f aca="true" t="array" ref="T1:T1">IF(AUTOEVENTO="Manual",ROUND(SUMPRODUCT((CÁLCULO!$M$15:$M$21=EVENTOS!$C1)*(OFFSET(CÁLCULO!$AA$15:$AA$21,0,T$13))),2),0)</f>
        <v>0</v>
      </c>
      <c r="U1" s="262" t="n">
        <f aca="true" t="array" ref="U1:U1">IF(AUTOEVENTO="Manual",ROUND(SUMPRODUCT((CÁLCULO!$M$15:$M$21=EVENTOS!$C1)*(OFFSET(CÁLCULO!$AA$15:$AA$21,0,U$13))),2),0)</f>
        <v>0</v>
      </c>
      <c r="V1" s="262" t="n">
        <f aca="true" t="array" ref="V1:V1">IF(AUTOEVENTO="Manual",ROUND(SUMPRODUCT((CÁLCULO!$M$15:$M$21=EVENTOS!$C1)*(OFFSET(CÁLCULO!$AA$15:$AA$21,0,V$13))),2),0)</f>
        <v>0</v>
      </c>
      <c r="W1" s="262" t="n">
        <f aca="true" t="array" ref="W1:W1">IF(AUTOEVENTO="Manual",ROUND(SUMPRODUCT((CÁLCULO!$M$15:$M$21=EVENTOS!$C1)*(OFFSET(CÁLCULO!$AA$15:$AA$21,0,W$13))),2),0)</f>
        <v>0</v>
      </c>
      <c r="X1" s="262" t="n">
        <f aca="true" t="array" ref="X1:X1">IF(AUTOEVENTO="Manual",ROUND(SUMPRODUCT((CÁLCULO!$M$15:$M$21=EVENTOS!$C1)*(OFFSET(CÁLCULO!$AA$15:$AA$21,0,X$13))),2),0)</f>
        <v>0</v>
      </c>
      <c r="Y1" s="262" t="n">
        <f aca="true" t="array" ref="Y1:Y1">IF(AUTOEVENTO="Manual",ROUND(SUMPRODUCT((CÁLCULO!$M$15:$M$21=EVENTOS!$C1)*(OFFSET(CÁLCULO!$AA$15:$AA$21,0,Y$13))),2),0)</f>
        <v>0</v>
      </c>
    </row>
    <row r="2" customFormat="false" ht="30" hidden="false" customHeight="true" outlineLevel="0" collapsed="false">
      <c r="F2" s="155" t="s">
        <v>830</v>
      </c>
      <c r="O2" s="265" t="s">
        <v>831</v>
      </c>
      <c r="Y2" s="265" t="s">
        <v>831</v>
      </c>
    </row>
    <row r="4" customFormat="false" ht="12.75" hidden="false" customHeight="true" outlineLevel="0" collapsed="false">
      <c r="C4" s="100" t="s">
        <v>710</v>
      </c>
      <c r="D4" s="171"/>
      <c r="E4" s="147"/>
      <c r="F4" s="266" t="s">
        <v>832</v>
      </c>
      <c r="G4" s="147"/>
      <c r="H4" s="267"/>
      <c r="I4" s="267"/>
      <c r="J4" s="267"/>
      <c r="K4" s="267"/>
      <c r="L4" s="267"/>
      <c r="N4" s="100" t="s">
        <v>708</v>
      </c>
      <c r="O4" s="268" t="s">
        <v>772</v>
      </c>
      <c r="P4" s="266" t="s">
        <v>832</v>
      </c>
      <c r="Q4" s="147"/>
      <c r="R4" s="267"/>
      <c r="S4" s="267"/>
      <c r="T4" s="267"/>
      <c r="U4" s="267"/>
      <c r="V4" s="267"/>
      <c r="X4" s="100" t="s">
        <v>708</v>
      </c>
      <c r="Y4" s="268" t="s">
        <v>772</v>
      </c>
    </row>
    <row r="5" customFormat="false" ht="12.75" hidden="false" customHeight="true" outlineLevel="0" collapsed="false">
      <c r="C5" s="269" t="n">
        <f aca="false">Import.Proponente</f>
        <v>0</v>
      </c>
      <c r="D5" s="270"/>
      <c r="E5" s="270"/>
      <c r="F5" s="271" t="str">
        <f aca="false">Import.Apelido</f>
        <v>REVITALIZAÇÃO DIVERSAS RUAS</v>
      </c>
      <c r="G5" s="271"/>
      <c r="H5" s="271"/>
      <c r="I5" s="271"/>
      <c r="J5" s="271"/>
      <c r="K5" s="271"/>
      <c r="L5" s="271"/>
      <c r="M5" s="271"/>
      <c r="N5" s="101" t="n">
        <f aca="false">Import.CR</f>
        <v>0</v>
      </c>
      <c r="O5" s="101" t="n">
        <f aca="false">Import.SICONV</f>
        <v>0</v>
      </c>
      <c r="P5" s="271" t="str">
        <f aca="false">Import.Apelido</f>
        <v>REVITALIZAÇÃO DIVERSAS RUAS</v>
      </c>
      <c r="Q5" s="271"/>
      <c r="R5" s="271"/>
      <c r="S5" s="271"/>
      <c r="T5" s="271"/>
      <c r="U5" s="271"/>
      <c r="V5" s="271"/>
      <c r="W5" s="271"/>
      <c r="X5" s="101" t="n">
        <f aca="false">Import.CR</f>
        <v>0</v>
      </c>
      <c r="Y5" s="101" t="n">
        <f aca="false">Import.SICONV</f>
        <v>0</v>
      </c>
      <c r="Z5" s="0" t="s">
        <v>820</v>
      </c>
    </row>
    <row r="6" customFormat="false" ht="24.75" hidden="false" customHeight="true" outlineLevel="0" collapsed="false">
      <c r="B6" s="0" t="s">
        <v>833</v>
      </c>
      <c r="C6" s="0" t="s">
        <v>834</v>
      </c>
      <c r="F6" s="51" t="str">
        <f aca="false">IF(AUTOEVENTO="MANUAL",
  IF(COUNTIF($G$15:$G$33,"NOME")&gt;0,"Falta preencher o nome do Título do Evento nº "&amp;INDEX($C$15:$C$33,MATCH("NOME",$G$15:$G$33,0)),
  IF(COUNTIF($G$15:$G$33,"VALOR")&gt;0,"Falta atribuir serviços ao Evento nº "&amp;INDEX($C$15:$C$33,MATCH("VALOR",$G$15:$G$33,0))&amp;". Corrigir a atribuição dos eventos na aba CÁLCULO. Ou excluir linhas dos eventos não utilizados.",
  IF(ROUND($F$14,2)&lt;&gt;ROUND(ORÇAMENTO!$X$15,2),"O valor total dos Eventos é diferente do valor total do Orçamento. Corrigir a atribuição dos eventos na aba CÁLCULO",
  IF(COUNTIF($G$15:$G$33,"Nome &gt;100")&gt;0,"O tamanho do Título do Evento no TransfereGOV é limitado a 100 caracteres. Resuma o nome do Título do Evento nº "&amp;INDEX($C$15:$C$33,MATCH("Nome &gt;100",$G$15:$G$33,0)),"")))),"")</f>
        <v/>
      </c>
    </row>
    <row r="7" customFormat="false" ht="3.75" hidden="false" customHeight="true" outlineLevel="0" collapsed="false">
      <c r="B7" s="0" t="s">
        <v>835</v>
      </c>
    </row>
    <row r="8" customFormat="false" ht="15" hidden="false" customHeight="false" outlineLevel="0" collapsed="false">
      <c r="B8" s="0" t="s">
        <v>836</v>
      </c>
      <c r="C8" s="272" t="s">
        <v>833</v>
      </c>
      <c r="D8" s="272"/>
      <c r="F8" s="51" t="str">
        <f aca="false">IF(ACOMPANHAMENTO="BM","",
 IF(Import.Eventos.Nível="","◄ Selecione a forma de definição dos agrupadores de eventos",
 IF(Import.Eventos.Nível="","◄ Selecione a forma de definição dos agrupadores de eventos","")))</f>
        <v/>
      </c>
    </row>
    <row r="9" customFormat="false" ht="12" hidden="false" customHeight="true" outlineLevel="0" collapsed="false">
      <c r="B9" s="0" t="s">
        <v>837</v>
      </c>
    </row>
    <row r="10" customFormat="false" ht="33.75" hidden="false" customHeight="true" outlineLevel="0" collapsed="false">
      <c r="C10" s="273" t="n">
        <f aca="false">COUNTIF($C$15:$C$33,"&gt;0")-1</f>
        <v>0</v>
      </c>
      <c r="D10" s="0" t="s">
        <v>820</v>
      </c>
      <c r="E10" s="274" t="str">
        <f aca="true">OFFSET(CÁLCULO!$P$12,0,EVENTOS!E$13)</f>
        <v>FRENTE 1 </v>
      </c>
      <c r="F10" s="0" t="s">
        <v>820</v>
      </c>
      <c r="G10" s="275"/>
      <c r="H10" s="274" t="str">
        <f aca="true">OFFSET(CÁLCULO!$P$12,0,EVENTOS!H$13)</f>
        <v>FRENTE 1 </v>
      </c>
      <c r="I10" s="274" t="str">
        <f aca="true">OFFSET(CÁLCULO!$P$12,0,EVENTOS!I$13)</f>
        <v>FRENTE 2</v>
      </c>
      <c r="J10" s="274" t="str">
        <f aca="true">OFFSET(CÁLCULO!$P$12,0,EVENTOS!J$13)</f>
        <v>FRENTE 3</v>
      </c>
      <c r="K10" s="275" t="str">
        <f aca="true">OFFSET(CÁLCULO!$P$12,0,EVENTOS!K$13)</f>
        <v>FRENTE 4</v>
      </c>
      <c r="L10" s="275" t="str">
        <f aca="true">OFFSET(CÁLCULO!$P$12,0,EVENTOS!L$13)</f>
        <v>FRENTE 5</v>
      </c>
      <c r="M10" s="275" t="str">
        <f aca="true">OFFSET(CÁLCULO!$P$12,0,EVENTOS!M$13)</f>
        <v>FRENTE 6 </v>
      </c>
      <c r="N10" s="275" t="str">
        <f aca="true">OFFSET(CÁLCULO!$P$12,0,EVENTOS!N$13)</f>
        <v>.</v>
      </c>
      <c r="O10" s="275" t="str">
        <f aca="true">OFFSET(CÁLCULO!$P$12,0,EVENTOS!O$13)</f>
        <v>.</v>
      </c>
      <c r="P10" s="275" t="str">
        <f aca="true">OFFSET(CÁLCULO!$P$12,0,EVENTOS!P$13)</f>
        <v>.</v>
      </c>
      <c r="Q10" s="275" t="str">
        <f aca="true">OFFSET(CÁLCULO!$P$12,0,EVENTOS!Q$13)</f>
        <v>.</v>
      </c>
      <c r="R10" s="275" t="str">
        <f aca="true">OFFSET(CÁLCULO!$P$12,0,EVENTOS!R$13)</f>
        <v>.</v>
      </c>
      <c r="S10" s="275" t="str">
        <f aca="true">OFFSET(CÁLCULO!$P$12,0,EVENTOS!S$13)</f>
        <v>.</v>
      </c>
      <c r="T10" s="275" t="str">
        <f aca="true">OFFSET(CÁLCULO!$P$12,0,EVENTOS!T$13)</f>
        <v>.</v>
      </c>
      <c r="U10" s="275" t="str">
        <f aca="true">OFFSET(CÁLCULO!$P$12,0,EVENTOS!U$13)</f>
        <v>.</v>
      </c>
      <c r="V10" s="275" t="str">
        <f aca="true">OFFSET(CÁLCULO!$P$12,0,EVENTOS!V$13)</f>
        <v>.</v>
      </c>
      <c r="W10" s="275" t="str">
        <f aca="true">OFFSET(CÁLCULO!$P$12,0,EVENTOS!W$13)</f>
        <v>.</v>
      </c>
      <c r="X10" s="275" t="str">
        <f aca="true">OFFSET(CÁLCULO!$P$12,0,EVENTOS!X$13)</f>
        <v>.</v>
      </c>
      <c r="Y10" s="275" t="str">
        <f aca="true">OFFSET(CÁLCULO!$P$12,0,EVENTOS!Y$13)</f>
        <v>.</v>
      </c>
    </row>
    <row r="11" customFormat="false" ht="34.5" hidden="false" customHeight="true" outlineLevel="0" collapsed="false">
      <c r="A11" s="276" t="s">
        <v>713</v>
      </c>
      <c r="C11" s="277" t="str">
        <f aca="false" t="array" ref="C11: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277"/>
      <c r="E11" s="274"/>
      <c r="F11" s="278"/>
      <c r="G11" s="275"/>
      <c r="H11" s="274"/>
      <c r="I11" s="274"/>
      <c r="J11" s="274"/>
      <c r="K11" s="275"/>
      <c r="L11" s="275"/>
      <c r="M11" s="275"/>
      <c r="N11" s="275"/>
      <c r="O11" s="275"/>
      <c r="P11" s="275"/>
      <c r="Q11" s="275"/>
      <c r="R11" s="275"/>
      <c r="S11" s="275"/>
      <c r="T11" s="275"/>
      <c r="U11" s="275"/>
      <c r="V11" s="275"/>
      <c r="W11" s="275"/>
      <c r="X11" s="275"/>
      <c r="Y11" s="275"/>
    </row>
    <row r="12" customFormat="false" ht="12" hidden="false" customHeight="true" outlineLevel="0" collapsed="false">
      <c r="A12" s="279" t="s">
        <v>718</v>
      </c>
      <c r="E12" s="274"/>
      <c r="G12" s="275"/>
      <c r="H12" s="274"/>
      <c r="I12" s="274"/>
      <c r="J12" s="274"/>
      <c r="K12" s="275"/>
      <c r="L12" s="275"/>
      <c r="M12" s="275"/>
      <c r="N12" s="275"/>
      <c r="O12" s="275"/>
      <c r="P12" s="275"/>
      <c r="Q12" s="275"/>
      <c r="R12" s="275"/>
      <c r="S12" s="275"/>
      <c r="T12" s="275"/>
      <c r="U12" s="275"/>
      <c r="V12" s="275"/>
      <c r="W12" s="275"/>
      <c r="X12" s="275"/>
      <c r="Y12" s="275"/>
    </row>
    <row r="13" customFormat="false" ht="13.8" hidden="false" customHeight="false" outlineLevel="0" collapsed="false">
      <c r="A13" s="280"/>
      <c r="C13" s="281" t="s">
        <v>838</v>
      </c>
      <c r="D13" s="282" t="s">
        <v>839</v>
      </c>
      <c r="E13" s="283" t="n">
        <f aca="true">IF(NOT(ISNUMBER(OFFSET(E13,0,-1))),1,IF(OR(OFFSET(E13,0,-1)=0,OFFSET(E13,0,-1)+1&gt;CÁLCULO.FrentesPreenchidas),0,OFFSET(E13,0,-1)+1))</f>
        <v>1</v>
      </c>
      <c r="F13" s="284" t="s">
        <v>840</v>
      </c>
      <c r="G13" s="285"/>
      <c r="H13" s="283" t="n">
        <f aca="true">IF(NOT(ISNUMBER(OFFSET(H13,0,-1))),1,IF(OR(OFFSET(H13,0,-1)=0,OFFSET(H13,0,-1)+1&gt;CÁLCULO.FrentesPreenchidas),0,OFFSET(H13,0,-1)+1))</f>
        <v>1</v>
      </c>
      <c r="I13" s="283" t="n">
        <f aca="true">IF(NOT(ISNUMBER(OFFSET(I13,0,-1))),1,IF(OR(OFFSET(I13,0,-1)=0,OFFSET(I13,0,-1)+1&gt;CÁLCULO.FrentesPreenchidas),0,OFFSET(I13,0,-1)+1))</f>
        <v>2</v>
      </c>
      <c r="J13" s="283" t="n">
        <f aca="true">IF(NOT(ISNUMBER(OFFSET(J13,0,-1))),1,IF(OR(OFFSET(J13,0,-1)=0,OFFSET(J13,0,-1)+1&gt;CÁLCULO.FrentesPreenchidas),0,OFFSET(J13,0,-1)+1))</f>
        <v>3</v>
      </c>
      <c r="K13" s="283" t="n">
        <f aca="true">IF(NOT(ISNUMBER(OFFSET(K13,0,-1))),1,IF(OR(OFFSET(K13,0,-1)=0,OFFSET(K13,0,-1)+1&gt;CÁLCULO.FrentesPreenchidas),0,OFFSET(K13,0,-1)+1))</f>
        <v>4</v>
      </c>
      <c r="L13" s="283" t="n">
        <f aca="true">IF(NOT(ISNUMBER(OFFSET(L13,0,-1))),1,IF(OR(OFFSET(L13,0,-1)=0,OFFSET(L13,0,-1)+1&gt;CÁLCULO.FrentesPreenchidas),0,OFFSET(L13,0,-1)+1))</f>
        <v>5</v>
      </c>
      <c r="M13" s="283" t="n">
        <f aca="true">IF(NOT(ISNUMBER(OFFSET(M13,0,-1))),1,IF(OR(OFFSET(M13,0,-1)=0,OFFSET(M13,0,-1)+1&gt;CÁLCULO.FrentesPreenchidas),0,OFFSET(M13,0,-1)+1))</f>
        <v>6</v>
      </c>
      <c r="N13" s="283" t="n">
        <f aca="true">IF(NOT(ISNUMBER(OFFSET(N13,0,-1))),1,IF(OR(OFFSET(N13,0,-1)=0,OFFSET(N13,0,-1)+1&gt;CÁLCULO.FrentesPreenchidas),0,OFFSET(N13,0,-1)+1))</f>
        <v>0</v>
      </c>
      <c r="O13" s="283" t="n">
        <f aca="true">IF(NOT(ISNUMBER(OFFSET(O13,0,-1))),1,IF(OR(OFFSET(O13,0,-1)=0,OFFSET(O13,0,-1)+1&gt;CÁLCULO.FrentesPreenchidas),0,OFFSET(O13,0,-1)+1))</f>
        <v>0</v>
      </c>
      <c r="P13" s="283" t="n">
        <f aca="true">IF(NOT(ISNUMBER(OFFSET(P13,0,-1))),1,IF(OR(OFFSET(P13,0,-1)=0,OFFSET(P13,0,-1)+1&gt;CÁLCULO.FrentesPreenchidas),0,OFFSET(P13,0,-1)+1))</f>
        <v>0</v>
      </c>
      <c r="Q13" s="283" t="n">
        <f aca="true">IF(NOT(ISNUMBER(OFFSET(Q13,0,-1))),1,IF(OR(OFFSET(Q13,0,-1)=0,OFFSET(Q13,0,-1)+1&gt;CÁLCULO.FrentesPreenchidas),0,OFFSET(Q13,0,-1)+1))</f>
        <v>0</v>
      </c>
      <c r="R13" s="283" t="n">
        <f aca="true">IF(NOT(ISNUMBER(OFFSET(R13,0,-1))),1,IF(OR(OFFSET(R13,0,-1)=0,OFFSET(R13,0,-1)+1&gt;CÁLCULO.FrentesPreenchidas),0,OFFSET(R13,0,-1)+1))</f>
        <v>0</v>
      </c>
      <c r="S13" s="283" t="n">
        <f aca="true">IF(NOT(ISNUMBER(OFFSET(S13,0,-1))),1,IF(OR(OFFSET(S13,0,-1)=0,OFFSET(S13,0,-1)+1&gt;CÁLCULO.FrentesPreenchidas),0,OFFSET(S13,0,-1)+1))</f>
        <v>0</v>
      </c>
      <c r="T13" s="283" t="n">
        <f aca="true">IF(NOT(ISNUMBER(OFFSET(T13,0,-1))),1,IF(OR(OFFSET(T13,0,-1)=0,OFFSET(T13,0,-1)+1&gt;CÁLCULO.FrentesPreenchidas),0,OFFSET(T13,0,-1)+1))</f>
        <v>0</v>
      </c>
      <c r="U13" s="283" t="n">
        <f aca="true">IF(NOT(ISNUMBER(OFFSET(U13,0,-1))),1,IF(OR(OFFSET(U13,0,-1)=0,OFFSET(U13,0,-1)+1&gt;CÁLCULO.FrentesPreenchidas),0,OFFSET(U13,0,-1)+1))</f>
        <v>0</v>
      </c>
      <c r="V13" s="283" t="n">
        <f aca="true">IF(NOT(ISNUMBER(OFFSET(V13,0,-1))),1,IF(OR(OFFSET(V13,0,-1)=0,OFFSET(V13,0,-1)+1&gt;CÁLCULO.FrentesPreenchidas),0,OFFSET(V13,0,-1)+1))</f>
        <v>0</v>
      </c>
      <c r="W13" s="283" t="n">
        <f aca="true">IF(NOT(ISNUMBER(OFFSET(W13,0,-1))),1,IF(OR(OFFSET(W13,0,-1)=0,OFFSET(W13,0,-1)+1&gt;CÁLCULO.FrentesPreenchidas),0,OFFSET(W13,0,-1)+1))</f>
        <v>0</v>
      </c>
      <c r="X13" s="283" t="n">
        <f aca="true">IF(NOT(ISNUMBER(OFFSET(X13,0,-1))),1,IF(OR(OFFSET(X13,0,-1)=0,OFFSET(X13,0,-1)+1&gt;CÁLCULO.FrentesPreenchidas),0,OFFSET(X13,0,-1)+1))</f>
        <v>0</v>
      </c>
      <c r="Y13" s="283" t="n">
        <f aca="true">IF(NOT(ISNUMBER(OFFSET(Y13,0,-1))),1,IF(OR(OFFSET(Y13,0,-1)=0,OFFSET(Y13,0,-1)+1&gt;CÁLCULO.FrentesPreenchidas),0,OFFSET(Y13,0,-1)+1))</f>
        <v>0</v>
      </c>
    </row>
    <row r="14" customFormat="false" ht="15" hidden="false" customHeight="true" outlineLevel="0" collapsed="false">
      <c r="A14" s="177" t="s">
        <v>594</v>
      </c>
      <c r="C14" s="286"/>
      <c r="D14" s="287" t="s">
        <v>841</v>
      </c>
      <c r="E14" s="288" t="n">
        <f aca="false">SUM(E$15:E$33)</f>
        <v>0</v>
      </c>
      <c r="F14" s="289" t="n">
        <f aca="false">SUM(F$15:F$33)</f>
        <v>0</v>
      </c>
      <c r="H14" s="288" t="n">
        <f aca="false">SUM(H$15:H$33)</f>
        <v>0</v>
      </c>
      <c r="I14" s="288" t="n">
        <f aca="false">SUM(I$15:I$33)</f>
        <v>0</v>
      </c>
      <c r="J14" s="288" t="n">
        <f aca="false">SUM(J$15:J$33)</f>
        <v>0</v>
      </c>
      <c r="K14" s="288" t="n">
        <f aca="false">SUM(K$15:K$33)</f>
        <v>0</v>
      </c>
      <c r="L14" s="288" t="n">
        <f aca="false">SUM(L$15:L$33)</f>
        <v>0</v>
      </c>
      <c r="M14" s="288" t="n">
        <f aca="false">SUM(M$15:M$33)</f>
        <v>0</v>
      </c>
      <c r="N14" s="288" t="n">
        <f aca="false">SUM(N$15:N$33)</f>
        <v>0</v>
      </c>
      <c r="O14" s="288" t="n">
        <f aca="false">SUM(O$15:O$33)</f>
        <v>0</v>
      </c>
      <c r="P14" s="288" t="n">
        <f aca="false">SUM(P$15:P$33)</f>
        <v>0</v>
      </c>
      <c r="Q14" s="288" t="n">
        <f aca="false">SUM(Q$15:Q$33)</f>
        <v>0</v>
      </c>
      <c r="R14" s="288" t="n">
        <f aca="false">SUM(R$15:R$33)</f>
        <v>0</v>
      </c>
      <c r="S14" s="288" t="n">
        <f aca="false">SUM(S$15:S$33)</f>
        <v>0</v>
      </c>
      <c r="T14" s="288" t="n">
        <f aca="false">SUM(T$15:T$33)</f>
        <v>0</v>
      </c>
      <c r="U14" s="288" t="n">
        <f aca="false">SUM(U$15:U$33)</f>
        <v>0</v>
      </c>
      <c r="V14" s="288" t="n">
        <f aca="false">SUM(V$15:V$33)</f>
        <v>0</v>
      </c>
      <c r="W14" s="288" t="n">
        <f aca="false">SUM(W$15:W$33)</f>
        <v>0</v>
      </c>
      <c r="X14" s="288" t="n">
        <f aca="false">SUM(X$15:X$33)</f>
        <v>0</v>
      </c>
      <c r="Y14" s="288" t="n">
        <f aca="false">SUM(Y$15:Y$33)</f>
        <v>0</v>
      </c>
    </row>
    <row r="15" customFormat="false" ht="12.75" hidden="false" customHeight="false" outlineLevel="0" collapsed="false">
      <c r="A15" s="290" t="str">
        <f aca="false">IF(D15="","","F")</f>
        <v/>
      </c>
      <c r="B15" s="0" t="str">
        <f aca="false">IF(OR(C15=" ",D15=""),"",CONCATENATE(C15,". ",D15))</f>
        <v/>
      </c>
      <c r="C15" s="291" t="n">
        <f aca="false" t="array" ref="C15:C15">IF(AdmLocal="Automática",1,0)</f>
        <v>0</v>
      </c>
      <c r="D15" s="292" t="str">
        <f aca="false">IF(C15=1,"Administração Local","")</f>
        <v/>
      </c>
      <c r="E15" s="293" t="n">
        <f aca="true">IF($F$15=0,0,IF(E13=1,$F$15-SUM($I$15:$Z$15),ROUND(SUM(OFFSET(E15,1,0):OFFSET(E$33,-1,0))/SUM(OFFSET($F15,1,0):OFFSET($F$33,-1,0))*$F$15,2)))</f>
        <v>0</v>
      </c>
      <c r="F15" s="294" t="n">
        <f aca="false" t="array" ref="F15:F15">IF($C$15=0,0,ROUND(SUMPRODUCT((CÁLCULO!$M$15:$M$21=EVENTOS!$C15)*(ORÇAMENTO!$X$15:$X$21)),2))</f>
        <v>0</v>
      </c>
      <c r="G15" s="295"/>
      <c r="H15" s="293" t="n">
        <f aca="true">IF($F$15=0,0,IF(H13=1,$F$15-SUM($I$15:$Z$15),ROUND(SUM(OFFSET(H15,1,0):OFFSET(H$33,-1,0))/SUM(OFFSET($F15,1,0):OFFSET($F$33,-1,0))*$F$15,2)))</f>
        <v>0</v>
      </c>
      <c r="I15" s="293" t="n">
        <f aca="true">IF($F$15=0,0,IF(I13=1,$F$15-SUM($I$15:$Z$15),ROUND(SUM(OFFSET(I15,1,0):OFFSET(I$33,-1,0))/SUM(OFFSET($F15,1,0):OFFSET($F$33,-1,0))*$F$15,2)))</f>
        <v>0</v>
      </c>
      <c r="J15" s="293" t="n">
        <f aca="true">IF($F$15=0,0,IF(J13=1,$F$15-SUM($I$15:$Z$15),ROUND(SUM(OFFSET(J15,1,0):OFFSET(J$33,-1,0))/SUM(OFFSET($F15,1,0):OFFSET($F$33,-1,0))*$F$15,2)))</f>
        <v>0</v>
      </c>
      <c r="K15" s="293" t="n">
        <f aca="true">IF($F$15=0,0,IF(K13=1,$F$15-SUM($I$15:$Z$15),ROUND(SUM(OFFSET(K15,1,0):OFFSET(K$33,-1,0))/SUM(OFFSET($F15,1,0):OFFSET($F$33,-1,0))*$F$15,2)))</f>
        <v>0</v>
      </c>
      <c r="L15" s="293" t="n">
        <f aca="true">IF($F$15=0,0,IF(L13=1,$F$15-SUM($I$15:$Z$15),ROUND(SUM(OFFSET(L15,1,0):OFFSET(L$33,-1,0))/SUM(OFFSET($F15,1,0):OFFSET($F$33,-1,0))*$F$15,2)))</f>
        <v>0</v>
      </c>
      <c r="M15" s="293" t="n">
        <f aca="true">IF($F$15=0,0,IF(M13=1,$F$15-SUM($I$15:$Z$15),ROUND(SUM(OFFSET(M15,1,0):OFFSET(M$33,-1,0))/SUM(OFFSET($F15,1,0):OFFSET($F$33,-1,0))*$F$15,2)))</f>
        <v>0</v>
      </c>
      <c r="N15" s="293" t="n">
        <f aca="true">IF($F$15=0,0,IF(N13=1,$F$15-SUM($I$15:$Z$15),ROUND(SUM(OFFSET(N15,1,0):OFFSET(N$33,-1,0))/SUM(OFFSET($F15,1,0):OFFSET($F$33,-1,0))*$F$15,2)))</f>
        <v>0</v>
      </c>
      <c r="O15" s="293" t="n">
        <f aca="true">IF($F$15=0,0,IF(O13=1,$F$15-SUM($I$15:$Z$15),ROUND(SUM(OFFSET(O15,1,0):OFFSET(O$33,-1,0))/SUM(OFFSET($F15,1,0):OFFSET($F$33,-1,0))*$F$15,2)))</f>
        <v>0</v>
      </c>
      <c r="P15" s="293" t="n">
        <f aca="true">IF($F$15=0,0,IF(P13=1,$F$15-SUM($I$15:$Z$15),ROUND(SUM(OFFSET(P15,1,0):OFFSET(P$33,-1,0))/SUM(OFFSET($F15,1,0):OFFSET($F$33,-1,0))*$F$15,2)))</f>
        <v>0</v>
      </c>
      <c r="Q15" s="293" t="n">
        <f aca="true">IF($F$15=0,0,IF(Q13=1,$F$15-SUM($I$15:$Z$15),ROUND(SUM(OFFSET(Q15,1,0):OFFSET(Q$33,-1,0))/SUM(OFFSET($F15,1,0):OFFSET($F$33,-1,0))*$F$15,2)))</f>
        <v>0</v>
      </c>
      <c r="R15" s="293" t="n">
        <f aca="true">IF($F$15=0,0,IF(R13=1,$F$15-SUM($I$15:$Z$15),ROUND(SUM(OFFSET(R15,1,0):OFFSET(R$33,-1,0))/SUM(OFFSET($F15,1,0):OFFSET($F$33,-1,0))*$F$15,2)))</f>
        <v>0</v>
      </c>
      <c r="S15" s="293" t="n">
        <f aca="true">IF($F$15=0,0,IF(S13=1,$F$15-SUM($I$15:$Z$15),ROUND(SUM(OFFSET(S15,1,0):OFFSET(S$33,-1,0))/SUM(OFFSET($F15,1,0):OFFSET($F$33,-1,0))*$F$15,2)))</f>
        <v>0</v>
      </c>
      <c r="T15" s="293" t="n">
        <f aca="true">IF($F$15=0,0,IF(T13=1,$F$15-SUM($I$15:$Z$15),ROUND(SUM(OFFSET(T15,1,0):OFFSET(T$33,-1,0))/SUM(OFFSET($F15,1,0):OFFSET($F$33,-1,0))*$F$15,2)))</f>
        <v>0</v>
      </c>
      <c r="U15" s="293" t="n">
        <f aca="true">IF($F$15=0,0,IF(U13=1,$F$15-SUM($I$15:$Z$15),ROUND(SUM(OFFSET(U15,1,0):OFFSET(U$33,-1,0))/SUM(OFFSET($F15,1,0):OFFSET($F$33,-1,0))*$F$15,2)))</f>
        <v>0</v>
      </c>
      <c r="V15" s="293" t="n">
        <f aca="true">IF($F$15=0,0,IF(V13=1,$F$15-SUM($I$15:$Z$15),ROUND(SUM(OFFSET(V15,1,0):OFFSET(V$33,-1,0))/SUM(OFFSET($F15,1,0):OFFSET($F$33,-1,0))*$F$15,2)))</f>
        <v>0</v>
      </c>
      <c r="W15" s="293" t="n">
        <f aca="true">IF($F$15=0,0,IF(W13=1,$F$15-SUM($I$15:$Z$15),ROUND(SUM(OFFSET(W15,1,0):OFFSET(W$33,-1,0))/SUM(OFFSET($F15,1,0):OFFSET($F$33,-1,0))*$F$15,2)))</f>
        <v>0</v>
      </c>
      <c r="X15" s="293" t="n">
        <f aca="true">IF($F$15=0,0,IF(X13=1,$F$15-SUM($I$15:$Z$15),ROUND(SUM(OFFSET(X15,1,0):OFFSET(X$33,-1,0))/SUM(OFFSET($F15,1,0):OFFSET($F$33,-1,0))*$F$15,2)))</f>
        <v>0</v>
      </c>
      <c r="Y15" s="293" t="n">
        <f aca="true">IF($F$15=0,0,IF(Y13=1,$F$15-SUM($I$15:$Z$15),ROUND(SUM(OFFSET(Y15,1,0):OFFSET(Y$33,-1,0))/SUM(OFFSET($F15,1,0):OFFSET($F$33,-1,0))*$F$15,2)))</f>
        <v>0</v>
      </c>
    </row>
    <row r="16" customFormat="false" ht="12.75" hidden="false" customHeight="false" outlineLevel="0" collapsed="false">
      <c r="A16" s="177" t="str">
        <f aca="false">IF(D16="","","F")</f>
        <v/>
      </c>
      <c r="B16" s="0" t="str">
        <f aca="false">IF(OR(C16=" ",D16=""),"",CONCATENATE(C16,". ",D16))</f>
        <v/>
      </c>
      <c r="C16" s="260" t="n">
        <f aca="true" t="array" ref="C16:C16">IF(OR(ROW(C16)=ROW(EVENTOS.firstrow)+1,AND(OFFSET(C16,-1,0)&lt;&gt;" ",OFFSET(C16,-1,1)&lt;&gt;"")),OFFSET(C16,-1,0)+1," ")</f>
        <v>1</v>
      </c>
      <c r="D16" s="261"/>
      <c r="E16" s="262" t="n">
        <f aca="true" t="array" ref="E16:E16">IF(AUTOEVENTO="Manual",ROUND(SUMPRODUCT((CÁLCULO!$M$15:$M$21=EVENTOS!$C16)*(OFFSET(CÁLCULO!$AA$15:$AA$21,0,E$13))),2),0)</f>
        <v>0</v>
      </c>
      <c r="F16" s="263" t="n">
        <f aca="true">IF(AUTOEVENTO="Manual",ROUND(SUMPRODUCT((CÁLCULO!$M$15:$M$21=EVENTOS!$C16)*(OFFSET(CÁLCULO!$AA$15,0,1):OFFSET(CÁLCULO!$AL$21,0,-1))),2),0)</f>
        <v>0</v>
      </c>
      <c r="G16" s="264" t="str">
        <f aca="false">IF(AND(D16=0,F16&gt;0),"NOME",
 IF(AND(D16&lt;&gt;0,$F$14&gt;0,F16=0),"VALOR",
 IF(AND(Import.TipoArredondamento="TransfereGOV",$A16="F",LEN(D16)&gt;100),"Nome &gt;100","")))</f>
        <v/>
      </c>
      <c r="H16" s="262" t="n">
        <f aca="true" t="array" ref="H16:H16">IF(AUTOEVENTO="Manual",ROUND(SUMPRODUCT((CÁLCULO!$M$15:$M$21=EVENTOS!$C16)*(OFFSET(CÁLCULO!$AA$15:$AA$21,0,H$13))),2),0)</f>
        <v>0</v>
      </c>
      <c r="I16" s="262" t="n">
        <f aca="true" t="array" ref="I16:I16">IF(AUTOEVENTO="Manual",ROUND(SUMPRODUCT((CÁLCULO!$M$15:$M$21=EVENTOS!$C16)*(OFFSET(CÁLCULO!$AA$15:$AA$21,0,I$13))),2),0)</f>
        <v>0</v>
      </c>
      <c r="J16" s="262" t="n">
        <f aca="true" t="array" ref="J16:J16">IF(AUTOEVENTO="Manual",ROUND(SUMPRODUCT((CÁLCULO!$M$15:$M$21=EVENTOS!$C16)*(OFFSET(CÁLCULO!$AA$15:$AA$21,0,J$13))),2),0)</f>
        <v>0</v>
      </c>
      <c r="K16" s="262" t="n">
        <f aca="true" t="array" ref="K16:K16">IF(AUTOEVENTO="Manual",ROUND(SUMPRODUCT((CÁLCULO!$M$15:$M$21=EVENTOS!$C16)*(OFFSET(CÁLCULO!$AA$15:$AA$21,0,K$13))),2),0)</f>
        <v>0</v>
      </c>
      <c r="L16" s="262" t="n">
        <f aca="true" t="array" ref="L16:L16">IF(AUTOEVENTO="Manual",ROUND(SUMPRODUCT((CÁLCULO!$M$15:$M$21=EVENTOS!$C16)*(OFFSET(CÁLCULO!$AA$15:$AA$21,0,L$13))),2),0)</f>
        <v>0</v>
      </c>
      <c r="M16" s="262" t="n">
        <f aca="true" t="array" ref="M16:M16">IF(AUTOEVENTO="Manual",ROUND(SUMPRODUCT((CÁLCULO!$M$15:$M$21=EVENTOS!$C16)*(OFFSET(CÁLCULO!$AA$15:$AA$21,0,M$13))),2),0)</f>
        <v>0</v>
      </c>
      <c r="N16" s="262" t="n">
        <f aca="true" t="array" ref="N16:N16">IF(AUTOEVENTO="Manual",ROUND(SUMPRODUCT((CÁLCULO!$M$15:$M$21=EVENTOS!$C16)*(OFFSET(CÁLCULO!$AA$15:$AA$21,0,N$13))),2),0)</f>
        <v>0</v>
      </c>
      <c r="O16" s="262" t="n">
        <f aca="true" t="array" ref="O16:O16">IF(AUTOEVENTO="Manual",ROUND(SUMPRODUCT((CÁLCULO!$M$15:$M$21=EVENTOS!$C16)*(OFFSET(CÁLCULO!$AA$15:$AA$21,0,O$13))),2),0)</f>
        <v>0</v>
      </c>
      <c r="P16" s="262" t="n">
        <f aca="true" t="array" ref="P16:P16">IF(AUTOEVENTO="Manual",ROUND(SUMPRODUCT((CÁLCULO!$M$15:$M$21=EVENTOS!$C16)*(OFFSET(CÁLCULO!$AA$15:$AA$21,0,P$13))),2),0)</f>
        <v>0</v>
      </c>
      <c r="Q16" s="262" t="n">
        <f aca="true" t="array" ref="Q16:Q16">IF(AUTOEVENTO="Manual",ROUND(SUMPRODUCT((CÁLCULO!$M$15:$M$21=EVENTOS!$C16)*(OFFSET(CÁLCULO!$AA$15:$AA$21,0,Q$13))),2),0)</f>
        <v>0</v>
      </c>
      <c r="R16" s="262" t="n">
        <f aca="true" t="array" ref="R16:R16">IF(AUTOEVENTO="Manual",ROUND(SUMPRODUCT((CÁLCULO!$M$15:$M$21=EVENTOS!$C16)*(OFFSET(CÁLCULO!$AA$15:$AA$21,0,R$13))),2),0)</f>
        <v>0</v>
      </c>
      <c r="S16" s="262" t="n">
        <f aca="true" t="array" ref="S16:S16">IF(AUTOEVENTO="Manual",ROUND(SUMPRODUCT((CÁLCULO!$M$15:$M$21=EVENTOS!$C16)*(OFFSET(CÁLCULO!$AA$15:$AA$21,0,S$13))),2),0)</f>
        <v>0</v>
      </c>
      <c r="T16" s="262" t="n">
        <f aca="true" t="array" ref="T16:T16">IF(AUTOEVENTO="Manual",ROUND(SUMPRODUCT((CÁLCULO!$M$15:$M$21=EVENTOS!$C16)*(OFFSET(CÁLCULO!$AA$15:$AA$21,0,T$13))),2),0)</f>
        <v>0</v>
      </c>
      <c r="U16" s="262" t="n">
        <f aca="true" t="array" ref="U16:U16">IF(AUTOEVENTO="Manual",ROUND(SUMPRODUCT((CÁLCULO!$M$15:$M$21=EVENTOS!$C16)*(OFFSET(CÁLCULO!$AA$15:$AA$21,0,U$13))),2),0)</f>
        <v>0</v>
      </c>
      <c r="V16" s="262" t="n">
        <f aca="true" t="array" ref="V16:V16">IF(AUTOEVENTO="Manual",ROUND(SUMPRODUCT((CÁLCULO!$M$15:$M$21=EVENTOS!$C16)*(OFFSET(CÁLCULO!$AA$15:$AA$21,0,V$13))),2),0)</f>
        <v>0</v>
      </c>
      <c r="W16" s="262" t="n">
        <f aca="true" t="array" ref="W16:W16">IF(AUTOEVENTO="Manual",ROUND(SUMPRODUCT((CÁLCULO!$M$15:$M$21=EVENTOS!$C16)*(OFFSET(CÁLCULO!$AA$15:$AA$21,0,W$13))),2),0)</f>
        <v>0</v>
      </c>
      <c r="X16" s="262" t="n">
        <f aca="true" t="array" ref="X16:X16">IF(AUTOEVENTO="Manual",ROUND(SUMPRODUCT((CÁLCULO!$M$15:$M$21=EVENTOS!$C16)*(OFFSET(CÁLCULO!$AA$15:$AA$21,0,X$13))),2),0)</f>
        <v>0</v>
      </c>
      <c r="Y16" s="262" t="n">
        <f aca="true" t="array" ref="Y16:Y16">IF(AUTOEVENTO="Manual",ROUND(SUMPRODUCT((CÁLCULO!$M$15:$M$21=EVENTOS!$C16)*(OFFSET(CÁLCULO!$AA$15:$AA$21,0,Y$13))),2),0)</f>
        <v>0</v>
      </c>
    </row>
    <row r="17" customFormat="false" ht="12.75" hidden="false" customHeight="false" outlineLevel="0" collapsed="false">
      <c r="A17" s="177" t="str">
        <f aca="false">IF(D17="","","F")</f>
        <v/>
      </c>
      <c r="B17" s="0" t="str">
        <f aca="false">IF(OR(C17=" ",D17=""),"",CONCATENATE(C17,". ",D17))</f>
        <v/>
      </c>
      <c r="C17" s="260" t="str">
        <f aca="true" t="array" ref="C17:C17">IF(OR(ROW(C17)=ROW(EVENTOS.firstrow)+1,AND(OFFSET(C17,-1,0)&lt;&gt;" ",OFFSET(C17,-1,1)&lt;&gt;"")),OFFSET(C17,-1,0)+1," ")</f>
        <v> </v>
      </c>
      <c r="D17" s="261"/>
      <c r="E17" s="262" t="n">
        <f aca="true" t="array" ref="E17:E17">IF(AUTOEVENTO="Manual",ROUND(SUMPRODUCT((CÁLCULO!$M$15:$M$21=EVENTOS!$C17)*(OFFSET(CÁLCULO!$AA$15:$AA$21,0,E$13))),2),0)</f>
        <v>0</v>
      </c>
      <c r="F17" s="263" t="n">
        <f aca="true">IF(AUTOEVENTO="Manual",ROUND(SUMPRODUCT((CÁLCULO!$M$15:$M$21=EVENTOS!$C17)*(OFFSET(CÁLCULO!$AA$15,0,1):OFFSET(CÁLCULO!$AL$21,0,-1))),2),0)</f>
        <v>0</v>
      </c>
      <c r="G17" s="264" t="str">
        <f aca="false">IF(AND(D17=0,F17&gt;0),"NOME",
 IF(AND(D17&lt;&gt;0,$F$14&gt;0,F17=0),"VALOR",
 IF(AND(Import.TipoArredondamento="TransfereGOV",$A17="F",LEN(D17)&gt;100),"Nome &gt;100","")))</f>
        <v/>
      </c>
      <c r="H17" s="262" t="n">
        <f aca="true" t="array" ref="H17:H17">IF(AUTOEVENTO="Manual",ROUND(SUMPRODUCT((CÁLCULO!$M$15:$M$21=EVENTOS!$C17)*(OFFSET(CÁLCULO!$AA$15:$AA$21,0,H$13))),2),0)</f>
        <v>0</v>
      </c>
      <c r="I17" s="262" t="n">
        <f aca="true" t="array" ref="I17:I17">IF(AUTOEVENTO="Manual",ROUND(SUMPRODUCT((CÁLCULO!$M$15:$M$21=EVENTOS!$C17)*(OFFSET(CÁLCULO!$AA$15:$AA$21,0,I$13))),2),0)</f>
        <v>0</v>
      </c>
      <c r="J17" s="262" t="n">
        <f aca="true" t="array" ref="J17:J17">IF(AUTOEVENTO="Manual",ROUND(SUMPRODUCT((CÁLCULO!$M$15:$M$21=EVENTOS!$C17)*(OFFSET(CÁLCULO!$AA$15:$AA$21,0,J$13))),2),0)</f>
        <v>0</v>
      </c>
      <c r="K17" s="262" t="n">
        <f aca="true" t="array" ref="K17:K17">IF(AUTOEVENTO="Manual",ROUND(SUMPRODUCT((CÁLCULO!$M$15:$M$21=EVENTOS!$C17)*(OFFSET(CÁLCULO!$AA$15:$AA$21,0,K$13))),2),0)</f>
        <v>0</v>
      </c>
      <c r="L17" s="262" t="n">
        <f aca="true" t="array" ref="L17:L17">IF(AUTOEVENTO="Manual",ROUND(SUMPRODUCT((CÁLCULO!$M$15:$M$21=EVENTOS!$C17)*(OFFSET(CÁLCULO!$AA$15:$AA$21,0,L$13))),2),0)</f>
        <v>0</v>
      </c>
      <c r="M17" s="262" t="n">
        <f aca="true" t="array" ref="M17:M17">IF(AUTOEVENTO="Manual",ROUND(SUMPRODUCT((CÁLCULO!$M$15:$M$21=EVENTOS!$C17)*(OFFSET(CÁLCULO!$AA$15:$AA$21,0,M$13))),2),0)</f>
        <v>0</v>
      </c>
      <c r="N17" s="262" t="n">
        <f aca="true" t="array" ref="N17:N17">IF(AUTOEVENTO="Manual",ROUND(SUMPRODUCT((CÁLCULO!$M$15:$M$21=EVENTOS!$C17)*(OFFSET(CÁLCULO!$AA$15:$AA$21,0,N$13))),2),0)</f>
        <v>0</v>
      </c>
      <c r="O17" s="262" t="n">
        <f aca="true" t="array" ref="O17:O17">IF(AUTOEVENTO="Manual",ROUND(SUMPRODUCT((CÁLCULO!$M$15:$M$21=EVENTOS!$C17)*(OFFSET(CÁLCULO!$AA$15:$AA$21,0,O$13))),2),0)</f>
        <v>0</v>
      </c>
      <c r="P17" s="262" t="n">
        <f aca="true" t="array" ref="P17:P17">IF(AUTOEVENTO="Manual",ROUND(SUMPRODUCT((CÁLCULO!$M$15:$M$21=EVENTOS!$C17)*(OFFSET(CÁLCULO!$AA$15:$AA$21,0,P$13))),2),0)</f>
        <v>0</v>
      </c>
      <c r="Q17" s="262" t="n">
        <f aca="true" t="array" ref="Q17:Q17">IF(AUTOEVENTO="Manual",ROUND(SUMPRODUCT((CÁLCULO!$M$15:$M$21=EVENTOS!$C17)*(OFFSET(CÁLCULO!$AA$15:$AA$21,0,Q$13))),2),0)</f>
        <v>0</v>
      </c>
      <c r="R17" s="262" t="n">
        <f aca="true" t="array" ref="R17:R17">IF(AUTOEVENTO="Manual",ROUND(SUMPRODUCT((CÁLCULO!$M$15:$M$21=EVENTOS!$C17)*(OFFSET(CÁLCULO!$AA$15:$AA$21,0,R$13))),2),0)</f>
        <v>0</v>
      </c>
      <c r="S17" s="262" t="n">
        <f aca="true" t="array" ref="S17:S17">IF(AUTOEVENTO="Manual",ROUND(SUMPRODUCT((CÁLCULO!$M$15:$M$21=EVENTOS!$C17)*(OFFSET(CÁLCULO!$AA$15:$AA$21,0,S$13))),2),0)</f>
        <v>0</v>
      </c>
      <c r="T17" s="262" t="n">
        <f aca="true" t="array" ref="T17:T17">IF(AUTOEVENTO="Manual",ROUND(SUMPRODUCT((CÁLCULO!$M$15:$M$21=EVENTOS!$C17)*(OFFSET(CÁLCULO!$AA$15:$AA$21,0,T$13))),2),0)</f>
        <v>0</v>
      </c>
      <c r="U17" s="262" t="n">
        <f aca="true" t="array" ref="U17:U17">IF(AUTOEVENTO="Manual",ROUND(SUMPRODUCT((CÁLCULO!$M$15:$M$21=EVENTOS!$C17)*(OFFSET(CÁLCULO!$AA$15:$AA$21,0,U$13))),2),0)</f>
        <v>0</v>
      </c>
      <c r="V17" s="262" t="n">
        <f aca="true" t="array" ref="V17:V17">IF(AUTOEVENTO="Manual",ROUND(SUMPRODUCT((CÁLCULO!$M$15:$M$21=EVENTOS!$C17)*(OFFSET(CÁLCULO!$AA$15:$AA$21,0,V$13))),2),0)</f>
        <v>0</v>
      </c>
      <c r="W17" s="262" t="n">
        <f aca="true" t="array" ref="W17:W17">IF(AUTOEVENTO="Manual",ROUND(SUMPRODUCT((CÁLCULO!$M$15:$M$21=EVENTOS!$C17)*(OFFSET(CÁLCULO!$AA$15:$AA$21,0,W$13))),2),0)</f>
        <v>0</v>
      </c>
      <c r="X17" s="262" t="n">
        <f aca="true" t="array" ref="X17:X17">IF(AUTOEVENTO="Manual",ROUND(SUMPRODUCT((CÁLCULO!$M$15:$M$21=EVENTOS!$C17)*(OFFSET(CÁLCULO!$AA$15:$AA$21,0,X$13))),2),0)</f>
        <v>0</v>
      </c>
      <c r="Y17" s="262" t="n">
        <f aca="true" t="array" ref="Y17:Y17">IF(AUTOEVENTO="Manual",ROUND(SUMPRODUCT((CÁLCULO!$M$15:$M$21=EVENTOS!$C17)*(OFFSET(CÁLCULO!$AA$15:$AA$21,0,Y$13))),2),0)</f>
        <v>0</v>
      </c>
    </row>
    <row r="18" customFormat="false" ht="12.75" hidden="false" customHeight="false" outlineLevel="0" collapsed="false">
      <c r="A18" s="177" t="str">
        <f aca="false">IF(D18="","","F")</f>
        <v/>
      </c>
      <c r="B18" s="0" t="str">
        <f aca="false">IF(OR(C18=" ",D18=""),"",CONCATENATE(C18,". ",D18))</f>
        <v/>
      </c>
      <c r="C18" s="260" t="str">
        <f aca="true" t="array" ref="C18:C18">IF(OR(ROW(C18)=ROW(EVENTOS.firstrow)+1,AND(OFFSET(C18,-1,0)&lt;&gt;" ",OFFSET(C18,-1,1)&lt;&gt;"")),OFFSET(C18,-1,0)+1," ")</f>
        <v> </v>
      </c>
      <c r="D18" s="261"/>
      <c r="E18" s="262" t="n">
        <f aca="true" t="array" ref="E18:E18">IF(AUTOEVENTO="Manual",ROUND(SUMPRODUCT((CÁLCULO!$M$15:$M$21=EVENTOS!$C18)*(OFFSET(CÁLCULO!$AA$15:$AA$21,0,E$13))),2),0)</f>
        <v>0</v>
      </c>
      <c r="F18" s="263" t="n">
        <f aca="true">IF(AUTOEVENTO="Manual",ROUND(SUMPRODUCT((CÁLCULO!$M$15:$M$21=EVENTOS!$C18)*(OFFSET(CÁLCULO!$AA$15,0,1):OFFSET(CÁLCULO!$AL$21,0,-1))),2),0)</f>
        <v>0</v>
      </c>
      <c r="G18" s="264" t="str">
        <f aca="false">IF(AND(D18=0,F18&gt;0),"NOME",
 IF(AND(D18&lt;&gt;0,$F$14&gt;0,F18=0),"VALOR",
 IF(AND(Import.TipoArredondamento="TransfereGOV",$A18="F",LEN(D18)&gt;100),"Nome &gt;100","")))</f>
        <v/>
      </c>
      <c r="H18" s="262" t="n">
        <f aca="true" t="array" ref="H18:H18">IF(AUTOEVENTO="Manual",ROUND(SUMPRODUCT((CÁLCULO!$M$15:$M$21=EVENTOS!$C18)*(OFFSET(CÁLCULO!$AA$15:$AA$21,0,H$13))),2),0)</f>
        <v>0</v>
      </c>
      <c r="I18" s="262" t="n">
        <f aca="true" t="array" ref="I18:I18">IF(AUTOEVENTO="Manual",ROUND(SUMPRODUCT((CÁLCULO!$M$15:$M$21=EVENTOS!$C18)*(OFFSET(CÁLCULO!$AA$15:$AA$21,0,I$13))),2),0)</f>
        <v>0</v>
      </c>
      <c r="J18" s="262" t="n">
        <f aca="true" t="array" ref="J18:J18">IF(AUTOEVENTO="Manual",ROUND(SUMPRODUCT((CÁLCULO!$M$15:$M$21=EVENTOS!$C18)*(OFFSET(CÁLCULO!$AA$15:$AA$21,0,J$13))),2),0)</f>
        <v>0</v>
      </c>
      <c r="K18" s="262" t="n">
        <f aca="true" t="array" ref="K18:K18">IF(AUTOEVENTO="Manual",ROUND(SUMPRODUCT((CÁLCULO!$M$15:$M$21=EVENTOS!$C18)*(OFFSET(CÁLCULO!$AA$15:$AA$21,0,K$13))),2),0)</f>
        <v>0</v>
      </c>
      <c r="L18" s="262" t="n">
        <f aca="true" t="array" ref="L18:L18">IF(AUTOEVENTO="Manual",ROUND(SUMPRODUCT((CÁLCULO!$M$15:$M$21=EVENTOS!$C18)*(OFFSET(CÁLCULO!$AA$15:$AA$21,0,L$13))),2),0)</f>
        <v>0</v>
      </c>
      <c r="M18" s="262" t="n">
        <f aca="true" t="array" ref="M18:M18">IF(AUTOEVENTO="Manual",ROUND(SUMPRODUCT((CÁLCULO!$M$15:$M$21=EVENTOS!$C18)*(OFFSET(CÁLCULO!$AA$15:$AA$21,0,M$13))),2),0)</f>
        <v>0</v>
      </c>
      <c r="N18" s="262" t="n">
        <f aca="true" t="array" ref="N18:N18">IF(AUTOEVENTO="Manual",ROUND(SUMPRODUCT((CÁLCULO!$M$15:$M$21=EVENTOS!$C18)*(OFFSET(CÁLCULO!$AA$15:$AA$21,0,N$13))),2),0)</f>
        <v>0</v>
      </c>
      <c r="O18" s="262" t="n">
        <f aca="true" t="array" ref="O18:O18">IF(AUTOEVENTO="Manual",ROUND(SUMPRODUCT((CÁLCULO!$M$15:$M$21=EVENTOS!$C18)*(OFFSET(CÁLCULO!$AA$15:$AA$21,0,O$13))),2),0)</f>
        <v>0</v>
      </c>
      <c r="P18" s="262" t="n">
        <f aca="true" t="array" ref="P18:P18">IF(AUTOEVENTO="Manual",ROUND(SUMPRODUCT((CÁLCULO!$M$15:$M$21=EVENTOS!$C18)*(OFFSET(CÁLCULO!$AA$15:$AA$21,0,P$13))),2),0)</f>
        <v>0</v>
      </c>
      <c r="Q18" s="262" t="n">
        <f aca="true" t="array" ref="Q18:Q18">IF(AUTOEVENTO="Manual",ROUND(SUMPRODUCT((CÁLCULO!$M$15:$M$21=EVENTOS!$C18)*(OFFSET(CÁLCULO!$AA$15:$AA$21,0,Q$13))),2),0)</f>
        <v>0</v>
      </c>
      <c r="R18" s="262" t="n">
        <f aca="true" t="array" ref="R18:R18">IF(AUTOEVENTO="Manual",ROUND(SUMPRODUCT((CÁLCULO!$M$15:$M$21=EVENTOS!$C18)*(OFFSET(CÁLCULO!$AA$15:$AA$21,0,R$13))),2),0)</f>
        <v>0</v>
      </c>
      <c r="S18" s="262" t="n">
        <f aca="true" t="array" ref="S18:S18">IF(AUTOEVENTO="Manual",ROUND(SUMPRODUCT((CÁLCULO!$M$15:$M$21=EVENTOS!$C18)*(OFFSET(CÁLCULO!$AA$15:$AA$21,0,S$13))),2),0)</f>
        <v>0</v>
      </c>
      <c r="T18" s="262" t="n">
        <f aca="true" t="array" ref="T18:T18">IF(AUTOEVENTO="Manual",ROUND(SUMPRODUCT((CÁLCULO!$M$15:$M$21=EVENTOS!$C18)*(OFFSET(CÁLCULO!$AA$15:$AA$21,0,T$13))),2),0)</f>
        <v>0</v>
      </c>
      <c r="U18" s="262" t="n">
        <f aca="true" t="array" ref="U18:U18">IF(AUTOEVENTO="Manual",ROUND(SUMPRODUCT((CÁLCULO!$M$15:$M$21=EVENTOS!$C18)*(OFFSET(CÁLCULO!$AA$15:$AA$21,0,U$13))),2),0)</f>
        <v>0</v>
      </c>
      <c r="V18" s="262" t="n">
        <f aca="true" t="array" ref="V18:V18">IF(AUTOEVENTO="Manual",ROUND(SUMPRODUCT((CÁLCULO!$M$15:$M$21=EVENTOS!$C18)*(OFFSET(CÁLCULO!$AA$15:$AA$21,0,V$13))),2),0)</f>
        <v>0</v>
      </c>
      <c r="W18" s="262" t="n">
        <f aca="true" t="array" ref="W18:W18">IF(AUTOEVENTO="Manual",ROUND(SUMPRODUCT((CÁLCULO!$M$15:$M$21=EVENTOS!$C18)*(OFFSET(CÁLCULO!$AA$15:$AA$21,0,W$13))),2),0)</f>
        <v>0</v>
      </c>
      <c r="X18" s="262" t="n">
        <f aca="true" t="array" ref="X18:X18">IF(AUTOEVENTO="Manual",ROUND(SUMPRODUCT((CÁLCULO!$M$15:$M$21=EVENTOS!$C18)*(OFFSET(CÁLCULO!$AA$15:$AA$21,0,X$13))),2),0)</f>
        <v>0</v>
      </c>
      <c r="Y18" s="262" t="n">
        <f aca="true" t="array" ref="Y18:Y18">IF(AUTOEVENTO="Manual",ROUND(SUMPRODUCT((CÁLCULO!$M$15:$M$21=EVENTOS!$C18)*(OFFSET(CÁLCULO!$AA$15:$AA$21,0,Y$13))),2),0)</f>
        <v>0</v>
      </c>
    </row>
    <row r="19" customFormat="false" ht="12.75" hidden="false" customHeight="false" outlineLevel="0" collapsed="false">
      <c r="A19" s="177" t="str">
        <f aca="false">IF(D19="","","F")</f>
        <v/>
      </c>
      <c r="B19" s="0" t="str">
        <f aca="false">IF(OR(C19=" ",D19=""),"",CONCATENATE(C19,". ",D19))</f>
        <v/>
      </c>
      <c r="C19" s="260" t="str">
        <f aca="true" t="array" ref="C19:C19">IF(OR(ROW(C19)=ROW(EVENTOS.firstrow)+1,AND(OFFSET(C19,-1,0)&lt;&gt;" ",OFFSET(C19,-1,1)&lt;&gt;"")),OFFSET(C19,-1,0)+1," ")</f>
        <v> </v>
      </c>
      <c r="D19" s="261"/>
      <c r="E19" s="262" t="n">
        <f aca="true" t="array" ref="E19:E19">IF(AUTOEVENTO="Manual",ROUND(SUMPRODUCT((CÁLCULO!$M$15:$M$21=EVENTOS!$C19)*(OFFSET(CÁLCULO!$AA$15:$AA$21,0,E$13))),2),0)</f>
        <v>0</v>
      </c>
      <c r="F19" s="263" t="n">
        <f aca="true">IF(AUTOEVENTO="Manual",ROUND(SUMPRODUCT((CÁLCULO!$M$15:$M$21=EVENTOS!$C19)*(OFFSET(CÁLCULO!$AA$15,0,1):OFFSET(CÁLCULO!$AL$21,0,-1))),2),0)</f>
        <v>0</v>
      </c>
      <c r="G19" s="264" t="str">
        <f aca="false">IF(AND(D19=0,F19&gt;0),"NOME",
 IF(AND(D19&lt;&gt;0,$F$14&gt;0,F19=0),"VALOR",
 IF(AND(Import.TipoArredondamento="TransfereGOV",$A19="F",LEN(D19)&gt;100),"Nome &gt;100","")))</f>
        <v/>
      </c>
      <c r="H19" s="262" t="n">
        <f aca="true" t="array" ref="H19:H19">IF(AUTOEVENTO="Manual",ROUND(SUMPRODUCT((CÁLCULO!$M$15:$M$21=EVENTOS!$C19)*(OFFSET(CÁLCULO!$AA$15:$AA$21,0,H$13))),2),0)</f>
        <v>0</v>
      </c>
      <c r="I19" s="262" t="n">
        <f aca="true" t="array" ref="I19:I19">IF(AUTOEVENTO="Manual",ROUND(SUMPRODUCT((CÁLCULO!$M$15:$M$21=EVENTOS!$C19)*(OFFSET(CÁLCULO!$AA$15:$AA$21,0,I$13))),2),0)</f>
        <v>0</v>
      </c>
      <c r="J19" s="262" t="n">
        <f aca="true" t="array" ref="J19:J19">IF(AUTOEVENTO="Manual",ROUND(SUMPRODUCT((CÁLCULO!$M$15:$M$21=EVENTOS!$C19)*(OFFSET(CÁLCULO!$AA$15:$AA$21,0,J$13))),2),0)</f>
        <v>0</v>
      </c>
      <c r="K19" s="262" t="n">
        <f aca="true" t="array" ref="K19:K19">IF(AUTOEVENTO="Manual",ROUND(SUMPRODUCT((CÁLCULO!$M$15:$M$21=EVENTOS!$C19)*(OFFSET(CÁLCULO!$AA$15:$AA$21,0,K$13))),2),0)</f>
        <v>0</v>
      </c>
      <c r="L19" s="262" t="n">
        <f aca="true" t="array" ref="L19:L19">IF(AUTOEVENTO="Manual",ROUND(SUMPRODUCT((CÁLCULO!$M$15:$M$21=EVENTOS!$C19)*(OFFSET(CÁLCULO!$AA$15:$AA$21,0,L$13))),2),0)</f>
        <v>0</v>
      </c>
      <c r="M19" s="262" t="n">
        <f aca="true" t="array" ref="M19:M19">IF(AUTOEVENTO="Manual",ROUND(SUMPRODUCT((CÁLCULO!$M$15:$M$21=EVENTOS!$C19)*(OFFSET(CÁLCULO!$AA$15:$AA$21,0,M$13))),2),0)</f>
        <v>0</v>
      </c>
      <c r="N19" s="262" t="n">
        <f aca="true" t="array" ref="N19:N19">IF(AUTOEVENTO="Manual",ROUND(SUMPRODUCT((CÁLCULO!$M$15:$M$21=EVENTOS!$C19)*(OFFSET(CÁLCULO!$AA$15:$AA$21,0,N$13))),2),0)</f>
        <v>0</v>
      </c>
      <c r="O19" s="262" t="n">
        <f aca="true" t="array" ref="O19:O19">IF(AUTOEVENTO="Manual",ROUND(SUMPRODUCT((CÁLCULO!$M$15:$M$21=EVENTOS!$C19)*(OFFSET(CÁLCULO!$AA$15:$AA$21,0,O$13))),2),0)</f>
        <v>0</v>
      </c>
      <c r="P19" s="262" t="n">
        <f aca="true" t="array" ref="P19:P19">IF(AUTOEVENTO="Manual",ROUND(SUMPRODUCT((CÁLCULO!$M$15:$M$21=EVENTOS!$C19)*(OFFSET(CÁLCULO!$AA$15:$AA$21,0,P$13))),2),0)</f>
        <v>0</v>
      </c>
      <c r="Q19" s="262" t="n">
        <f aca="true" t="array" ref="Q19:Q19">IF(AUTOEVENTO="Manual",ROUND(SUMPRODUCT((CÁLCULO!$M$15:$M$21=EVENTOS!$C19)*(OFFSET(CÁLCULO!$AA$15:$AA$21,0,Q$13))),2),0)</f>
        <v>0</v>
      </c>
      <c r="R19" s="262" t="n">
        <f aca="true" t="array" ref="R19:R19">IF(AUTOEVENTO="Manual",ROUND(SUMPRODUCT((CÁLCULO!$M$15:$M$21=EVENTOS!$C19)*(OFFSET(CÁLCULO!$AA$15:$AA$21,0,R$13))),2),0)</f>
        <v>0</v>
      </c>
      <c r="S19" s="262" t="n">
        <f aca="true" t="array" ref="S19:S19">IF(AUTOEVENTO="Manual",ROUND(SUMPRODUCT((CÁLCULO!$M$15:$M$21=EVENTOS!$C19)*(OFFSET(CÁLCULO!$AA$15:$AA$21,0,S$13))),2),0)</f>
        <v>0</v>
      </c>
      <c r="T19" s="262" t="n">
        <f aca="true" t="array" ref="T19:T19">IF(AUTOEVENTO="Manual",ROUND(SUMPRODUCT((CÁLCULO!$M$15:$M$21=EVENTOS!$C19)*(OFFSET(CÁLCULO!$AA$15:$AA$21,0,T$13))),2),0)</f>
        <v>0</v>
      </c>
      <c r="U19" s="262" t="n">
        <f aca="true" t="array" ref="U19:U19">IF(AUTOEVENTO="Manual",ROUND(SUMPRODUCT((CÁLCULO!$M$15:$M$21=EVENTOS!$C19)*(OFFSET(CÁLCULO!$AA$15:$AA$21,0,U$13))),2),0)</f>
        <v>0</v>
      </c>
      <c r="V19" s="262" t="n">
        <f aca="true" t="array" ref="V19:V19">IF(AUTOEVENTO="Manual",ROUND(SUMPRODUCT((CÁLCULO!$M$15:$M$21=EVENTOS!$C19)*(OFFSET(CÁLCULO!$AA$15:$AA$21,0,V$13))),2),0)</f>
        <v>0</v>
      </c>
      <c r="W19" s="262" t="n">
        <f aca="true" t="array" ref="W19:W19">IF(AUTOEVENTO="Manual",ROUND(SUMPRODUCT((CÁLCULO!$M$15:$M$21=EVENTOS!$C19)*(OFFSET(CÁLCULO!$AA$15:$AA$21,0,W$13))),2),0)</f>
        <v>0</v>
      </c>
      <c r="X19" s="262" t="n">
        <f aca="true" t="array" ref="X19:X19">IF(AUTOEVENTO="Manual",ROUND(SUMPRODUCT((CÁLCULO!$M$15:$M$21=EVENTOS!$C19)*(OFFSET(CÁLCULO!$AA$15:$AA$21,0,X$13))),2),0)</f>
        <v>0</v>
      </c>
      <c r="Y19" s="262" t="n">
        <f aca="true" t="array" ref="Y19:Y19">IF(AUTOEVENTO="Manual",ROUND(SUMPRODUCT((CÁLCULO!$M$15:$M$21=EVENTOS!$C19)*(OFFSET(CÁLCULO!$AA$15:$AA$21,0,Y$13))),2),0)</f>
        <v>0</v>
      </c>
    </row>
    <row r="20" customFormat="false" ht="12.75" hidden="false" customHeight="false" outlineLevel="0" collapsed="false">
      <c r="A20" s="177" t="str">
        <f aca="false">IF(D20="","","F")</f>
        <v/>
      </c>
      <c r="B20" s="0" t="str">
        <f aca="false">IF(OR(C20=" ",D20=""),"",CONCATENATE(C20,". ",D20))</f>
        <v/>
      </c>
      <c r="C20" s="260" t="str">
        <f aca="true" t="array" ref="C20:C20">IF(OR(ROW(C20)=ROW(EVENTOS.firstrow)+1,AND(OFFSET(C20,-1,0)&lt;&gt;" ",OFFSET(C20,-1,1)&lt;&gt;"")),OFFSET(C20,-1,0)+1," ")</f>
        <v> </v>
      </c>
      <c r="D20" s="261"/>
      <c r="E20" s="262" t="n">
        <f aca="true" t="array" ref="E20:E20">IF(AUTOEVENTO="Manual",ROUND(SUMPRODUCT((CÁLCULO!$M$15:$M$21=EVENTOS!$C20)*(OFFSET(CÁLCULO!$AA$15:$AA$21,0,E$13))),2),0)</f>
        <v>0</v>
      </c>
      <c r="F20" s="263" t="n">
        <f aca="true">IF(AUTOEVENTO="Manual",ROUND(SUMPRODUCT((CÁLCULO!$M$15:$M$21=EVENTOS!$C20)*(OFFSET(CÁLCULO!$AA$15,0,1):OFFSET(CÁLCULO!$AL$21,0,-1))),2),0)</f>
        <v>0</v>
      </c>
      <c r="G20" s="264" t="str">
        <f aca="false">IF(AND(D20=0,F20&gt;0),"NOME",
 IF(AND(D20&lt;&gt;0,$F$14&gt;0,F20=0),"VALOR",
 IF(AND(Import.TipoArredondamento="TransfereGOV",$A20="F",LEN(D20)&gt;100),"Nome &gt;100","")))</f>
        <v/>
      </c>
      <c r="H20" s="262" t="n">
        <f aca="true" t="array" ref="H20:H20">IF(AUTOEVENTO="Manual",ROUND(SUMPRODUCT((CÁLCULO!$M$15:$M$21=EVENTOS!$C20)*(OFFSET(CÁLCULO!$AA$15:$AA$21,0,H$13))),2),0)</f>
        <v>0</v>
      </c>
      <c r="I20" s="262" t="n">
        <f aca="true" t="array" ref="I20:I20">IF(AUTOEVENTO="Manual",ROUND(SUMPRODUCT((CÁLCULO!$M$15:$M$21=EVENTOS!$C20)*(OFFSET(CÁLCULO!$AA$15:$AA$21,0,I$13))),2),0)</f>
        <v>0</v>
      </c>
      <c r="J20" s="262" t="n">
        <f aca="true" t="array" ref="J20:J20">IF(AUTOEVENTO="Manual",ROUND(SUMPRODUCT((CÁLCULO!$M$15:$M$21=EVENTOS!$C20)*(OFFSET(CÁLCULO!$AA$15:$AA$21,0,J$13))),2),0)</f>
        <v>0</v>
      </c>
      <c r="K20" s="262" t="n">
        <f aca="true" t="array" ref="K20:K20">IF(AUTOEVENTO="Manual",ROUND(SUMPRODUCT((CÁLCULO!$M$15:$M$21=EVENTOS!$C20)*(OFFSET(CÁLCULO!$AA$15:$AA$21,0,K$13))),2),0)</f>
        <v>0</v>
      </c>
      <c r="L20" s="262" t="n">
        <f aca="true" t="array" ref="L20:L20">IF(AUTOEVENTO="Manual",ROUND(SUMPRODUCT((CÁLCULO!$M$15:$M$21=EVENTOS!$C20)*(OFFSET(CÁLCULO!$AA$15:$AA$21,0,L$13))),2),0)</f>
        <v>0</v>
      </c>
      <c r="M20" s="262" t="n">
        <f aca="true" t="array" ref="M20:M20">IF(AUTOEVENTO="Manual",ROUND(SUMPRODUCT((CÁLCULO!$M$15:$M$21=EVENTOS!$C20)*(OFFSET(CÁLCULO!$AA$15:$AA$21,0,M$13))),2),0)</f>
        <v>0</v>
      </c>
      <c r="N20" s="262" t="n">
        <f aca="true" t="array" ref="N20:N20">IF(AUTOEVENTO="Manual",ROUND(SUMPRODUCT((CÁLCULO!$M$15:$M$21=EVENTOS!$C20)*(OFFSET(CÁLCULO!$AA$15:$AA$21,0,N$13))),2),0)</f>
        <v>0</v>
      </c>
      <c r="O20" s="262" t="n">
        <f aca="true" t="array" ref="O20:O20">IF(AUTOEVENTO="Manual",ROUND(SUMPRODUCT((CÁLCULO!$M$15:$M$21=EVENTOS!$C20)*(OFFSET(CÁLCULO!$AA$15:$AA$21,0,O$13))),2),0)</f>
        <v>0</v>
      </c>
      <c r="P20" s="262" t="n">
        <f aca="true" t="array" ref="P20:P20">IF(AUTOEVENTO="Manual",ROUND(SUMPRODUCT((CÁLCULO!$M$15:$M$21=EVENTOS!$C20)*(OFFSET(CÁLCULO!$AA$15:$AA$21,0,P$13))),2),0)</f>
        <v>0</v>
      </c>
      <c r="Q20" s="262" t="n">
        <f aca="true" t="array" ref="Q20:Q20">IF(AUTOEVENTO="Manual",ROUND(SUMPRODUCT((CÁLCULO!$M$15:$M$21=EVENTOS!$C20)*(OFFSET(CÁLCULO!$AA$15:$AA$21,0,Q$13))),2),0)</f>
        <v>0</v>
      </c>
      <c r="R20" s="262" t="n">
        <f aca="true" t="array" ref="R20:R20">IF(AUTOEVENTO="Manual",ROUND(SUMPRODUCT((CÁLCULO!$M$15:$M$21=EVENTOS!$C20)*(OFFSET(CÁLCULO!$AA$15:$AA$21,0,R$13))),2),0)</f>
        <v>0</v>
      </c>
      <c r="S20" s="262" t="n">
        <f aca="true" t="array" ref="S20:S20">IF(AUTOEVENTO="Manual",ROUND(SUMPRODUCT((CÁLCULO!$M$15:$M$21=EVENTOS!$C20)*(OFFSET(CÁLCULO!$AA$15:$AA$21,0,S$13))),2),0)</f>
        <v>0</v>
      </c>
      <c r="T20" s="262" t="n">
        <f aca="true" t="array" ref="T20:T20">IF(AUTOEVENTO="Manual",ROUND(SUMPRODUCT((CÁLCULO!$M$15:$M$21=EVENTOS!$C20)*(OFFSET(CÁLCULO!$AA$15:$AA$21,0,T$13))),2),0)</f>
        <v>0</v>
      </c>
      <c r="U20" s="262" t="n">
        <f aca="true" t="array" ref="U20:U20">IF(AUTOEVENTO="Manual",ROUND(SUMPRODUCT((CÁLCULO!$M$15:$M$21=EVENTOS!$C20)*(OFFSET(CÁLCULO!$AA$15:$AA$21,0,U$13))),2),0)</f>
        <v>0</v>
      </c>
      <c r="V20" s="262" t="n">
        <f aca="true" t="array" ref="V20:V20">IF(AUTOEVENTO="Manual",ROUND(SUMPRODUCT((CÁLCULO!$M$15:$M$21=EVENTOS!$C20)*(OFFSET(CÁLCULO!$AA$15:$AA$21,0,V$13))),2),0)</f>
        <v>0</v>
      </c>
      <c r="W20" s="262" t="n">
        <f aca="true" t="array" ref="W20:W20">IF(AUTOEVENTO="Manual",ROUND(SUMPRODUCT((CÁLCULO!$M$15:$M$21=EVENTOS!$C20)*(OFFSET(CÁLCULO!$AA$15:$AA$21,0,W$13))),2),0)</f>
        <v>0</v>
      </c>
      <c r="X20" s="262" t="n">
        <f aca="true" t="array" ref="X20:X20">IF(AUTOEVENTO="Manual",ROUND(SUMPRODUCT((CÁLCULO!$M$15:$M$21=EVENTOS!$C20)*(OFFSET(CÁLCULO!$AA$15:$AA$21,0,X$13))),2),0)</f>
        <v>0</v>
      </c>
      <c r="Y20" s="262" t="n">
        <f aca="true" t="array" ref="Y20:Y20">IF(AUTOEVENTO="Manual",ROUND(SUMPRODUCT((CÁLCULO!$M$15:$M$21=EVENTOS!$C20)*(OFFSET(CÁLCULO!$AA$15:$AA$21,0,Y$13))),2),0)</f>
        <v>0</v>
      </c>
    </row>
    <row r="21" customFormat="false" ht="12.75" hidden="false" customHeight="false" outlineLevel="0" collapsed="false">
      <c r="A21" s="177" t="str">
        <f aca="false">IF(D21="","","F")</f>
        <v/>
      </c>
      <c r="B21" s="0" t="str">
        <f aca="false">IF(OR(C21=" ",D21=""),"",CONCATENATE(C21,". ",D21))</f>
        <v/>
      </c>
      <c r="C21" s="260" t="str">
        <f aca="true" t="array" ref="C21:C21">IF(OR(ROW(C21)=ROW(EVENTOS.firstrow)+1,AND(OFFSET(C21,-1,0)&lt;&gt;" ",OFFSET(C21,-1,1)&lt;&gt;"")),OFFSET(C21,-1,0)+1," ")</f>
        <v> </v>
      </c>
      <c r="D21" s="261"/>
      <c r="E21" s="262" t="n">
        <f aca="true" t="array" ref="E21:E21">IF(AUTOEVENTO="Manual",ROUND(SUMPRODUCT((CÁLCULO!$M$15:$M$21=EVENTOS!$C21)*(OFFSET(CÁLCULO!$AA$15:$AA$21,0,E$13))),2),0)</f>
        <v>0</v>
      </c>
      <c r="F21" s="263" t="n">
        <f aca="true">IF(AUTOEVENTO="Manual",ROUND(SUMPRODUCT((CÁLCULO!$M$15:$M$21=EVENTOS!$C21)*(OFFSET(CÁLCULO!$AA$15,0,1):OFFSET(CÁLCULO!$AL$21,0,-1))),2),0)</f>
        <v>0</v>
      </c>
      <c r="G21" s="264" t="str">
        <f aca="false">IF(AND(D21=0,F21&gt;0),"NOME",
 IF(AND(D21&lt;&gt;0,$F$14&gt;0,F21=0),"VALOR",
 IF(AND(Import.TipoArredondamento="TransfereGOV",$A21="F",LEN(D21)&gt;100),"Nome &gt;100","")))</f>
        <v/>
      </c>
      <c r="H21" s="262" t="n">
        <f aca="true" t="array" ref="H21:H21">IF(AUTOEVENTO="Manual",ROUND(SUMPRODUCT((CÁLCULO!$M$15:$M$21=EVENTOS!$C21)*(OFFSET(CÁLCULO!$AA$15:$AA$21,0,H$13))),2),0)</f>
        <v>0</v>
      </c>
      <c r="I21" s="262" t="n">
        <f aca="true" t="array" ref="I21:I21">IF(AUTOEVENTO="Manual",ROUND(SUMPRODUCT((CÁLCULO!$M$15:$M$21=EVENTOS!$C21)*(OFFSET(CÁLCULO!$AA$15:$AA$21,0,I$13))),2),0)</f>
        <v>0</v>
      </c>
      <c r="J21" s="262" t="n">
        <f aca="true" t="array" ref="J21:J21">IF(AUTOEVENTO="Manual",ROUND(SUMPRODUCT((CÁLCULO!$M$15:$M$21=EVENTOS!$C21)*(OFFSET(CÁLCULO!$AA$15:$AA$21,0,J$13))),2),0)</f>
        <v>0</v>
      </c>
      <c r="K21" s="262" t="n">
        <f aca="true" t="array" ref="K21:K21">IF(AUTOEVENTO="Manual",ROUND(SUMPRODUCT((CÁLCULO!$M$15:$M$21=EVENTOS!$C21)*(OFFSET(CÁLCULO!$AA$15:$AA$21,0,K$13))),2),0)</f>
        <v>0</v>
      </c>
      <c r="L21" s="262" t="n">
        <f aca="true" t="array" ref="L21:L21">IF(AUTOEVENTO="Manual",ROUND(SUMPRODUCT((CÁLCULO!$M$15:$M$21=EVENTOS!$C21)*(OFFSET(CÁLCULO!$AA$15:$AA$21,0,L$13))),2),0)</f>
        <v>0</v>
      </c>
      <c r="M21" s="262" t="n">
        <f aca="true" t="array" ref="M21:M21">IF(AUTOEVENTO="Manual",ROUND(SUMPRODUCT((CÁLCULO!$M$15:$M$21=EVENTOS!$C21)*(OFFSET(CÁLCULO!$AA$15:$AA$21,0,M$13))),2),0)</f>
        <v>0</v>
      </c>
      <c r="N21" s="262" t="n">
        <f aca="true" t="array" ref="N21:N21">IF(AUTOEVENTO="Manual",ROUND(SUMPRODUCT((CÁLCULO!$M$15:$M$21=EVENTOS!$C21)*(OFFSET(CÁLCULO!$AA$15:$AA$21,0,N$13))),2),0)</f>
        <v>0</v>
      </c>
      <c r="O21" s="262" t="n">
        <f aca="true" t="array" ref="O21:O21">IF(AUTOEVENTO="Manual",ROUND(SUMPRODUCT((CÁLCULO!$M$15:$M$21=EVENTOS!$C21)*(OFFSET(CÁLCULO!$AA$15:$AA$21,0,O$13))),2),0)</f>
        <v>0</v>
      </c>
      <c r="P21" s="262" t="n">
        <f aca="true" t="array" ref="P21:P21">IF(AUTOEVENTO="Manual",ROUND(SUMPRODUCT((CÁLCULO!$M$15:$M$21=EVENTOS!$C21)*(OFFSET(CÁLCULO!$AA$15:$AA$21,0,P$13))),2),0)</f>
        <v>0</v>
      </c>
      <c r="Q21" s="262" t="n">
        <f aca="true" t="array" ref="Q21:Q21">IF(AUTOEVENTO="Manual",ROUND(SUMPRODUCT((CÁLCULO!$M$15:$M$21=EVENTOS!$C21)*(OFFSET(CÁLCULO!$AA$15:$AA$21,0,Q$13))),2),0)</f>
        <v>0</v>
      </c>
      <c r="R21" s="262" t="n">
        <f aca="true" t="array" ref="R21:R21">IF(AUTOEVENTO="Manual",ROUND(SUMPRODUCT((CÁLCULO!$M$15:$M$21=EVENTOS!$C21)*(OFFSET(CÁLCULO!$AA$15:$AA$21,0,R$13))),2),0)</f>
        <v>0</v>
      </c>
      <c r="S21" s="262" t="n">
        <f aca="true" t="array" ref="S21:S21">IF(AUTOEVENTO="Manual",ROUND(SUMPRODUCT((CÁLCULO!$M$15:$M$21=EVENTOS!$C21)*(OFFSET(CÁLCULO!$AA$15:$AA$21,0,S$13))),2),0)</f>
        <v>0</v>
      </c>
      <c r="T21" s="262" t="n">
        <f aca="true" t="array" ref="T21:T21">IF(AUTOEVENTO="Manual",ROUND(SUMPRODUCT((CÁLCULO!$M$15:$M$21=EVENTOS!$C21)*(OFFSET(CÁLCULO!$AA$15:$AA$21,0,T$13))),2),0)</f>
        <v>0</v>
      </c>
      <c r="U21" s="262" t="n">
        <f aca="true" t="array" ref="U21:U21">IF(AUTOEVENTO="Manual",ROUND(SUMPRODUCT((CÁLCULO!$M$15:$M$21=EVENTOS!$C21)*(OFFSET(CÁLCULO!$AA$15:$AA$21,0,U$13))),2),0)</f>
        <v>0</v>
      </c>
      <c r="V21" s="262" t="n">
        <f aca="true" t="array" ref="V21:V21">IF(AUTOEVENTO="Manual",ROUND(SUMPRODUCT((CÁLCULO!$M$15:$M$21=EVENTOS!$C21)*(OFFSET(CÁLCULO!$AA$15:$AA$21,0,V$13))),2),0)</f>
        <v>0</v>
      </c>
      <c r="W21" s="262" t="n">
        <f aca="true" t="array" ref="W21:W21">IF(AUTOEVENTO="Manual",ROUND(SUMPRODUCT((CÁLCULO!$M$15:$M$21=EVENTOS!$C21)*(OFFSET(CÁLCULO!$AA$15:$AA$21,0,W$13))),2),0)</f>
        <v>0</v>
      </c>
      <c r="X21" s="262" t="n">
        <f aca="true" t="array" ref="X21:X21">IF(AUTOEVENTO="Manual",ROUND(SUMPRODUCT((CÁLCULO!$M$15:$M$21=EVENTOS!$C21)*(OFFSET(CÁLCULO!$AA$15:$AA$21,0,X$13))),2),0)</f>
        <v>0</v>
      </c>
      <c r="Y21" s="262" t="n">
        <f aca="true" t="array" ref="Y21:Y21">IF(AUTOEVENTO="Manual",ROUND(SUMPRODUCT((CÁLCULO!$M$15:$M$21=EVENTOS!$C21)*(OFFSET(CÁLCULO!$AA$15:$AA$21,0,Y$13))),2),0)</f>
        <v>0</v>
      </c>
    </row>
    <row r="22" customFormat="false" ht="12.75" hidden="false" customHeight="false" outlineLevel="0" collapsed="false">
      <c r="A22" s="177" t="str">
        <f aca="false">IF(D22="","","F")</f>
        <v/>
      </c>
      <c r="B22" s="0" t="str">
        <f aca="false">IF(OR(C22=" ",D22=""),"",CONCATENATE(C22,". ",D22))</f>
        <v/>
      </c>
      <c r="C22" s="260" t="str">
        <f aca="true" t="array" ref="C22:C22">IF(OR(ROW(C22)=ROW(EVENTOS.firstrow)+1,AND(OFFSET(C22,-1,0)&lt;&gt;" ",OFFSET(C22,-1,1)&lt;&gt;"")),OFFSET(C22,-1,0)+1," ")</f>
        <v> </v>
      </c>
      <c r="D22" s="261"/>
      <c r="E22" s="262" t="n">
        <f aca="true" t="array" ref="E22:E22">IF(AUTOEVENTO="Manual",ROUND(SUMPRODUCT((CÁLCULO!$M$15:$M$21=EVENTOS!$C22)*(OFFSET(CÁLCULO!$AA$15:$AA$21,0,E$13))),2),0)</f>
        <v>0</v>
      </c>
      <c r="F22" s="263" t="n">
        <f aca="true">IF(AUTOEVENTO="Manual",ROUND(SUMPRODUCT((CÁLCULO!$M$15:$M$21=EVENTOS!$C22)*(OFFSET(CÁLCULO!$AA$15,0,1):OFFSET(CÁLCULO!$AL$21,0,-1))),2),0)</f>
        <v>0</v>
      </c>
      <c r="G22" s="264" t="str">
        <f aca="false">IF(AND(D22=0,F22&gt;0),"NOME",
 IF(AND(D22&lt;&gt;0,$F$14&gt;0,F22=0),"VALOR",
 IF(AND(Import.TipoArredondamento="TransfereGOV",$A22="F",LEN(D22)&gt;100),"Nome &gt;100","")))</f>
        <v/>
      </c>
      <c r="H22" s="262" t="n">
        <f aca="true" t="array" ref="H22:H22">IF(AUTOEVENTO="Manual",ROUND(SUMPRODUCT((CÁLCULO!$M$15:$M$21=EVENTOS!$C22)*(OFFSET(CÁLCULO!$AA$15:$AA$21,0,H$13))),2),0)</f>
        <v>0</v>
      </c>
      <c r="I22" s="262" t="n">
        <f aca="true" t="array" ref="I22:I22">IF(AUTOEVENTO="Manual",ROUND(SUMPRODUCT((CÁLCULO!$M$15:$M$21=EVENTOS!$C22)*(OFFSET(CÁLCULO!$AA$15:$AA$21,0,I$13))),2),0)</f>
        <v>0</v>
      </c>
      <c r="J22" s="262" t="n">
        <f aca="true" t="array" ref="J22:J22">IF(AUTOEVENTO="Manual",ROUND(SUMPRODUCT((CÁLCULO!$M$15:$M$21=EVENTOS!$C22)*(OFFSET(CÁLCULO!$AA$15:$AA$21,0,J$13))),2),0)</f>
        <v>0</v>
      </c>
      <c r="K22" s="262" t="n">
        <f aca="true" t="array" ref="K22:K22">IF(AUTOEVENTO="Manual",ROUND(SUMPRODUCT((CÁLCULO!$M$15:$M$21=EVENTOS!$C22)*(OFFSET(CÁLCULO!$AA$15:$AA$21,0,K$13))),2),0)</f>
        <v>0</v>
      </c>
      <c r="L22" s="262" t="n">
        <f aca="true" t="array" ref="L22:L22">IF(AUTOEVENTO="Manual",ROUND(SUMPRODUCT((CÁLCULO!$M$15:$M$21=EVENTOS!$C22)*(OFFSET(CÁLCULO!$AA$15:$AA$21,0,L$13))),2),0)</f>
        <v>0</v>
      </c>
      <c r="M22" s="262" t="n">
        <f aca="true" t="array" ref="M22:M22">IF(AUTOEVENTO="Manual",ROUND(SUMPRODUCT((CÁLCULO!$M$15:$M$21=EVENTOS!$C22)*(OFFSET(CÁLCULO!$AA$15:$AA$21,0,M$13))),2),0)</f>
        <v>0</v>
      </c>
      <c r="N22" s="262" t="n">
        <f aca="true" t="array" ref="N22:N22">IF(AUTOEVENTO="Manual",ROUND(SUMPRODUCT((CÁLCULO!$M$15:$M$21=EVENTOS!$C22)*(OFFSET(CÁLCULO!$AA$15:$AA$21,0,N$13))),2),0)</f>
        <v>0</v>
      </c>
      <c r="O22" s="262" t="n">
        <f aca="true" t="array" ref="O22:O22">IF(AUTOEVENTO="Manual",ROUND(SUMPRODUCT((CÁLCULO!$M$15:$M$21=EVENTOS!$C22)*(OFFSET(CÁLCULO!$AA$15:$AA$21,0,O$13))),2),0)</f>
        <v>0</v>
      </c>
      <c r="P22" s="262" t="n">
        <f aca="true" t="array" ref="P22:P22">IF(AUTOEVENTO="Manual",ROUND(SUMPRODUCT((CÁLCULO!$M$15:$M$21=EVENTOS!$C22)*(OFFSET(CÁLCULO!$AA$15:$AA$21,0,P$13))),2),0)</f>
        <v>0</v>
      </c>
      <c r="Q22" s="262" t="n">
        <f aca="true" t="array" ref="Q22:Q22">IF(AUTOEVENTO="Manual",ROUND(SUMPRODUCT((CÁLCULO!$M$15:$M$21=EVENTOS!$C22)*(OFFSET(CÁLCULO!$AA$15:$AA$21,0,Q$13))),2),0)</f>
        <v>0</v>
      </c>
      <c r="R22" s="262" t="n">
        <f aca="true" t="array" ref="R22:R22">IF(AUTOEVENTO="Manual",ROUND(SUMPRODUCT((CÁLCULO!$M$15:$M$21=EVENTOS!$C22)*(OFFSET(CÁLCULO!$AA$15:$AA$21,0,R$13))),2),0)</f>
        <v>0</v>
      </c>
      <c r="S22" s="262" t="n">
        <f aca="true" t="array" ref="S22:S22">IF(AUTOEVENTO="Manual",ROUND(SUMPRODUCT((CÁLCULO!$M$15:$M$21=EVENTOS!$C22)*(OFFSET(CÁLCULO!$AA$15:$AA$21,0,S$13))),2),0)</f>
        <v>0</v>
      </c>
      <c r="T22" s="262" t="n">
        <f aca="true" t="array" ref="T22:T22">IF(AUTOEVENTO="Manual",ROUND(SUMPRODUCT((CÁLCULO!$M$15:$M$21=EVENTOS!$C22)*(OFFSET(CÁLCULO!$AA$15:$AA$21,0,T$13))),2),0)</f>
        <v>0</v>
      </c>
      <c r="U22" s="262" t="n">
        <f aca="true" t="array" ref="U22:U22">IF(AUTOEVENTO="Manual",ROUND(SUMPRODUCT((CÁLCULO!$M$15:$M$21=EVENTOS!$C22)*(OFFSET(CÁLCULO!$AA$15:$AA$21,0,U$13))),2),0)</f>
        <v>0</v>
      </c>
      <c r="V22" s="262" t="n">
        <f aca="true" t="array" ref="V22:V22">IF(AUTOEVENTO="Manual",ROUND(SUMPRODUCT((CÁLCULO!$M$15:$M$21=EVENTOS!$C22)*(OFFSET(CÁLCULO!$AA$15:$AA$21,0,V$13))),2),0)</f>
        <v>0</v>
      </c>
      <c r="W22" s="262" t="n">
        <f aca="true" t="array" ref="W22:W22">IF(AUTOEVENTO="Manual",ROUND(SUMPRODUCT((CÁLCULO!$M$15:$M$21=EVENTOS!$C22)*(OFFSET(CÁLCULO!$AA$15:$AA$21,0,W$13))),2),0)</f>
        <v>0</v>
      </c>
      <c r="X22" s="262" t="n">
        <f aca="true" t="array" ref="X22:X22">IF(AUTOEVENTO="Manual",ROUND(SUMPRODUCT((CÁLCULO!$M$15:$M$21=EVENTOS!$C22)*(OFFSET(CÁLCULO!$AA$15:$AA$21,0,X$13))),2),0)</f>
        <v>0</v>
      </c>
      <c r="Y22" s="262" t="n">
        <f aca="true" t="array" ref="Y22:Y22">IF(AUTOEVENTO="Manual",ROUND(SUMPRODUCT((CÁLCULO!$M$15:$M$21=EVENTOS!$C22)*(OFFSET(CÁLCULO!$AA$15:$AA$21,0,Y$13))),2),0)</f>
        <v>0</v>
      </c>
    </row>
    <row r="23" customFormat="false" ht="12.75" hidden="false" customHeight="false" outlineLevel="0" collapsed="false">
      <c r="A23" s="177" t="str">
        <f aca="false">IF(D23="","","F")</f>
        <v/>
      </c>
      <c r="B23" s="0" t="str">
        <f aca="false">IF(OR(C23=" ",D23=""),"",CONCATENATE(C23,". ",D23))</f>
        <v/>
      </c>
      <c r="C23" s="260" t="str">
        <f aca="true" t="array" ref="C23:C23">IF(OR(ROW(C23)=ROW(EVENTOS.firstrow)+1,AND(OFFSET(C23,-1,0)&lt;&gt;" ",OFFSET(C23,-1,1)&lt;&gt;"")),OFFSET(C23,-1,0)+1," ")</f>
        <v> </v>
      </c>
      <c r="D23" s="261"/>
      <c r="E23" s="262" t="n">
        <f aca="true" t="array" ref="E23:E23">IF(AUTOEVENTO="Manual",ROUND(SUMPRODUCT((CÁLCULO!$M$15:$M$21=EVENTOS!$C23)*(OFFSET(CÁLCULO!$AA$15:$AA$21,0,E$13))),2),0)</f>
        <v>0</v>
      </c>
      <c r="F23" s="263" t="n">
        <f aca="true">IF(AUTOEVENTO="Manual",ROUND(SUMPRODUCT((CÁLCULO!$M$15:$M$21=EVENTOS!$C23)*(OFFSET(CÁLCULO!$AA$15,0,1):OFFSET(CÁLCULO!$AL$21,0,-1))),2),0)</f>
        <v>0</v>
      </c>
      <c r="G23" s="264" t="str">
        <f aca="false">IF(AND(D23=0,F23&gt;0),"NOME",
 IF(AND(D23&lt;&gt;0,$F$14&gt;0,F23=0),"VALOR",
 IF(AND(Import.TipoArredondamento="TransfereGOV",$A23="F",LEN(D23)&gt;100),"Nome &gt;100","")))</f>
        <v/>
      </c>
      <c r="H23" s="262" t="n">
        <f aca="true" t="array" ref="H23:H23">IF(AUTOEVENTO="Manual",ROUND(SUMPRODUCT((CÁLCULO!$M$15:$M$21=EVENTOS!$C23)*(OFFSET(CÁLCULO!$AA$15:$AA$21,0,H$13))),2),0)</f>
        <v>0</v>
      </c>
      <c r="I23" s="262" t="n">
        <f aca="true" t="array" ref="I23:I23">IF(AUTOEVENTO="Manual",ROUND(SUMPRODUCT((CÁLCULO!$M$15:$M$21=EVENTOS!$C23)*(OFFSET(CÁLCULO!$AA$15:$AA$21,0,I$13))),2),0)</f>
        <v>0</v>
      </c>
      <c r="J23" s="262" t="n">
        <f aca="true" t="array" ref="J23:J23">IF(AUTOEVENTO="Manual",ROUND(SUMPRODUCT((CÁLCULO!$M$15:$M$21=EVENTOS!$C23)*(OFFSET(CÁLCULO!$AA$15:$AA$21,0,J$13))),2),0)</f>
        <v>0</v>
      </c>
      <c r="K23" s="262" t="n">
        <f aca="true" t="array" ref="K23:K23">IF(AUTOEVENTO="Manual",ROUND(SUMPRODUCT((CÁLCULO!$M$15:$M$21=EVENTOS!$C23)*(OFFSET(CÁLCULO!$AA$15:$AA$21,0,K$13))),2),0)</f>
        <v>0</v>
      </c>
      <c r="L23" s="262" t="n">
        <f aca="true" t="array" ref="L23:L23">IF(AUTOEVENTO="Manual",ROUND(SUMPRODUCT((CÁLCULO!$M$15:$M$21=EVENTOS!$C23)*(OFFSET(CÁLCULO!$AA$15:$AA$21,0,L$13))),2),0)</f>
        <v>0</v>
      </c>
      <c r="M23" s="262" t="n">
        <f aca="true" t="array" ref="M23:M23">IF(AUTOEVENTO="Manual",ROUND(SUMPRODUCT((CÁLCULO!$M$15:$M$21=EVENTOS!$C23)*(OFFSET(CÁLCULO!$AA$15:$AA$21,0,M$13))),2),0)</f>
        <v>0</v>
      </c>
      <c r="N23" s="262" t="n">
        <f aca="true" t="array" ref="N23:N23">IF(AUTOEVENTO="Manual",ROUND(SUMPRODUCT((CÁLCULO!$M$15:$M$21=EVENTOS!$C23)*(OFFSET(CÁLCULO!$AA$15:$AA$21,0,N$13))),2),0)</f>
        <v>0</v>
      </c>
      <c r="O23" s="262" t="n">
        <f aca="true" t="array" ref="O23:O23">IF(AUTOEVENTO="Manual",ROUND(SUMPRODUCT((CÁLCULO!$M$15:$M$21=EVENTOS!$C23)*(OFFSET(CÁLCULO!$AA$15:$AA$21,0,O$13))),2),0)</f>
        <v>0</v>
      </c>
      <c r="P23" s="262" t="n">
        <f aca="true" t="array" ref="P23:P23">IF(AUTOEVENTO="Manual",ROUND(SUMPRODUCT((CÁLCULO!$M$15:$M$21=EVENTOS!$C23)*(OFFSET(CÁLCULO!$AA$15:$AA$21,0,P$13))),2),0)</f>
        <v>0</v>
      </c>
      <c r="Q23" s="262" t="n">
        <f aca="true" t="array" ref="Q23:Q23">IF(AUTOEVENTO="Manual",ROUND(SUMPRODUCT((CÁLCULO!$M$15:$M$21=EVENTOS!$C23)*(OFFSET(CÁLCULO!$AA$15:$AA$21,0,Q$13))),2),0)</f>
        <v>0</v>
      </c>
      <c r="R23" s="262" t="n">
        <f aca="true" t="array" ref="R23:R23">IF(AUTOEVENTO="Manual",ROUND(SUMPRODUCT((CÁLCULO!$M$15:$M$21=EVENTOS!$C23)*(OFFSET(CÁLCULO!$AA$15:$AA$21,0,R$13))),2),0)</f>
        <v>0</v>
      </c>
      <c r="S23" s="262" t="n">
        <f aca="true" t="array" ref="S23:S23">IF(AUTOEVENTO="Manual",ROUND(SUMPRODUCT((CÁLCULO!$M$15:$M$21=EVENTOS!$C23)*(OFFSET(CÁLCULO!$AA$15:$AA$21,0,S$13))),2),0)</f>
        <v>0</v>
      </c>
      <c r="T23" s="262" t="n">
        <f aca="true" t="array" ref="T23:T23">IF(AUTOEVENTO="Manual",ROUND(SUMPRODUCT((CÁLCULO!$M$15:$M$21=EVENTOS!$C23)*(OFFSET(CÁLCULO!$AA$15:$AA$21,0,T$13))),2),0)</f>
        <v>0</v>
      </c>
      <c r="U23" s="262" t="n">
        <f aca="true" t="array" ref="U23:U23">IF(AUTOEVENTO="Manual",ROUND(SUMPRODUCT((CÁLCULO!$M$15:$M$21=EVENTOS!$C23)*(OFFSET(CÁLCULO!$AA$15:$AA$21,0,U$13))),2),0)</f>
        <v>0</v>
      </c>
      <c r="V23" s="262" t="n">
        <f aca="true" t="array" ref="V23:V23">IF(AUTOEVENTO="Manual",ROUND(SUMPRODUCT((CÁLCULO!$M$15:$M$21=EVENTOS!$C23)*(OFFSET(CÁLCULO!$AA$15:$AA$21,0,V$13))),2),0)</f>
        <v>0</v>
      </c>
      <c r="W23" s="262" t="n">
        <f aca="true" t="array" ref="W23:W23">IF(AUTOEVENTO="Manual",ROUND(SUMPRODUCT((CÁLCULO!$M$15:$M$21=EVENTOS!$C23)*(OFFSET(CÁLCULO!$AA$15:$AA$21,0,W$13))),2),0)</f>
        <v>0</v>
      </c>
      <c r="X23" s="262" t="n">
        <f aca="true" t="array" ref="X23:X23">IF(AUTOEVENTO="Manual",ROUND(SUMPRODUCT((CÁLCULO!$M$15:$M$21=EVENTOS!$C23)*(OFFSET(CÁLCULO!$AA$15:$AA$21,0,X$13))),2),0)</f>
        <v>0</v>
      </c>
      <c r="Y23" s="262" t="n">
        <f aca="true" t="array" ref="Y23:Y23">IF(AUTOEVENTO="Manual",ROUND(SUMPRODUCT((CÁLCULO!$M$15:$M$21=EVENTOS!$C23)*(OFFSET(CÁLCULO!$AA$15:$AA$21,0,Y$13))),2),0)</f>
        <v>0</v>
      </c>
    </row>
    <row r="24" customFormat="false" ht="12.75" hidden="false" customHeight="false" outlineLevel="0" collapsed="false">
      <c r="A24" s="177" t="str">
        <f aca="false">IF(D24="","","F")</f>
        <v/>
      </c>
      <c r="B24" s="0" t="str">
        <f aca="false">IF(OR(C24=" ",D24=""),"",CONCATENATE(C24,". ",D24))</f>
        <v/>
      </c>
      <c r="C24" s="260" t="str">
        <f aca="true" t="array" ref="C24:C24">IF(OR(ROW(C24)=ROW(EVENTOS.firstrow)+1,AND(OFFSET(C24,-1,0)&lt;&gt;" ",OFFSET(C24,-1,1)&lt;&gt;"")),OFFSET(C24,-1,0)+1," ")</f>
        <v> </v>
      </c>
      <c r="D24" s="261"/>
      <c r="E24" s="262" t="n">
        <f aca="true" t="array" ref="E24:E24">IF(AUTOEVENTO="Manual",ROUND(SUMPRODUCT((CÁLCULO!$M$15:$M$21=EVENTOS!$C24)*(OFFSET(CÁLCULO!$AA$15:$AA$21,0,E$13))),2),0)</f>
        <v>0</v>
      </c>
      <c r="F24" s="263" t="n">
        <f aca="true">IF(AUTOEVENTO="Manual",ROUND(SUMPRODUCT((CÁLCULO!$M$15:$M$21=EVENTOS!$C24)*(OFFSET(CÁLCULO!$AA$15,0,1):OFFSET(CÁLCULO!$AL$21,0,-1))),2),0)</f>
        <v>0</v>
      </c>
      <c r="G24" s="264" t="str">
        <f aca="false">IF(AND(D24=0,F24&gt;0),"NOME",
 IF(AND(D24&lt;&gt;0,$F$14&gt;0,F24=0),"VALOR",
 IF(AND(Import.TipoArredondamento="TransfereGOV",$A24="F",LEN(D24)&gt;100),"Nome &gt;100","")))</f>
        <v/>
      </c>
      <c r="H24" s="262" t="n">
        <f aca="true" t="array" ref="H24:H24">IF(AUTOEVENTO="Manual",ROUND(SUMPRODUCT((CÁLCULO!$M$15:$M$21=EVENTOS!$C24)*(OFFSET(CÁLCULO!$AA$15:$AA$21,0,H$13))),2),0)</f>
        <v>0</v>
      </c>
      <c r="I24" s="262" t="n">
        <f aca="true" t="array" ref="I24:I24">IF(AUTOEVENTO="Manual",ROUND(SUMPRODUCT((CÁLCULO!$M$15:$M$21=EVENTOS!$C24)*(OFFSET(CÁLCULO!$AA$15:$AA$21,0,I$13))),2),0)</f>
        <v>0</v>
      </c>
      <c r="J24" s="262" t="n">
        <f aca="true" t="array" ref="J24:J24">IF(AUTOEVENTO="Manual",ROUND(SUMPRODUCT((CÁLCULO!$M$15:$M$21=EVENTOS!$C24)*(OFFSET(CÁLCULO!$AA$15:$AA$21,0,J$13))),2),0)</f>
        <v>0</v>
      </c>
      <c r="K24" s="262" t="n">
        <f aca="true" t="array" ref="K24:K24">IF(AUTOEVENTO="Manual",ROUND(SUMPRODUCT((CÁLCULO!$M$15:$M$21=EVENTOS!$C24)*(OFFSET(CÁLCULO!$AA$15:$AA$21,0,K$13))),2),0)</f>
        <v>0</v>
      </c>
      <c r="L24" s="262" t="n">
        <f aca="true" t="array" ref="L24:L24">IF(AUTOEVENTO="Manual",ROUND(SUMPRODUCT((CÁLCULO!$M$15:$M$21=EVENTOS!$C24)*(OFFSET(CÁLCULO!$AA$15:$AA$21,0,L$13))),2),0)</f>
        <v>0</v>
      </c>
      <c r="M24" s="262" t="n">
        <f aca="true" t="array" ref="M24:M24">IF(AUTOEVENTO="Manual",ROUND(SUMPRODUCT((CÁLCULO!$M$15:$M$21=EVENTOS!$C24)*(OFFSET(CÁLCULO!$AA$15:$AA$21,0,M$13))),2),0)</f>
        <v>0</v>
      </c>
      <c r="N24" s="262" t="n">
        <f aca="true" t="array" ref="N24:N24">IF(AUTOEVENTO="Manual",ROUND(SUMPRODUCT((CÁLCULO!$M$15:$M$21=EVENTOS!$C24)*(OFFSET(CÁLCULO!$AA$15:$AA$21,0,N$13))),2),0)</f>
        <v>0</v>
      </c>
      <c r="O24" s="262" t="n">
        <f aca="true" t="array" ref="O24:O24">IF(AUTOEVENTO="Manual",ROUND(SUMPRODUCT((CÁLCULO!$M$15:$M$21=EVENTOS!$C24)*(OFFSET(CÁLCULO!$AA$15:$AA$21,0,O$13))),2),0)</f>
        <v>0</v>
      </c>
      <c r="P24" s="262" t="n">
        <f aca="true" t="array" ref="P24:P24">IF(AUTOEVENTO="Manual",ROUND(SUMPRODUCT((CÁLCULO!$M$15:$M$21=EVENTOS!$C24)*(OFFSET(CÁLCULO!$AA$15:$AA$21,0,P$13))),2),0)</f>
        <v>0</v>
      </c>
      <c r="Q24" s="262" t="n">
        <f aca="true" t="array" ref="Q24:Q24">IF(AUTOEVENTO="Manual",ROUND(SUMPRODUCT((CÁLCULO!$M$15:$M$21=EVENTOS!$C24)*(OFFSET(CÁLCULO!$AA$15:$AA$21,0,Q$13))),2),0)</f>
        <v>0</v>
      </c>
      <c r="R24" s="262" t="n">
        <f aca="true" t="array" ref="R24:R24">IF(AUTOEVENTO="Manual",ROUND(SUMPRODUCT((CÁLCULO!$M$15:$M$21=EVENTOS!$C24)*(OFFSET(CÁLCULO!$AA$15:$AA$21,0,R$13))),2),0)</f>
        <v>0</v>
      </c>
      <c r="S24" s="262" t="n">
        <f aca="true" t="array" ref="S24:S24">IF(AUTOEVENTO="Manual",ROUND(SUMPRODUCT((CÁLCULO!$M$15:$M$21=EVENTOS!$C24)*(OFFSET(CÁLCULO!$AA$15:$AA$21,0,S$13))),2),0)</f>
        <v>0</v>
      </c>
      <c r="T24" s="262" t="n">
        <f aca="true" t="array" ref="T24:T24">IF(AUTOEVENTO="Manual",ROUND(SUMPRODUCT((CÁLCULO!$M$15:$M$21=EVENTOS!$C24)*(OFFSET(CÁLCULO!$AA$15:$AA$21,0,T$13))),2),0)</f>
        <v>0</v>
      </c>
      <c r="U24" s="262" t="n">
        <f aca="true" t="array" ref="U24:U24">IF(AUTOEVENTO="Manual",ROUND(SUMPRODUCT((CÁLCULO!$M$15:$M$21=EVENTOS!$C24)*(OFFSET(CÁLCULO!$AA$15:$AA$21,0,U$13))),2),0)</f>
        <v>0</v>
      </c>
      <c r="V24" s="262" t="n">
        <f aca="true" t="array" ref="V24:V24">IF(AUTOEVENTO="Manual",ROUND(SUMPRODUCT((CÁLCULO!$M$15:$M$21=EVENTOS!$C24)*(OFFSET(CÁLCULO!$AA$15:$AA$21,0,V$13))),2),0)</f>
        <v>0</v>
      </c>
      <c r="W24" s="262" t="n">
        <f aca="true" t="array" ref="W24:W24">IF(AUTOEVENTO="Manual",ROUND(SUMPRODUCT((CÁLCULO!$M$15:$M$21=EVENTOS!$C24)*(OFFSET(CÁLCULO!$AA$15:$AA$21,0,W$13))),2),0)</f>
        <v>0</v>
      </c>
      <c r="X24" s="262" t="n">
        <f aca="true" t="array" ref="X24:X24">IF(AUTOEVENTO="Manual",ROUND(SUMPRODUCT((CÁLCULO!$M$15:$M$21=EVENTOS!$C24)*(OFFSET(CÁLCULO!$AA$15:$AA$21,0,X$13))),2),0)</f>
        <v>0</v>
      </c>
      <c r="Y24" s="262" t="n">
        <f aca="true" t="array" ref="Y24:Y24">IF(AUTOEVENTO="Manual",ROUND(SUMPRODUCT((CÁLCULO!$M$15:$M$21=EVENTOS!$C24)*(OFFSET(CÁLCULO!$AA$15:$AA$21,0,Y$13))),2),0)</f>
        <v>0</v>
      </c>
    </row>
    <row r="25" customFormat="false" ht="12.75" hidden="false" customHeight="false" outlineLevel="0" collapsed="false">
      <c r="A25" s="177" t="str">
        <f aca="false">IF(D25="","","F")</f>
        <v/>
      </c>
      <c r="B25" s="0" t="str">
        <f aca="false">IF(OR(C25=" ",D25=""),"",CONCATENATE(C25,". ",D25))</f>
        <v/>
      </c>
      <c r="C25" s="260" t="str">
        <f aca="true" t="array" ref="C25:C25">IF(OR(ROW(C25)=ROW(EVENTOS.firstrow)+1,AND(OFFSET(C25,-1,0)&lt;&gt;" ",OFFSET(C25,-1,1)&lt;&gt;"")),OFFSET(C25,-1,0)+1," ")</f>
        <v> </v>
      </c>
      <c r="D25" s="261"/>
      <c r="E25" s="262" t="n">
        <f aca="true" t="array" ref="E25:E25">IF(AUTOEVENTO="Manual",ROUND(SUMPRODUCT((CÁLCULO!$M$15:$M$21=EVENTOS!$C25)*(OFFSET(CÁLCULO!$AA$15:$AA$21,0,E$13))),2),0)</f>
        <v>0</v>
      </c>
      <c r="F25" s="263" t="n">
        <f aca="true">IF(AUTOEVENTO="Manual",ROUND(SUMPRODUCT((CÁLCULO!$M$15:$M$21=EVENTOS!$C25)*(OFFSET(CÁLCULO!$AA$15,0,1):OFFSET(CÁLCULO!$AL$21,0,-1))),2),0)</f>
        <v>0</v>
      </c>
      <c r="G25" s="264" t="str">
        <f aca="false">IF(AND(D25=0,F25&gt;0),"NOME",
 IF(AND(D25&lt;&gt;0,$F$14&gt;0,F25=0),"VALOR",
 IF(AND(Import.TipoArredondamento="TransfereGOV",$A25="F",LEN(D25)&gt;100),"Nome &gt;100","")))</f>
        <v/>
      </c>
      <c r="H25" s="262" t="n">
        <f aca="true" t="array" ref="H25:H25">IF(AUTOEVENTO="Manual",ROUND(SUMPRODUCT((CÁLCULO!$M$15:$M$21=EVENTOS!$C25)*(OFFSET(CÁLCULO!$AA$15:$AA$21,0,H$13))),2),0)</f>
        <v>0</v>
      </c>
      <c r="I25" s="262" t="n">
        <f aca="true" t="array" ref="I25:I25">IF(AUTOEVENTO="Manual",ROUND(SUMPRODUCT((CÁLCULO!$M$15:$M$21=EVENTOS!$C25)*(OFFSET(CÁLCULO!$AA$15:$AA$21,0,I$13))),2),0)</f>
        <v>0</v>
      </c>
      <c r="J25" s="262" t="n">
        <f aca="true" t="array" ref="J25:J25">IF(AUTOEVENTO="Manual",ROUND(SUMPRODUCT((CÁLCULO!$M$15:$M$21=EVENTOS!$C25)*(OFFSET(CÁLCULO!$AA$15:$AA$21,0,J$13))),2),0)</f>
        <v>0</v>
      </c>
      <c r="K25" s="262" t="n">
        <f aca="true" t="array" ref="K25:K25">IF(AUTOEVENTO="Manual",ROUND(SUMPRODUCT((CÁLCULO!$M$15:$M$21=EVENTOS!$C25)*(OFFSET(CÁLCULO!$AA$15:$AA$21,0,K$13))),2),0)</f>
        <v>0</v>
      </c>
      <c r="L25" s="262" t="n">
        <f aca="true" t="array" ref="L25:L25">IF(AUTOEVENTO="Manual",ROUND(SUMPRODUCT((CÁLCULO!$M$15:$M$21=EVENTOS!$C25)*(OFFSET(CÁLCULO!$AA$15:$AA$21,0,L$13))),2),0)</f>
        <v>0</v>
      </c>
      <c r="M25" s="262" t="n">
        <f aca="true" t="array" ref="M25:M25">IF(AUTOEVENTO="Manual",ROUND(SUMPRODUCT((CÁLCULO!$M$15:$M$21=EVENTOS!$C25)*(OFFSET(CÁLCULO!$AA$15:$AA$21,0,M$13))),2),0)</f>
        <v>0</v>
      </c>
      <c r="N25" s="262" t="n">
        <f aca="true" t="array" ref="N25:N25">IF(AUTOEVENTO="Manual",ROUND(SUMPRODUCT((CÁLCULO!$M$15:$M$21=EVENTOS!$C25)*(OFFSET(CÁLCULO!$AA$15:$AA$21,0,N$13))),2),0)</f>
        <v>0</v>
      </c>
      <c r="O25" s="262" t="n">
        <f aca="true" t="array" ref="O25:O25">IF(AUTOEVENTO="Manual",ROUND(SUMPRODUCT((CÁLCULO!$M$15:$M$21=EVENTOS!$C25)*(OFFSET(CÁLCULO!$AA$15:$AA$21,0,O$13))),2),0)</f>
        <v>0</v>
      </c>
      <c r="P25" s="262" t="n">
        <f aca="true" t="array" ref="P25:P25">IF(AUTOEVENTO="Manual",ROUND(SUMPRODUCT((CÁLCULO!$M$15:$M$21=EVENTOS!$C25)*(OFFSET(CÁLCULO!$AA$15:$AA$21,0,P$13))),2),0)</f>
        <v>0</v>
      </c>
      <c r="Q25" s="262" t="n">
        <f aca="true" t="array" ref="Q25:Q25">IF(AUTOEVENTO="Manual",ROUND(SUMPRODUCT((CÁLCULO!$M$15:$M$21=EVENTOS!$C25)*(OFFSET(CÁLCULO!$AA$15:$AA$21,0,Q$13))),2),0)</f>
        <v>0</v>
      </c>
      <c r="R25" s="262" t="n">
        <f aca="true" t="array" ref="R25:R25">IF(AUTOEVENTO="Manual",ROUND(SUMPRODUCT((CÁLCULO!$M$15:$M$21=EVENTOS!$C25)*(OFFSET(CÁLCULO!$AA$15:$AA$21,0,R$13))),2),0)</f>
        <v>0</v>
      </c>
      <c r="S25" s="262" t="n">
        <f aca="true" t="array" ref="S25:S25">IF(AUTOEVENTO="Manual",ROUND(SUMPRODUCT((CÁLCULO!$M$15:$M$21=EVENTOS!$C25)*(OFFSET(CÁLCULO!$AA$15:$AA$21,0,S$13))),2),0)</f>
        <v>0</v>
      </c>
      <c r="T25" s="262" t="n">
        <f aca="true" t="array" ref="T25:T25">IF(AUTOEVENTO="Manual",ROUND(SUMPRODUCT((CÁLCULO!$M$15:$M$21=EVENTOS!$C25)*(OFFSET(CÁLCULO!$AA$15:$AA$21,0,T$13))),2),0)</f>
        <v>0</v>
      </c>
      <c r="U25" s="262" t="n">
        <f aca="true" t="array" ref="U25:U25">IF(AUTOEVENTO="Manual",ROUND(SUMPRODUCT((CÁLCULO!$M$15:$M$21=EVENTOS!$C25)*(OFFSET(CÁLCULO!$AA$15:$AA$21,0,U$13))),2),0)</f>
        <v>0</v>
      </c>
      <c r="V25" s="262" t="n">
        <f aca="true" t="array" ref="V25:V25">IF(AUTOEVENTO="Manual",ROUND(SUMPRODUCT((CÁLCULO!$M$15:$M$21=EVENTOS!$C25)*(OFFSET(CÁLCULO!$AA$15:$AA$21,0,V$13))),2),0)</f>
        <v>0</v>
      </c>
      <c r="W25" s="262" t="n">
        <f aca="true" t="array" ref="W25:W25">IF(AUTOEVENTO="Manual",ROUND(SUMPRODUCT((CÁLCULO!$M$15:$M$21=EVENTOS!$C25)*(OFFSET(CÁLCULO!$AA$15:$AA$21,0,W$13))),2),0)</f>
        <v>0</v>
      </c>
      <c r="X25" s="262" t="n">
        <f aca="true" t="array" ref="X25:X25">IF(AUTOEVENTO="Manual",ROUND(SUMPRODUCT((CÁLCULO!$M$15:$M$21=EVENTOS!$C25)*(OFFSET(CÁLCULO!$AA$15:$AA$21,0,X$13))),2),0)</f>
        <v>0</v>
      </c>
      <c r="Y25" s="262" t="n">
        <f aca="true" t="array" ref="Y25:Y25">IF(AUTOEVENTO="Manual",ROUND(SUMPRODUCT((CÁLCULO!$M$15:$M$21=EVENTOS!$C25)*(OFFSET(CÁLCULO!$AA$15:$AA$21,0,Y$13))),2),0)</f>
        <v>0</v>
      </c>
    </row>
    <row r="26" customFormat="false" ht="12.75" hidden="false" customHeight="false" outlineLevel="0" collapsed="false">
      <c r="A26" s="177" t="str">
        <f aca="false">IF(D26="","","F")</f>
        <v/>
      </c>
      <c r="B26" s="0" t="str">
        <f aca="false">IF(OR(C26=" ",D26=""),"",CONCATENATE(C26,". ",D26))</f>
        <v/>
      </c>
      <c r="C26" s="260" t="str">
        <f aca="true" t="array" ref="C26:C26">IF(OR(ROW(C26)=ROW(EVENTOS.firstrow)+1,AND(OFFSET(C26,-1,0)&lt;&gt;" ",OFFSET(C26,-1,1)&lt;&gt;"")),OFFSET(C26,-1,0)+1," ")</f>
        <v> </v>
      </c>
      <c r="D26" s="261"/>
      <c r="E26" s="262" t="n">
        <f aca="true" t="array" ref="E26:E26">IF(AUTOEVENTO="Manual",ROUND(SUMPRODUCT((CÁLCULO!$M$15:$M$21=EVENTOS!$C26)*(OFFSET(CÁLCULO!$AA$15:$AA$21,0,E$13))),2),0)</f>
        <v>0</v>
      </c>
      <c r="F26" s="263" t="n">
        <f aca="true">IF(AUTOEVENTO="Manual",ROUND(SUMPRODUCT((CÁLCULO!$M$15:$M$21=EVENTOS!$C26)*(OFFSET(CÁLCULO!$AA$15,0,1):OFFSET(CÁLCULO!$AL$21,0,-1))),2),0)</f>
        <v>0</v>
      </c>
      <c r="G26" s="264" t="str">
        <f aca="false">IF(AND(D26=0,F26&gt;0),"NOME",
 IF(AND(D26&lt;&gt;0,$F$14&gt;0,F26=0),"VALOR",
 IF(AND(Import.TipoArredondamento="TransfereGOV",$A26="F",LEN(D26)&gt;100),"Nome &gt;100","")))</f>
        <v/>
      </c>
      <c r="H26" s="262" t="n">
        <f aca="true" t="array" ref="H26:H26">IF(AUTOEVENTO="Manual",ROUND(SUMPRODUCT((CÁLCULO!$M$15:$M$21=EVENTOS!$C26)*(OFFSET(CÁLCULO!$AA$15:$AA$21,0,H$13))),2),0)</f>
        <v>0</v>
      </c>
      <c r="I26" s="262" t="n">
        <f aca="true" t="array" ref="I26:I26">IF(AUTOEVENTO="Manual",ROUND(SUMPRODUCT((CÁLCULO!$M$15:$M$21=EVENTOS!$C26)*(OFFSET(CÁLCULO!$AA$15:$AA$21,0,I$13))),2),0)</f>
        <v>0</v>
      </c>
      <c r="J26" s="262" t="n">
        <f aca="true" t="array" ref="J26:J26">IF(AUTOEVENTO="Manual",ROUND(SUMPRODUCT((CÁLCULO!$M$15:$M$21=EVENTOS!$C26)*(OFFSET(CÁLCULO!$AA$15:$AA$21,0,J$13))),2),0)</f>
        <v>0</v>
      </c>
      <c r="K26" s="262" t="n">
        <f aca="true" t="array" ref="K26:K26">IF(AUTOEVENTO="Manual",ROUND(SUMPRODUCT((CÁLCULO!$M$15:$M$21=EVENTOS!$C26)*(OFFSET(CÁLCULO!$AA$15:$AA$21,0,K$13))),2),0)</f>
        <v>0</v>
      </c>
      <c r="L26" s="262" t="n">
        <f aca="true" t="array" ref="L26:L26">IF(AUTOEVENTO="Manual",ROUND(SUMPRODUCT((CÁLCULO!$M$15:$M$21=EVENTOS!$C26)*(OFFSET(CÁLCULO!$AA$15:$AA$21,0,L$13))),2),0)</f>
        <v>0</v>
      </c>
      <c r="M26" s="262" t="n">
        <f aca="true" t="array" ref="M26:M26">IF(AUTOEVENTO="Manual",ROUND(SUMPRODUCT((CÁLCULO!$M$15:$M$21=EVENTOS!$C26)*(OFFSET(CÁLCULO!$AA$15:$AA$21,0,M$13))),2),0)</f>
        <v>0</v>
      </c>
      <c r="N26" s="262" t="n">
        <f aca="true" t="array" ref="N26:N26">IF(AUTOEVENTO="Manual",ROUND(SUMPRODUCT((CÁLCULO!$M$15:$M$21=EVENTOS!$C26)*(OFFSET(CÁLCULO!$AA$15:$AA$21,0,N$13))),2),0)</f>
        <v>0</v>
      </c>
      <c r="O26" s="262" t="n">
        <f aca="true" t="array" ref="O26:O26">IF(AUTOEVENTO="Manual",ROUND(SUMPRODUCT((CÁLCULO!$M$15:$M$21=EVENTOS!$C26)*(OFFSET(CÁLCULO!$AA$15:$AA$21,0,O$13))),2),0)</f>
        <v>0</v>
      </c>
      <c r="P26" s="262" t="n">
        <f aca="true" t="array" ref="P26:P26">IF(AUTOEVENTO="Manual",ROUND(SUMPRODUCT((CÁLCULO!$M$15:$M$21=EVENTOS!$C26)*(OFFSET(CÁLCULO!$AA$15:$AA$21,0,P$13))),2),0)</f>
        <v>0</v>
      </c>
      <c r="Q26" s="262" t="n">
        <f aca="true" t="array" ref="Q26:Q26">IF(AUTOEVENTO="Manual",ROUND(SUMPRODUCT((CÁLCULO!$M$15:$M$21=EVENTOS!$C26)*(OFFSET(CÁLCULO!$AA$15:$AA$21,0,Q$13))),2),0)</f>
        <v>0</v>
      </c>
      <c r="R26" s="262" t="n">
        <f aca="true" t="array" ref="R26:R26">IF(AUTOEVENTO="Manual",ROUND(SUMPRODUCT((CÁLCULO!$M$15:$M$21=EVENTOS!$C26)*(OFFSET(CÁLCULO!$AA$15:$AA$21,0,R$13))),2),0)</f>
        <v>0</v>
      </c>
      <c r="S26" s="262" t="n">
        <f aca="true" t="array" ref="S26:S26">IF(AUTOEVENTO="Manual",ROUND(SUMPRODUCT((CÁLCULO!$M$15:$M$21=EVENTOS!$C26)*(OFFSET(CÁLCULO!$AA$15:$AA$21,0,S$13))),2),0)</f>
        <v>0</v>
      </c>
      <c r="T26" s="262" t="n">
        <f aca="true" t="array" ref="T26:T26">IF(AUTOEVENTO="Manual",ROUND(SUMPRODUCT((CÁLCULO!$M$15:$M$21=EVENTOS!$C26)*(OFFSET(CÁLCULO!$AA$15:$AA$21,0,T$13))),2),0)</f>
        <v>0</v>
      </c>
      <c r="U26" s="262" t="n">
        <f aca="true" t="array" ref="U26:U26">IF(AUTOEVENTO="Manual",ROUND(SUMPRODUCT((CÁLCULO!$M$15:$M$21=EVENTOS!$C26)*(OFFSET(CÁLCULO!$AA$15:$AA$21,0,U$13))),2),0)</f>
        <v>0</v>
      </c>
      <c r="V26" s="262" t="n">
        <f aca="true" t="array" ref="V26:V26">IF(AUTOEVENTO="Manual",ROUND(SUMPRODUCT((CÁLCULO!$M$15:$M$21=EVENTOS!$C26)*(OFFSET(CÁLCULO!$AA$15:$AA$21,0,V$13))),2),0)</f>
        <v>0</v>
      </c>
      <c r="W26" s="262" t="n">
        <f aca="true" t="array" ref="W26:W26">IF(AUTOEVENTO="Manual",ROUND(SUMPRODUCT((CÁLCULO!$M$15:$M$21=EVENTOS!$C26)*(OFFSET(CÁLCULO!$AA$15:$AA$21,0,W$13))),2),0)</f>
        <v>0</v>
      </c>
      <c r="X26" s="262" t="n">
        <f aca="true" t="array" ref="X26:X26">IF(AUTOEVENTO="Manual",ROUND(SUMPRODUCT((CÁLCULO!$M$15:$M$21=EVENTOS!$C26)*(OFFSET(CÁLCULO!$AA$15:$AA$21,0,X$13))),2),0)</f>
        <v>0</v>
      </c>
      <c r="Y26" s="262" t="n">
        <f aca="true" t="array" ref="Y26:Y26">IF(AUTOEVENTO="Manual",ROUND(SUMPRODUCT((CÁLCULO!$M$15:$M$21=EVENTOS!$C26)*(OFFSET(CÁLCULO!$AA$15:$AA$21,0,Y$13))),2),0)</f>
        <v>0</v>
      </c>
    </row>
    <row r="27" customFormat="false" ht="12.75" hidden="false" customHeight="false" outlineLevel="0" collapsed="false">
      <c r="A27" s="177" t="str">
        <f aca="false">IF(D27="","","F")</f>
        <v/>
      </c>
      <c r="B27" s="0" t="str">
        <f aca="false">IF(OR(C27=" ",D27=""),"",CONCATENATE(C27,". ",D27))</f>
        <v/>
      </c>
      <c r="C27" s="260" t="str">
        <f aca="true" t="array" ref="C27:C27">IF(OR(ROW(C27)=ROW(EVENTOS.firstrow)+1,AND(OFFSET(C27,-1,0)&lt;&gt;" ",OFFSET(C27,-1,1)&lt;&gt;"")),OFFSET(C27,-1,0)+1," ")</f>
        <v> </v>
      </c>
      <c r="D27" s="261"/>
      <c r="E27" s="262" t="n">
        <f aca="true" t="array" ref="E27:E27">IF(AUTOEVENTO="Manual",ROUND(SUMPRODUCT((CÁLCULO!$M$15:$M$21=EVENTOS!$C27)*(OFFSET(CÁLCULO!$AA$15:$AA$21,0,E$13))),2),0)</f>
        <v>0</v>
      </c>
      <c r="F27" s="263" t="n">
        <f aca="true">IF(AUTOEVENTO="Manual",ROUND(SUMPRODUCT((CÁLCULO!$M$15:$M$21=EVENTOS!$C27)*(OFFSET(CÁLCULO!$AA$15,0,1):OFFSET(CÁLCULO!$AL$21,0,-1))),2),0)</f>
        <v>0</v>
      </c>
      <c r="G27" s="264" t="str">
        <f aca="false">IF(AND(D27=0,F27&gt;0),"NOME",
 IF(AND(D27&lt;&gt;0,$F$14&gt;0,F27=0),"VALOR",
 IF(AND(Import.TipoArredondamento="TransfereGOV",$A27="F",LEN(D27)&gt;100),"Nome &gt;100","")))</f>
        <v/>
      </c>
      <c r="H27" s="262" t="n">
        <f aca="true" t="array" ref="H27:H27">IF(AUTOEVENTO="Manual",ROUND(SUMPRODUCT((CÁLCULO!$M$15:$M$21=EVENTOS!$C27)*(OFFSET(CÁLCULO!$AA$15:$AA$21,0,H$13))),2),0)</f>
        <v>0</v>
      </c>
      <c r="I27" s="262" t="n">
        <f aca="true" t="array" ref="I27:I27">IF(AUTOEVENTO="Manual",ROUND(SUMPRODUCT((CÁLCULO!$M$15:$M$21=EVENTOS!$C27)*(OFFSET(CÁLCULO!$AA$15:$AA$21,0,I$13))),2),0)</f>
        <v>0</v>
      </c>
      <c r="J27" s="262" t="n">
        <f aca="true" t="array" ref="J27:J27">IF(AUTOEVENTO="Manual",ROUND(SUMPRODUCT((CÁLCULO!$M$15:$M$21=EVENTOS!$C27)*(OFFSET(CÁLCULO!$AA$15:$AA$21,0,J$13))),2),0)</f>
        <v>0</v>
      </c>
      <c r="K27" s="262" t="n">
        <f aca="true" t="array" ref="K27:K27">IF(AUTOEVENTO="Manual",ROUND(SUMPRODUCT((CÁLCULO!$M$15:$M$21=EVENTOS!$C27)*(OFFSET(CÁLCULO!$AA$15:$AA$21,0,K$13))),2),0)</f>
        <v>0</v>
      </c>
      <c r="L27" s="262" t="n">
        <f aca="true" t="array" ref="L27:L27">IF(AUTOEVENTO="Manual",ROUND(SUMPRODUCT((CÁLCULO!$M$15:$M$21=EVENTOS!$C27)*(OFFSET(CÁLCULO!$AA$15:$AA$21,0,L$13))),2),0)</f>
        <v>0</v>
      </c>
      <c r="M27" s="262" t="n">
        <f aca="true" t="array" ref="M27:M27">IF(AUTOEVENTO="Manual",ROUND(SUMPRODUCT((CÁLCULO!$M$15:$M$21=EVENTOS!$C27)*(OFFSET(CÁLCULO!$AA$15:$AA$21,0,M$13))),2),0)</f>
        <v>0</v>
      </c>
      <c r="N27" s="262" t="n">
        <f aca="true" t="array" ref="N27:N27">IF(AUTOEVENTO="Manual",ROUND(SUMPRODUCT((CÁLCULO!$M$15:$M$21=EVENTOS!$C27)*(OFFSET(CÁLCULO!$AA$15:$AA$21,0,N$13))),2),0)</f>
        <v>0</v>
      </c>
      <c r="O27" s="262" t="n">
        <f aca="true" t="array" ref="O27:O27">IF(AUTOEVENTO="Manual",ROUND(SUMPRODUCT((CÁLCULO!$M$15:$M$21=EVENTOS!$C27)*(OFFSET(CÁLCULO!$AA$15:$AA$21,0,O$13))),2),0)</f>
        <v>0</v>
      </c>
      <c r="P27" s="262" t="n">
        <f aca="true" t="array" ref="P27:P27">IF(AUTOEVENTO="Manual",ROUND(SUMPRODUCT((CÁLCULO!$M$15:$M$21=EVENTOS!$C27)*(OFFSET(CÁLCULO!$AA$15:$AA$21,0,P$13))),2),0)</f>
        <v>0</v>
      </c>
      <c r="Q27" s="262" t="n">
        <f aca="true" t="array" ref="Q27:Q27">IF(AUTOEVENTO="Manual",ROUND(SUMPRODUCT((CÁLCULO!$M$15:$M$21=EVENTOS!$C27)*(OFFSET(CÁLCULO!$AA$15:$AA$21,0,Q$13))),2),0)</f>
        <v>0</v>
      </c>
      <c r="R27" s="262" t="n">
        <f aca="true" t="array" ref="R27:R27">IF(AUTOEVENTO="Manual",ROUND(SUMPRODUCT((CÁLCULO!$M$15:$M$21=EVENTOS!$C27)*(OFFSET(CÁLCULO!$AA$15:$AA$21,0,R$13))),2),0)</f>
        <v>0</v>
      </c>
      <c r="S27" s="262" t="n">
        <f aca="true" t="array" ref="S27:S27">IF(AUTOEVENTO="Manual",ROUND(SUMPRODUCT((CÁLCULO!$M$15:$M$21=EVENTOS!$C27)*(OFFSET(CÁLCULO!$AA$15:$AA$21,0,S$13))),2),0)</f>
        <v>0</v>
      </c>
      <c r="T27" s="262" t="n">
        <f aca="true" t="array" ref="T27:T27">IF(AUTOEVENTO="Manual",ROUND(SUMPRODUCT((CÁLCULO!$M$15:$M$21=EVENTOS!$C27)*(OFFSET(CÁLCULO!$AA$15:$AA$21,0,T$13))),2),0)</f>
        <v>0</v>
      </c>
      <c r="U27" s="262" t="n">
        <f aca="true" t="array" ref="U27:U27">IF(AUTOEVENTO="Manual",ROUND(SUMPRODUCT((CÁLCULO!$M$15:$M$21=EVENTOS!$C27)*(OFFSET(CÁLCULO!$AA$15:$AA$21,0,U$13))),2),0)</f>
        <v>0</v>
      </c>
      <c r="V27" s="262" t="n">
        <f aca="true" t="array" ref="V27:V27">IF(AUTOEVENTO="Manual",ROUND(SUMPRODUCT((CÁLCULO!$M$15:$M$21=EVENTOS!$C27)*(OFFSET(CÁLCULO!$AA$15:$AA$21,0,V$13))),2),0)</f>
        <v>0</v>
      </c>
      <c r="W27" s="262" t="n">
        <f aca="true" t="array" ref="W27:W27">IF(AUTOEVENTO="Manual",ROUND(SUMPRODUCT((CÁLCULO!$M$15:$M$21=EVENTOS!$C27)*(OFFSET(CÁLCULO!$AA$15:$AA$21,0,W$13))),2),0)</f>
        <v>0</v>
      </c>
      <c r="X27" s="262" t="n">
        <f aca="true" t="array" ref="X27:X27">IF(AUTOEVENTO="Manual",ROUND(SUMPRODUCT((CÁLCULO!$M$15:$M$21=EVENTOS!$C27)*(OFFSET(CÁLCULO!$AA$15:$AA$21,0,X$13))),2),0)</f>
        <v>0</v>
      </c>
      <c r="Y27" s="262" t="n">
        <f aca="true" t="array" ref="Y27:Y27">IF(AUTOEVENTO="Manual",ROUND(SUMPRODUCT((CÁLCULO!$M$15:$M$21=EVENTOS!$C27)*(OFFSET(CÁLCULO!$AA$15:$AA$21,0,Y$13))),2),0)</f>
        <v>0</v>
      </c>
    </row>
    <row r="28" customFormat="false" ht="12.75" hidden="false" customHeight="false" outlineLevel="0" collapsed="false">
      <c r="A28" s="177" t="str">
        <f aca="false">IF(D28="","","F")</f>
        <v/>
      </c>
      <c r="B28" s="0" t="str">
        <f aca="false">IF(OR(C28=" ",D28=""),"",CONCATENATE(C28,". ",D28))</f>
        <v/>
      </c>
      <c r="C28" s="260" t="str">
        <f aca="true" t="array" ref="C28:C28">IF(OR(ROW(C28)=ROW(EVENTOS.firstrow)+1,AND(OFFSET(C28,-1,0)&lt;&gt;" ",OFFSET(C28,-1,1)&lt;&gt;"")),OFFSET(C28,-1,0)+1," ")</f>
        <v> </v>
      </c>
      <c r="D28" s="261"/>
      <c r="E28" s="262" t="n">
        <f aca="true" t="array" ref="E28:E28">IF(AUTOEVENTO="Manual",ROUND(SUMPRODUCT((CÁLCULO!$M$15:$M$21=EVENTOS!$C28)*(OFFSET(CÁLCULO!$AA$15:$AA$21,0,E$13))),2),0)</f>
        <v>0</v>
      </c>
      <c r="F28" s="263" t="n">
        <f aca="true">IF(AUTOEVENTO="Manual",ROUND(SUMPRODUCT((CÁLCULO!$M$15:$M$21=EVENTOS!$C28)*(OFFSET(CÁLCULO!$AA$15,0,1):OFFSET(CÁLCULO!$AL$21,0,-1))),2),0)</f>
        <v>0</v>
      </c>
      <c r="G28" s="264" t="str">
        <f aca="false">IF(AND(D28=0,F28&gt;0),"NOME",
 IF(AND(D28&lt;&gt;0,$F$14&gt;0,F28=0),"VALOR",
 IF(AND(Import.TipoArredondamento="TransfereGOV",$A28="F",LEN(D28)&gt;100),"Nome &gt;100","")))</f>
        <v/>
      </c>
      <c r="H28" s="262" t="n">
        <f aca="true" t="array" ref="H28:H28">IF(AUTOEVENTO="Manual",ROUND(SUMPRODUCT((CÁLCULO!$M$15:$M$21=EVENTOS!$C28)*(OFFSET(CÁLCULO!$AA$15:$AA$21,0,H$13))),2),0)</f>
        <v>0</v>
      </c>
      <c r="I28" s="262" t="n">
        <f aca="true" t="array" ref="I28:I28">IF(AUTOEVENTO="Manual",ROUND(SUMPRODUCT((CÁLCULO!$M$15:$M$21=EVENTOS!$C28)*(OFFSET(CÁLCULO!$AA$15:$AA$21,0,I$13))),2),0)</f>
        <v>0</v>
      </c>
      <c r="J28" s="262" t="n">
        <f aca="true" t="array" ref="J28:J28">IF(AUTOEVENTO="Manual",ROUND(SUMPRODUCT((CÁLCULO!$M$15:$M$21=EVENTOS!$C28)*(OFFSET(CÁLCULO!$AA$15:$AA$21,0,J$13))),2),0)</f>
        <v>0</v>
      </c>
      <c r="K28" s="262" t="n">
        <f aca="true" t="array" ref="K28:K28">IF(AUTOEVENTO="Manual",ROUND(SUMPRODUCT((CÁLCULO!$M$15:$M$21=EVENTOS!$C28)*(OFFSET(CÁLCULO!$AA$15:$AA$21,0,K$13))),2),0)</f>
        <v>0</v>
      </c>
      <c r="L28" s="262" t="n">
        <f aca="true" t="array" ref="L28:L28">IF(AUTOEVENTO="Manual",ROUND(SUMPRODUCT((CÁLCULO!$M$15:$M$21=EVENTOS!$C28)*(OFFSET(CÁLCULO!$AA$15:$AA$21,0,L$13))),2),0)</f>
        <v>0</v>
      </c>
      <c r="M28" s="262" t="n">
        <f aca="true" t="array" ref="M28:M28">IF(AUTOEVENTO="Manual",ROUND(SUMPRODUCT((CÁLCULO!$M$15:$M$21=EVENTOS!$C28)*(OFFSET(CÁLCULO!$AA$15:$AA$21,0,M$13))),2),0)</f>
        <v>0</v>
      </c>
      <c r="N28" s="262" t="n">
        <f aca="true" t="array" ref="N28:N28">IF(AUTOEVENTO="Manual",ROUND(SUMPRODUCT((CÁLCULO!$M$15:$M$21=EVENTOS!$C28)*(OFFSET(CÁLCULO!$AA$15:$AA$21,0,N$13))),2),0)</f>
        <v>0</v>
      </c>
      <c r="O28" s="262" t="n">
        <f aca="true" t="array" ref="O28:O28">IF(AUTOEVENTO="Manual",ROUND(SUMPRODUCT((CÁLCULO!$M$15:$M$21=EVENTOS!$C28)*(OFFSET(CÁLCULO!$AA$15:$AA$21,0,O$13))),2),0)</f>
        <v>0</v>
      </c>
      <c r="P28" s="262" t="n">
        <f aca="true" t="array" ref="P28:P28">IF(AUTOEVENTO="Manual",ROUND(SUMPRODUCT((CÁLCULO!$M$15:$M$21=EVENTOS!$C28)*(OFFSET(CÁLCULO!$AA$15:$AA$21,0,P$13))),2),0)</f>
        <v>0</v>
      </c>
      <c r="Q28" s="262" t="n">
        <f aca="true" t="array" ref="Q28:Q28">IF(AUTOEVENTO="Manual",ROUND(SUMPRODUCT((CÁLCULO!$M$15:$M$21=EVENTOS!$C28)*(OFFSET(CÁLCULO!$AA$15:$AA$21,0,Q$13))),2),0)</f>
        <v>0</v>
      </c>
      <c r="R28" s="262" t="n">
        <f aca="true" t="array" ref="R28:R28">IF(AUTOEVENTO="Manual",ROUND(SUMPRODUCT((CÁLCULO!$M$15:$M$21=EVENTOS!$C28)*(OFFSET(CÁLCULO!$AA$15:$AA$21,0,R$13))),2),0)</f>
        <v>0</v>
      </c>
      <c r="S28" s="262" t="n">
        <f aca="true" t="array" ref="S28:S28">IF(AUTOEVENTO="Manual",ROUND(SUMPRODUCT((CÁLCULO!$M$15:$M$21=EVENTOS!$C28)*(OFFSET(CÁLCULO!$AA$15:$AA$21,0,S$13))),2),0)</f>
        <v>0</v>
      </c>
      <c r="T28" s="262" t="n">
        <f aca="true" t="array" ref="T28:T28">IF(AUTOEVENTO="Manual",ROUND(SUMPRODUCT((CÁLCULO!$M$15:$M$21=EVENTOS!$C28)*(OFFSET(CÁLCULO!$AA$15:$AA$21,0,T$13))),2),0)</f>
        <v>0</v>
      </c>
      <c r="U28" s="262" t="n">
        <f aca="true" t="array" ref="U28:U28">IF(AUTOEVENTO="Manual",ROUND(SUMPRODUCT((CÁLCULO!$M$15:$M$21=EVENTOS!$C28)*(OFFSET(CÁLCULO!$AA$15:$AA$21,0,U$13))),2),0)</f>
        <v>0</v>
      </c>
      <c r="V28" s="262" t="n">
        <f aca="true" t="array" ref="V28:V28">IF(AUTOEVENTO="Manual",ROUND(SUMPRODUCT((CÁLCULO!$M$15:$M$21=EVENTOS!$C28)*(OFFSET(CÁLCULO!$AA$15:$AA$21,0,V$13))),2),0)</f>
        <v>0</v>
      </c>
      <c r="W28" s="262" t="n">
        <f aca="true" t="array" ref="W28:W28">IF(AUTOEVENTO="Manual",ROUND(SUMPRODUCT((CÁLCULO!$M$15:$M$21=EVENTOS!$C28)*(OFFSET(CÁLCULO!$AA$15:$AA$21,0,W$13))),2),0)</f>
        <v>0</v>
      </c>
      <c r="X28" s="262" t="n">
        <f aca="true" t="array" ref="X28:X28">IF(AUTOEVENTO="Manual",ROUND(SUMPRODUCT((CÁLCULO!$M$15:$M$21=EVENTOS!$C28)*(OFFSET(CÁLCULO!$AA$15:$AA$21,0,X$13))),2),0)</f>
        <v>0</v>
      </c>
      <c r="Y28" s="262" t="n">
        <f aca="true" t="array" ref="Y28:Y28">IF(AUTOEVENTO="Manual",ROUND(SUMPRODUCT((CÁLCULO!$M$15:$M$21=EVENTOS!$C28)*(OFFSET(CÁLCULO!$AA$15:$AA$21,0,Y$13))),2),0)</f>
        <v>0</v>
      </c>
    </row>
    <row r="29" customFormat="false" ht="12.75" hidden="false" customHeight="false" outlineLevel="0" collapsed="false">
      <c r="A29" s="177" t="str">
        <f aca="false">IF(D29="","","F")</f>
        <v/>
      </c>
      <c r="B29" s="0" t="str">
        <f aca="false">IF(OR(C29=" ",D29=""),"",CONCATENATE(C29,". ",D29))</f>
        <v/>
      </c>
      <c r="C29" s="260" t="str">
        <f aca="true" t="array" ref="C29:C29">IF(OR(ROW(C29)=ROW(EVENTOS.firstrow)+1,AND(OFFSET(C29,-1,0)&lt;&gt;" ",OFFSET(C29,-1,1)&lt;&gt;"")),OFFSET(C29,-1,0)+1," ")</f>
        <v> </v>
      </c>
      <c r="D29" s="261"/>
      <c r="E29" s="262" t="n">
        <f aca="true" t="array" ref="E29:E29">IF(AUTOEVENTO="Manual",ROUND(SUMPRODUCT((CÁLCULO!$M$15:$M$21=EVENTOS!$C29)*(OFFSET(CÁLCULO!$AA$15:$AA$21,0,E$13))),2),0)</f>
        <v>0</v>
      </c>
      <c r="F29" s="263" t="n">
        <f aca="true">IF(AUTOEVENTO="Manual",ROUND(SUMPRODUCT((CÁLCULO!$M$15:$M$21=EVENTOS!$C29)*(OFFSET(CÁLCULO!$AA$15,0,1):OFFSET(CÁLCULO!$AL$21,0,-1))),2),0)</f>
        <v>0</v>
      </c>
      <c r="G29" s="264" t="str">
        <f aca="false">IF(AND(D29=0,F29&gt;0),"NOME",
 IF(AND(D29&lt;&gt;0,$F$14&gt;0,F29=0),"VALOR",
 IF(AND(Import.TipoArredondamento="TransfereGOV",$A29="F",LEN(D29)&gt;100),"Nome &gt;100","")))</f>
        <v/>
      </c>
      <c r="H29" s="262" t="n">
        <f aca="true" t="array" ref="H29:H29">IF(AUTOEVENTO="Manual",ROUND(SUMPRODUCT((CÁLCULO!$M$15:$M$21=EVENTOS!$C29)*(OFFSET(CÁLCULO!$AA$15:$AA$21,0,H$13))),2),0)</f>
        <v>0</v>
      </c>
      <c r="I29" s="262" t="n">
        <f aca="true" t="array" ref="I29:I29">IF(AUTOEVENTO="Manual",ROUND(SUMPRODUCT((CÁLCULO!$M$15:$M$21=EVENTOS!$C29)*(OFFSET(CÁLCULO!$AA$15:$AA$21,0,I$13))),2),0)</f>
        <v>0</v>
      </c>
      <c r="J29" s="262" t="n">
        <f aca="true" t="array" ref="J29:J29">IF(AUTOEVENTO="Manual",ROUND(SUMPRODUCT((CÁLCULO!$M$15:$M$21=EVENTOS!$C29)*(OFFSET(CÁLCULO!$AA$15:$AA$21,0,J$13))),2),0)</f>
        <v>0</v>
      </c>
      <c r="K29" s="262" t="n">
        <f aca="true" t="array" ref="K29:K29">IF(AUTOEVENTO="Manual",ROUND(SUMPRODUCT((CÁLCULO!$M$15:$M$21=EVENTOS!$C29)*(OFFSET(CÁLCULO!$AA$15:$AA$21,0,K$13))),2),0)</f>
        <v>0</v>
      </c>
      <c r="L29" s="262" t="n">
        <f aca="true" t="array" ref="L29:L29">IF(AUTOEVENTO="Manual",ROUND(SUMPRODUCT((CÁLCULO!$M$15:$M$21=EVENTOS!$C29)*(OFFSET(CÁLCULO!$AA$15:$AA$21,0,L$13))),2),0)</f>
        <v>0</v>
      </c>
      <c r="M29" s="262" t="n">
        <f aca="true" t="array" ref="M29:M29">IF(AUTOEVENTO="Manual",ROUND(SUMPRODUCT((CÁLCULO!$M$15:$M$21=EVENTOS!$C29)*(OFFSET(CÁLCULO!$AA$15:$AA$21,0,M$13))),2),0)</f>
        <v>0</v>
      </c>
      <c r="N29" s="262" t="n">
        <f aca="true" t="array" ref="N29:N29">IF(AUTOEVENTO="Manual",ROUND(SUMPRODUCT((CÁLCULO!$M$15:$M$21=EVENTOS!$C29)*(OFFSET(CÁLCULO!$AA$15:$AA$21,0,N$13))),2),0)</f>
        <v>0</v>
      </c>
      <c r="O29" s="262" t="n">
        <f aca="true" t="array" ref="O29:O29">IF(AUTOEVENTO="Manual",ROUND(SUMPRODUCT((CÁLCULO!$M$15:$M$21=EVENTOS!$C29)*(OFFSET(CÁLCULO!$AA$15:$AA$21,0,O$13))),2),0)</f>
        <v>0</v>
      </c>
      <c r="P29" s="262" t="n">
        <f aca="true" t="array" ref="P29:P29">IF(AUTOEVENTO="Manual",ROUND(SUMPRODUCT((CÁLCULO!$M$15:$M$21=EVENTOS!$C29)*(OFFSET(CÁLCULO!$AA$15:$AA$21,0,P$13))),2),0)</f>
        <v>0</v>
      </c>
      <c r="Q29" s="262" t="n">
        <f aca="true" t="array" ref="Q29:Q29">IF(AUTOEVENTO="Manual",ROUND(SUMPRODUCT((CÁLCULO!$M$15:$M$21=EVENTOS!$C29)*(OFFSET(CÁLCULO!$AA$15:$AA$21,0,Q$13))),2),0)</f>
        <v>0</v>
      </c>
      <c r="R29" s="262" t="n">
        <f aca="true" t="array" ref="R29:R29">IF(AUTOEVENTO="Manual",ROUND(SUMPRODUCT((CÁLCULO!$M$15:$M$21=EVENTOS!$C29)*(OFFSET(CÁLCULO!$AA$15:$AA$21,0,R$13))),2),0)</f>
        <v>0</v>
      </c>
      <c r="S29" s="262" t="n">
        <f aca="true" t="array" ref="S29:S29">IF(AUTOEVENTO="Manual",ROUND(SUMPRODUCT((CÁLCULO!$M$15:$M$21=EVENTOS!$C29)*(OFFSET(CÁLCULO!$AA$15:$AA$21,0,S$13))),2),0)</f>
        <v>0</v>
      </c>
      <c r="T29" s="262" t="n">
        <f aca="true" t="array" ref="T29:T29">IF(AUTOEVENTO="Manual",ROUND(SUMPRODUCT((CÁLCULO!$M$15:$M$21=EVENTOS!$C29)*(OFFSET(CÁLCULO!$AA$15:$AA$21,0,T$13))),2),0)</f>
        <v>0</v>
      </c>
      <c r="U29" s="262" t="n">
        <f aca="true" t="array" ref="U29:U29">IF(AUTOEVENTO="Manual",ROUND(SUMPRODUCT((CÁLCULO!$M$15:$M$21=EVENTOS!$C29)*(OFFSET(CÁLCULO!$AA$15:$AA$21,0,U$13))),2),0)</f>
        <v>0</v>
      </c>
      <c r="V29" s="262" t="n">
        <f aca="true" t="array" ref="V29:V29">IF(AUTOEVENTO="Manual",ROUND(SUMPRODUCT((CÁLCULO!$M$15:$M$21=EVENTOS!$C29)*(OFFSET(CÁLCULO!$AA$15:$AA$21,0,V$13))),2),0)</f>
        <v>0</v>
      </c>
      <c r="W29" s="262" t="n">
        <f aca="true" t="array" ref="W29:W29">IF(AUTOEVENTO="Manual",ROUND(SUMPRODUCT((CÁLCULO!$M$15:$M$21=EVENTOS!$C29)*(OFFSET(CÁLCULO!$AA$15:$AA$21,0,W$13))),2),0)</f>
        <v>0</v>
      </c>
      <c r="X29" s="262" t="n">
        <f aca="true" t="array" ref="X29:X29">IF(AUTOEVENTO="Manual",ROUND(SUMPRODUCT((CÁLCULO!$M$15:$M$21=EVENTOS!$C29)*(OFFSET(CÁLCULO!$AA$15:$AA$21,0,X$13))),2),0)</f>
        <v>0</v>
      </c>
      <c r="Y29" s="262" t="n">
        <f aca="true" t="array" ref="Y29:Y29">IF(AUTOEVENTO="Manual",ROUND(SUMPRODUCT((CÁLCULO!$M$15:$M$21=EVENTOS!$C29)*(OFFSET(CÁLCULO!$AA$15:$AA$21,0,Y$13))),2),0)</f>
        <v>0</v>
      </c>
    </row>
    <row r="30" customFormat="false" ht="12.75" hidden="false" customHeight="false" outlineLevel="0" collapsed="false">
      <c r="A30" s="177" t="str">
        <f aca="false">IF(D30="","","F")</f>
        <v/>
      </c>
      <c r="B30" s="0" t="str">
        <f aca="false">IF(OR(C30=" ",D30=""),"",CONCATENATE(C30,". ",D30))</f>
        <v/>
      </c>
      <c r="C30" s="260" t="str">
        <f aca="true" t="array" ref="C30:C30">IF(OR(ROW(C30)=ROW(EVENTOS.firstrow)+1,AND(OFFSET(C30,-1,0)&lt;&gt;" ",OFFSET(C30,-1,1)&lt;&gt;"")),OFFSET(C30,-1,0)+1," ")</f>
        <v> </v>
      </c>
      <c r="D30" s="261"/>
      <c r="E30" s="262" t="n">
        <f aca="true" t="array" ref="E30:E30">IF(AUTOEVENTO="Manual",ROUND(SUMPRODUCT((CÁLCULO!$M$15:$M$21=EVENTOS!$C30)*(OFFSET(CÁLCULO!$AA$15:$AA$21,0,E$13))),2),0)</f>
        <v>0</v>
      </c>
      <c r="F30" s="263" t="n">
        <f aca="true">IF(AUTOEVENTO="Manual",ROUND(SUMPRODUCT((CÁLCULO!$M$15:$M$21=EVENTOS!$C30)*(OFFSET(CÁLCULO!$AA$15,0,1):OFFSET(CÁLCULO!$AL$21,0,-1))),2),0)</f>
        <v>0</v>
      </c>
      <c r="G30" s="264" t="str">
        <f aca="false">IF(AND(D30=0,F30&gt;0),"NOME",
 IF(AND(D30&lt;&gt;0,$F$14&gt;0,F30=0),"VALOR",
 IF(AND(Import.TipoArredondamento="TransfereGOV",$A30="F",LEN(D30)&gt;100),"Nome &gt;100","")))</f>
        <v/>
      </c>
      <c r="H30" s="262" t="n">
        <f aca="true" t="array" ref="H30:H30">IF(AUTOEVENTO="Manual",ROUND(SUMPRODUCT((CÁLCULO!$M$15:$M$21=EVENTOS!$C30)*(OFFSET(CÁLCULO!$AA$15:$AA$21,0,H$13))),2),0)</f>
        <v>0</v>
      </c>
      <c r="I30" s="262" t="n">
        <f aca="true" t="array" ref="I30:I30">IF(AUTOEVENTO="Manual",ROUND(SUMPRODUCT((CÁLCULO!$M$15:$M$21=EVENTOS!$C30)*(OFFSET(CÁLCULO!$AA$15:$AA$21,0,I$13))),2),0)</f>
        <v>0</v>
      </c>
      <c r="J30" s="262" t="n">
        <f aca="true" t="array" ref="J30:J30">IF(AUTOEVENTO="Manual",ROUND(SUMPRODUCT((CÁLCULO!$M$15:$M$21=EVENTOS!$C30)*(OFFSET(CÁLCULO!$AA$15:$AA$21,0,J$13))),2),0)</f>
        <v>0</v>
      </c>
      <c r="K30" s="262" t="n">
        <f aca="true" t="array" ref="K30:K30">IF(AUTOEVENTO="Manual",ROUND(SUMPRODUCT((CÁLCULO!$M$15:$M$21=EVENTOS!$C30)*(OFFSET(CÁLCULO!$AA$15:$AA$21,0,K$13))),2),0)</f>
        <v>0</v>
      </c>
      <c r="L30" s="262" t="n">
        <f aca="true" t="array" ref="L30:L30">IF(AUTOEVENTO="Manual",ROUND(SUMPRODUCT((CÁLCULO!$M$15:$M$21=EVENTOS!$C30)*(OFFSET(CÁLCULO!$AA$15:$AA$21,0,L$13))),2),0)</f>
        <v>0</v>
      </c>
      <c r="M30" s="262" t="n">
        <f aca="true" t="array" ref="M30:M30">IF(AUTOEVENTO="Manual",ROUND(SUMPRODUCT((CÁLCULO!$M$15:$M$21=EVENTOS!$C30)*(OFFSET(CÁLCULO!$AA$15:$AA$21,0,M$13))),2),0)</f>
        <v>0</v>
      </c>
      <c r="N30" s="262" t="n">
        <f aca="true" t="array" ref="N30:N30">IF(AUTOEVENTO="Manual",ROUND(SUMPRODUCT((CÁLCULO!$M$15:$M$21=EVENTOS!$C30)*(OFFSET(CÁLCULO!$AA$15:$AA$21,0,N$13))),2),0)</f>
        <v>0</v>
      </c>
      <c r="O30" s="262" t="n">
        <f aca="true" t="array" ref="O30:O30">IF(AUTOEVENTO="Manual",ROUND(SUMPRODUCT((CÁLCULO!$M$15:$M$21=EVENTOS!$C30)*(OFFSET(CÁLCULO!$AA$15:$AA$21,0,O$13))),2),0)</f>
        <v>0</v>
      </c>
      <c r="P30" s="262" t="n">
        <f aca="true" t="array" ref="P30:P30">IF(AUTOEVENTO="Manual",ROUND(SUMPRODUCT((CÁLCULO!$M$15:$M$21=EVENTOS!$C30)*(OFFSET(CÁLCULO!$AA$15:$AA$21,0,P$13))),2),0)</f>
        <v>0</v>
      </c>
      <c r="Q30" s="262" t="n">
        <f aca="true" t="array" ref="Q30:Q30">IF(AUTOEVENTO="Manual",ROUND(SUMPRODUCT((CÁLCULO!$M$15:$M$21=EVENTOS!$C30)*(OFFSET(CÁLCULO!$AA$15:$AA$21,0,Q$13))),2),0)</f>
        <v>0</v>
      </c>
      <c r="R30" s="262" t="n">
        <f aca="true" t="array" ref="R30:R30">IF(AUTOEVENTO="Manual",ROUND(SUMPRODUCT((CÁLCULO!$M$15:$M$21=EVENTOS!$C30)*(OFFSET(CÁLCULO!$AA$15:$AA$21,0,R$13))),2),0)</f>
        <v>0</v>
      </c>
      <c r="S30" s="262" t="n">
        <f aca="true" t="array" ref="S30:S30">IF(AUTOEVENTO="Manual",ROUND(SUMPRODUCT((CÁLCULO!$M$15:$M$21=EVENTOS!$C30)*(OFFSET(CÁLCULO!$AA$15:$AA$21,0,S$13))),2),0)</f>
        <v>0</v>
      </c>
      <c r="T30" s="262" t="n">
        <f aca="true" t="array" ref="T30:T30">IF(AUTOEVENTO="Manual",ROUND(SUMPRODUCT((CÁLCULO!$M$15:$M$21=EVENTOS!$C30)*(OFFSET(CÁLCULO!$AA$15:$AA$21,0,T$13))),2),0)</f>
        <v>0</v>
      </c>
      <c r="U30" s="262" t="n">
        <f aca="true" t="array" ref="U30:U30">IF(AUTOEVENTO="Manual",ROUND(SUMPRODUCT((CÁLCULO!$M$15:$M$21=EVENTOS!$C30)*(OFFSET(CÁLCULO!$AA$15:$AA$21,0,U$13))),2),0)</f>
        <v>0</v>
      </c>
      <c r="V30" s="262" t="n">
        <f aca="true" t="array" ref="V30:V30">IF(AUTOEVENTO="Manual",ROUND(SUMPRODUCT((CÁLCULO!$M$15:$M$21=EVENTOS!$C30)*(OFFSET(CÁLCULO!$AA$15:$AA$21,0,V$13))),2),0)</f>
        <v>0</v>
      </c>
      <c r="W30" s="262" t="n">
        <f aca="true" t="array" ref="W30:W30">IF(AUTOEVENTO="Manual",ROUND(SUMPRODUCT((CÁLCULO!$M$15:$M$21=EVENTOS!$C30)*(OFFSET(CÁLCULO!$AA$15:$AA$21,0,W$13))),2),0)</f>
        <v>0</v>
      </c>
      <c r="X30" s="262" t="n">
        <f aca="true" t="array" ref="X30:X30">IF(AUTOEVENTO="Manual",ROUND(SUMPRODUCT((CÁLCULO!$M$15:$M$21=EVENTOS!$C30)*(OFFSET(CÁLCULO!$AA$15:$AA$21,0,X$13))),2),0)</f>
        <v>0</v>
      </c>
      <c r="Y30" s="262" t="n">
        <f aca="true" t="array" ref="Y30:Y30">IF(AUTOEVENTO="Manual",ROUND(SUMPRODUCT((CÁLCULO!$M$15:$M$21=EVENTOS!$C30)*(OFFSET(CÁLCULO!$AA$15:$AA$21,0,Y$13))),2),0)</f>
        <v>0</v>
      </c>
    </row>
    <row r="31" customFormat="false" ht="12.75" hidden="false" customHeight="false" outlineLevel="0" collapsed="false">
      <c r="A31" s="177" t="str">
        <f aca="false">IF(D31="","","F")</f>
        <v/>
      </c>
      <c r="B31" s="0" t="str">
        <f aca="false">IF(OR(C31=" ",D31=""),"",CONCATENATE(C31,". ",D31))</f>
        <v/>
      </c>
      <c r="C31" s="260" t="str">
        <f aca="true" t="array" ref="C31:C31">IF(OR(ROW(C31)=ROW(EVENTOS.firstrow)+1,AND(OFFSET(C31,-1,0)&lt;&gt;" ",OFFSET(C31,-1,1)&lt;&gt;"")),OFFSET(C31,-1,0)+1," ")</f>
        <v> </v>
      </c>
      <c r="D31" s="261"/>
      <c r="E31" s="262" t="n">
        <f aca="true" t="array" ref="E31:E31">IF(AUTOEVENTO="Manual",ROUND(SUMPRODUCT((CÁLCULO!$M$15:$M$21=EVENTOS!$C31)*(OFFSET(CÁLCULO!$AA$15:$AA$21,0,E$13))),2),0)</f>
        <v>0</v>
      </c>
      <c r="F31" s="263" t="n">
        <f aca="true">IF(AUTOEVENTO="Manual",ROUND(SUMPRODUCT((CÁLCULO!$M$15:$M$21=EVENTOS!$C31)*(OFFSET(CÁLCULO!$AA$15,0,1):OFFSET(CÁLCULO!$AL$21,0,-1))),2),0)</f>
        <v>0</v>
      </c>
      <c r="G31" s="264" t="str">
        <f aca="false">IF(AND(D31=0,F31&gt;0),"NOME",
 IF(AND(D31&lt;&gt;0,$F$14&gt;0,F31=0),"VALOR",
 IF(AND(Import.TipoArredondamento="TransfereGOV",$A31="F",LEN(D31)&gt;100),"Nome &gt;100","")))</f>
        <v/>
      </c>
      <c r="H31" s="262" t="n">
        <f aca="true" t="array" ref="H31:H31">IF(AUTOEVENTO="Manual",ROUND(SUMPRODUCT((CÁLCULO!$M$15:$M$21=EVENTOS!$C31)*(OFFSET(CÁLCULO!$AA$15:$AA$21,0,H$13))),2),0)</f>
        <v>0</v>
      </c>
      <c r="I31" s="262" t="n">
        <f aca="true" t="array" ref="I31:I31">IF(AUTOEVENTO="Manual",ROUND(SUMPRODUCT((CÁLCULO!$M$15:$M$21=EVENTOS!$C31)*(OFFSET(CÁLCULO!$AA$15:$AA$21,0,I$13))),2),0)</f>
        <v>0</v>
      </c>
      <c r="J31" s="262" t="n">
        <f aca="true" t="array" ref="J31:J31">IF(AUTOEVENTO="Manual",ROUND(SUMPRODUCT((CÁLCULO!$M$15:$M$21=EVENTOS!$C31)*(OFFSET(CÁLCULO!$AA$15:$AA$21,0,J$13))),2),0)</f>
        <v>0</v>
      </c>
      <c r="K31" s="262" t="n">
        <f aca="true" t="array" ref="K31:K31">IF(AUTOEVENTO="Manual",ROUND(SUMPRODUCT((CÁLCULO!$M$15:$M$21=EVENTOS!$C31)*(OFFSET(CÁLCULO!$AA$15:$AA$21,0,K$13))),2),0)</f>
        <v>0</v>
      </c>
      <c r="L31" s="262" t="n">
        <f aca="true" t="array" ref="L31:L31">IF(AUTOEVENTO="Manual",ROUND(SUMPRODUCT((CÁLCULO!$M$15:$M$21=EVENTOS!$C31)*(OFFSET(CÁLCULO!$AA$15:$AA$21,0,L$13))),2),0)</f>
        <v>0</v>
      </c>
      <c r="M31" s="262" t="n">
        <f aca="true" t="array" ref="M31:M31">IF(AUTOEVENTO="Manual",ROUND(SUMPRODUCT((CÁLCULO!$M$15:$M$21=EVENTOS!$C31)*(OFFSET(CÁLCULO!$AA$15:$AA$21,0,M$13))),2),0)</f>
        <v>0</v>
      </c>
      <c r="N31" s="262" t="n">
        <f aca="true" t="array" ref="N31:N31">IF(AUTOEVENTO="Manual",ROUND(SUMPRODUCT((CÁLCULO!$M$15:$M$21=EVENTOS!$C31)*(OFFSET(CÁLCULO!$AA$15:$AA$21,0,N$13))),2),0)</f>
        <v>0</v>
      </c>
      <c r="O31" s="262" t="n">
        <f aca="true" t="array" ref="O31:O31">IF(AUTOEVENTO="Manual",ROUND(SUMPRODUCT((CÁLCULO!$M$15:$M$21=EVENTOS!$C31)*(OFFSET(CÁLCULO!$AA$15:$AA$21,0,O$13))),2),0)</f>
        <v>0</v>
      </c>
      <c r="P31" s="262" t="n">
        <f aca="true" t="array" ref="P31:P31">IF(AUTOEVENTO="Manual",ROUND(SUMPRODUCT((CÁLCULO!$M$15:$M$21=EVENTOS!$C31)*(OFFSET(CÁLCULO!$AA$15:$AA$21,0,P$13))),2),0)</f>
        <v>0</v>
      </c>
      <c r="Q31" s="262" t="n">
        <f aca="true" t="array" ref="Q31:Q31">IF(AUTOEVENTO="Manual",ROUND(SUMPRODUCT((CÁLCULO!$M$15:$M$21=EVENTOS!$C31)*(OFFSET(CÁLCULO!$AA$15:$AA$21,0,Q$13))),2),0)</f>
        <v>0</v>
      </c>
      <c r="R31" s="262" t="n">
        <f aca="true" t="array" ref="R31:R31">IF(AUTOEVENTO="Manual",ROUND(SUMPRODUCT((CÁLCULO!$M$15:$M$21=EVENTOS!$C31)*(OFFSET(CÁLCULO!$AA$15:$AA$21,0,R$13))),2),0)</f>
        <v>0</v>
      </c>
      <c r="S31" s="262" t="n">
        <f aca="true" t="array" ref="S31:S31">IF(AUTOEVENTO="Manual",ROUND(SUMPRODUCT((CÁLCULO!$M$15:$M$21=EVENTOS!$C31)*(OFFSET(CÁLCULO!$AA$15:$AA$21,0,S$13))),2),0)</f>
        <v>0</v>
      </c>
      <c r="T31" s="262" t="n">
        <f aca="true" t="array" ref="T31:T31">IF(AUTOEVENTO="Manual",ROUND(SUMPRODUCT((CÁLCULO!$M$15:$M$21=EVENTOS!$C31)*(OFFSET(CÁLCULO!$AA$15:$AA$21,0,T$13))),2),0)</f>
        <v>0</v>
      </c>
      <c r="U31" s="262" t="n">
        <f aca="true" t="array" ref="U31:U31">IF(AUTOEVENTO="Manual",ROUND(SUMPRODUCT((CÁLCULO!$M$15:$M$21=EVENTOS!$C31)*(OFFSET(CÁLCULO!$AA$15:$AA$21,0,U$13))),2),0)</f>
        <v>0</v>
      </c>
      <c r="V31" s="262" t="n">
        <f aca="true" t="array" ref="V31:V31">IF(AUTOEVENTO="Manual",ROUND(SUMPRODUCT((CÁLCULO!$M$15:$M$21=EVENTOS!$C31)*(OFFSET(CÁLCULO!$AA$15:$AA$21,0,V$13))),2),0)</f>
        <v>0</v>
      </c>
      <c r="W31" s="262" t="n">
        <f aca="true" t="array" ref="W31:W31">IF(AUTOEVENTO="Manual",ROUND(SUMPRODUCT((CÁLCULO!$M$15:$M$21=EVENTOS!$C31)*(OFFSET(CÁLCULO!$AA$15:$AA$21,0,W$13))),2),0)</f>
        <v>0</v>
      </c>
      <c r="X31" s="262" t="n">
        <f aca="true" t="array" ref="X31:X31">IF(AUTOEVENTO="Manual",ROUND(SUMPRODUCT((CÁLCULO!$M$15:$M$21=EVENTOS!$C31)*(OFFSET(CÁLCULO!$AA$15:$AA$21,0,X$13))),2),0)</f>
        <v>0</v>
      </c>
      <c r="Y31" s="262" t="n">
        <f aca="true" t="array" ref="Y31:Y31">IF(AUTOEVENTO="Manual",ROUND(SUMPRODUCT((CÁLCULO!$M$15:$M$21=EVENTOS!$C31)*(OFFSET(CÁLCULO!$AA$15:$AA$21,0,Y$13))),2),0)</f>
        <v>0</v>
      </c>
    </row>
    <row r="32" customFormat="false" ht="12.75" hidden="false" customHeight="false" outlineLevel="0" collapsed="false">
      <c r="A32" s="177" t="str">
        <f aca="false">IF(D32="","","F")</f>
        <v/>
      </c>
      <c r="B32" s="0" t="str">
        <f aca="false">IF(OR(C32=" ",D32=""),"",CONCATENATE(C32,". ",D32))</f>
        <v/>
      </c>
      <c r="C32" s="260" t="str">
        <f aca="true" t="array" ref="C32:C32">IF(OR(ROW(C32)=ROW(EVENTOS.firstrow)+1,AND(OFFSET(C32,-1,0)&lt;&gt;" ",OFFSET(C32,-1,1)&lt;&gt;"")),OFFSET(C32,-1,0)+1," ")</f>
        <v> </v>
      </c>
      <c r="D32" s="261"/>
      <c r="E32" s="262" t="n">
        <f aca="true" t="array" ref="E32:E32">IF(AUTOEVENTO="Manual",ROUND(SUMPRODUCT((CÁLCULO!$M$15:$M$21=EVENTOS!$C32)*(OFFSET(CÁLCULO!$AA$15:$AA$21,0,E$13))),2),0)</f>
        <v>0</v>
      </c>
      <c r="F32" s="263" t="n">
        <f aca="true">IF(AUTOEVENTO="Manual",ROUND(SUMPRODUCT((CÁLCULO!$M$15:$M$21=EVENTOS!$C32)*(OFFSET(CÁLCULO!$AA$15,0,1):OFFSET(CÁLCULO!$AL$21,0,-1))),2),0)</f>
        <v>0</v>
      </c>
      <c r="G32" s="264" t="str">
        <f aca="false">IF(AND(D32=0,F32&gt;0),"NOME",
 IF(AND(D32&lt;&gt;0,$F$14&gt;0,F32=0),"VALOR",
 IF(AND(Import.TipoArredondamento="TransfereGOV",$A32="F",LEN(D32)&gt;100),"Nome &gt;100","")))</f>
        <v/>
      </c>
      <c r="H32" s="262" t="n">
        <f aca="true" t="array" ref="H32:H32">IF(AUTOEVENTO="Manual",ROUND(SUMPRODUCT((CÁLCULO!$M$15:$M$21=EVENTOS!$C32)*(OFFSET(CÁLCULO!$AA$15:$AA$21,0,H$13))),2),0)</f>
        <v>0</v>
      </c>
      <c r="I32" s="262" t="n">
        <f aca="true" t="array" ref="I32:I32">IF(AUTOEVENTO="Manual",ROUND(SUMPRODUCT((CÁLCULO!$M$15:$M$21=EVENTOS!$C32)*(OFFSET(CÁLCULO!$AA$15:$AA$21,0,I$13))),2),0)</f>
        <v>0</v>
      </c>
      <c r="J32" s="262" t="n">
        <f aca="true" t="array" ref="J32:J32">IF(AUTOEVENTO="Manual",ROUND(SUMPRODUCT((CÁLCULO!$M$15:$M$21=EVENTOS!$C32)*(OFFSET(CÁLCULO!$AA$15:$AA$21,0,J$13))),2),0)</f>
        <v>0</v>
      </c>
      <c r="K32" s="262" t="n">
        <f aca="true" t="array" ref="K32:K32">IF(AUTOEVENTO="Manual",ROUND(SUMPRODUCT((CÁLCULO!$M$15:$M$21=EVENTOS!$C32)*(OFFSET(CÁLCULO!$AA$15:$AA$21,0,K$13))),2),0)</f>
        <v>0</v>
      </c>
      <c r="L32" s="262" t="n">
        <f aca="true" t="array" ref="L32:L32">IF(AUTOEVENTO="Manual",ROUND(SUMPRODUCT((CÁLCULO!$M$15:$M$21=EVENTOS!$C32)*(OFFSET(CÁLCULO!$AA$15:$AA$21,0,L$13))),2),0)</f>
        <v>0</v>
      </c>
      <c r="M32" s="262" t="n">
        <f aca="true" t="array" ref="M32:M32">IF(AUTOEVENTO="Manual",ROUND(SUMPRODUCT((CÁLCULO!$M$15:$M$21=EVENTOS!$C32)*(OFFSET(CÁLCULO!$AA$15:$AA$21,0,M$13))),2),0)</f>
        <v>0</v>
      </c>
      <c r="N32" s="262" t="n">
        <f aca="true" t="array" ref="N32:N32">IF(AUTOEVENTO="Manual",ROUND(SUMPRODUCT((CÁLCULO!$M$15:$M$21=EVENTOS!$C32)*(OFFSET(CÁLCULO!$AA$15:$AA$21,0,N$13))),2),0)</f>
        <v>0</v>
      </c>
      <c r="O32" s="262" t="n">
        <f aca="true" t="array" ref="O32:O32">IF(AUTOEVENTO="Manual",ROUND(SUMPRODUCT((CÁLCULO!$M$15:$M$21=EVENTOS!$C32)*(OFFSET(CÁLCULO!$AA$15:$AA$21,0,O$13))),2),0)</f>
        <v>0</v>
      </c>
      <c r="P32" s="262" t="n">
        <f aca="true" t="array" ref="P32:P32">IF(AUTOEVENTO="Manual",ROUND(SUMPRODUCT((CÁLCULO!$M$15:$M$21=EVENTOS!$C32)*(OFFSET(CÁLCULO!$AA$15:$AA$21,0,P$13))),2),0)</f>
        <v>0</v>
      </c>
      <c r="Q32" s="262" t="n">
        <f aca="true" t="array" ref="Q32:Q32">IF(AUTOEVENTO="Manual",ROUND(SUMPRODUCT((CÁLCULO!$M$15:$M$21=EVENTOS!$C32)*(OFFSET(CÁLCULO!$AA$15:$AA$21,0,Q$13))),2),0)</f>
        <v>0</v>
      </c>
      <c r="R32" s="262" t="n">
        <f aca="true" t="array" ref="R32:R32">IF(AUTOEVENTO="Manual",ROUND(SUMPRODUCT((CÁLCULO!$M$15:$M$21=EVENTOS!$C32)*(OFFSET(CÁLCULO!$AA$15:$AA$21,0,R$13))),2),0)</f>
        <v>0</v>
      </c>
      <c r="S32" s="262" t="n">
        <f aca="true" t="array" ref="S32:S32">IF(AUTOEVENTO="Manual",ROUND(SUMPRODUCT((CÁLCULO!$M$15:$M$21=EVENTOS!$C32)*(OFFSET(CÁLCULO!$AA$15:$AA$21,0,S$13))),2),0)</f>
        <v>0</v>
      </c>
      <c r="T32" s="262" t="n">
        <f aca="true" t="array" ref="T32:T32">IF(AUTOEVENTO="Manual",ROUND(SUMPRODUCT((CÁLCULO!$M$15:$M$21=EVENTOS!$C32)*(OFFSET(CÁLCULO!$AA$15:$AA$21,0,T$13))),2),0)</f>
        <v>0</v>
      </c>
      <c r="U32" s="262" t="n">
        <f aca="true" t="array" ref="U32:U32">IF(AUTOEVENTO="Manual",ROUND(SUMPRODUCT((CÁLCULO!$M$15:$M$21=EVENTOS!$C32)*(OFFSET(CÁLCULO!$AA$15:$AA$21,0,U$13))),2),0)</f>
        <v>0</v>
      </c>
      <c r="V32" s="262" t="n">
        <f aca="true" t="array" ref="V32:V32">IF(AUTOEVENTO="Manual",ROUND(SUMPRODUCT((CÁLCULO!$M$15:$M$21=EVENTOS!$C32)*(OFFSET(CÁLCULO!$AA$15:$AA$21,0,V$13))),2),0)</f>
        <v>0</v>
      </c>
      <c r="W32" s="262" t="n">
        <f aca="true" t="array" ref="W32:W32">IF(AUTOEVENTO="Manual",ROUND(SUMPRODUCT((CÁLCULO!$M$15:$M$21=EVENTOS!$C32)*(OFFSET(CÁLCULO!$AA$15:$AA$21,0,W$13))),2),0)</f>
        <v>0</v>
      </c>
      <c r="X32" s="262" t="n">
        <f aca="true" t="array" ref="X32:X32">IF(AUTOEVENTO="Manual",ROUND(SUMPRODUCT((CÁLCULO!$M$15:$M$21=EVENTOS!$C32)*(OFFSET(CÁLCULO!$AA$15:$AA$21,0,X$13))),2),0)</f>
        <v>0</v>
      </c>
      <c r="Y32" s="262" t="n">
        <f aca="true" t="array" ref="Y32:Y32">IF(AUTOEVENTO="Manual",ROUND(SUMPRODUCT((CÁLCULO!$M$15:$M$21=EVENTOS!$C32)*(OFFSET(CÁLCULO!$AA$15:$AA$21,0,Y$13))),2),0)</f>
        <v>0</v>
      </c>
    </row>
    <row r="33" customFormat="false" ht="4.5" hidden="false" customHeight="true" outlineLevel="0" collapsed="false">
      <c r="A33" s="177" t="s">
        <v>594</v>
      </c>
      <c r="C33" s="296"/>
      <c r="D33" s="297"/>
      <c r="E33" s="298"/>
      <c r="F33" s="299"/>
      <c r="G33" s="298"/>
      <c r="H33" s="298"/>
      <c r="I33" s="298"/>
      <c r="J33" s="298"/>
      <c r="K33" s="298"/>
      <c r="L33" s="298"/>
      <c r="M33" s="298"/>
      <c r="N33" s="298"/>
      <c r="O33" s="298"/>
      <c r="P33" s="298"/>
      <c r="Q33" s="298"/>
      <c r="R33" s="298"/>
      <c r="S33" s="298"/>
      <c r="T33" s="298"/>
      <c r="U33" s="298"/>
      <c r="V33" s="298"/>
      <c r="W33" s="298"/>
      <c r="X33" s="298"/>
      <c r="Y33" s="298"/>
    </row>
    <row r="34" customFormat="false" ht="12.75" hidden="false" customHeight="false" outlineLevel="0" collapsed="false">
      <c r="A34" s="177" t="s">
        <v>594</v>
      </c>
    </row>
    <row r="35" customFormat="false" ht="12.75" hidden="false" customHeight="false" outlineLevel="0" collapsed="false">
      <c r="A35" s="177" t="s">
        <v>594</v>
      </c>
    </row>
    <row r="36" customFormat="false" ht="13.8" hidden="false" customHeight="false" outlineLevel="0" collapsed="false">
      <c r="A36" s="177" t="s">
        <v>594</v>
      </c>
      <c r="D36" s="300" t="n">
        <f aca="false">Import.Município</f>
        <v>0</v>
      </c>
      <c r="L36" s="256"/>
      <c r="M36" s="46"/>
      <c r="N36" s="46"/>
      <c r="O36" s="46"/>
      <c r="V36" s="256"/>
      <c r="W36" s="46"/>
      <c r="X36" s="46"/>
      <c r="Y36" s="46"/>
    </row>
    <row r="37" customFormat="false" ht="12.75" hidden="false" customHeight="false" outlineLevel="0" collapsed="false">
      <c r="A37" s="177" t="s">
        <v>594</v>
      </c>
      <c r="D37" s="52" t="s">
        <v>753</v>
      </c>
      <c r="H37" s="301"/>
      <c r="I37" s="301"/>
      <c r="J37" s="301"/>
      <c r="L37" s="257" t="s">
        <v>756</v>
      </c>
      <c r="V37" s="257" t="s">
        <v>756</v>
      </c>
    </row>
    <row r="38" customFormat="false" ht="12.75" hidden="false" customHeight="false" outlineLevel="0" collapsed="false">
      <c r="A38" s="177" t="s">
        <v>594</v>
      </c>
      <c r="H38" s="301"/>
      <c r="I38" s="301"/>
      <c r="J38" s="301"/>
      <c r="L38" s="302" t="str">
        <f aca="true" t="array" ref="L38:L40">OFFSET(Import.RespOrçamento,0,-1) &amp; " " &amp; Import.RespOrçamento</f>
        <v>Nome: ANA PAULA MESQUITA CICHOWSI</v>
      </c>
      <c r="V38" s="302" t="str">
        <f aca="true" t="array" ref="V38:V40">OFFSET(Import.RespOrçamento,0,-1) &amp; " " &amp; Import.RespOrçamento</f>
        <v>Nome: ANA PAULA MESQUITA CICHOWSI</v>
      </c>
    </row>
    <row r="39" customFormat="false" ht="12.75" hidden="false" customHeight="false" outlineLevel="0" collapsed="false">
      <c r="A39" s="177" t="s">
        <v>594</v>
      </c>
      <c r="D39" s="303" t="n">
        <f aca="false">DADOS!$C$25</f>
        <v>45991</v>
      </c>
      <c r="L39" s="302" t="str">
        <v>CREA/CAU: RS 207.916</v>
      </c>
      <c r="V39" s="302" t="str">
        <v>CREA/CAU: RS 207.916</v>
      </c>
    </row>
    <row r="40" customFormat="false" ht="12.75" hidden="false" customHeight="false" outlineLevel="0" collapsed="false">
      <c r="A40" s="177" t="s">
        <v>594</v>
      </c>
      <c r="D40" s="52" t="s">
        <v>754</v>
      </c>
      <c r="L40" s="302" t="str">
        <v>ART/RRT: </v>
      </c>
      <c r="V40" s="302" t="str">
        <v>ART/RRT: </v>
      </c>
    </row>
  </sheetData>
  <sheetProtection algorithmName="SHA-512" hashValue="qIR9TzRRQDVDvrWiLu1vu7lEK18KYdGWP/r1JhZUPbK9hmJ/kQC6k4n5GKugHz+ZCTok4P/qArWa1HLKmyfY/A==" saltValue="zBzTsPIuYRIQWilvh5iKQQ==" spinCount="100000" sheet="true" objects="true" scenarios="true"/>
  <autoFilter ref="A13:A40"/>
  <mergeCells count="24">
    <mergeCell ref="F5:M5"/>
    <mergeCell ref="P5:W5"/>
    <mergeCell ref="C8:D8"/>
    <mergeCell ref="E10:E12"/>
    <mergeCell ref="G10:G12"/>
    <mergeCell ref="H10:H12"/>
    <mergeCell ref="I10:I12"/>
    <mergeCell ref="J10:J12"/>
    <mergeCell ref="K10:K12"/>
    <mergeCell ref="L10:L12"/>
    <mergeCell ref="M10:M12"/>
    <mergeCell ref="N10:N12"/>
    <mergeCell ref="O10:O12"/>
    <mergeCell ref="P10:P12"/>
    <mergeCell ref="Q10:Q12"/>
    <mergeCell ref="R10:R12"/>
    <mergeCell ref="S10:S12"/>
    <mergeCell ref="T10:T12"/>
    <mergeCell ref="U10:U12"/>
    <mergeCell ref="V10:V12"/>
    <mergeCell ref="W10:W12"/>
    <mergeCell ref="X10:X12"/>
    <mergeCell ref="Y10:Y12"/>
    <mergeCell ref="C11:D11"/>
  </mergeCells>
  <conditionalFormatting sqref="C10:J10 E11:J11 C12:J12 K10:Y12 C13:Y15 C1:Z1 Z10:Z15 C16:Z33">
    <cfRule type="expression" priority="2" aboveAverage="0" equalAverage="0" bottom="0" percent="0" rank="0" text="" dxfId="43">
      <formula>OR(AUTOEVENTO&lt;&gt;"Manual",ACOMPANHAMENTO="BM",C$10=0,C$13=0,$C1=" ")</formula>
    </cfRule>
  </conditionalFormatting>
  <conditionalFormatting sqref="A15 C15:XFD15">
    <cfRule type="expression" priority="3" aboveAverage="0" equalAverage="0" bottom="0" percent="0" rank="0" text="" dxfId="44">
      <formula>$C$15=0</formula>
    </cfRule>
  </conditionalFormatting>
  <dataValidations count="1">
    <dataValidation allowBlank="true" error="Selecione na lista a forma de definir os agrupadores de eventos." errorStyle="stop" errorTitle="Erro:" operator="between" prompt="Selecione na lista a forma de definir os agrupadores de eventos." promptTitle="Definir Agrupadores de Eventos:" showDropDown="false" showErrorMessage="true" showInputMessage="true" sqref="C8:D8" type="list">
      <formula1>EVENTOS.Lista.Agrupar</formula1>
      <formula2>0</formula2>
    </dataValidation>
  </dataValidations>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G61434"/>
  <sheetViews>
    <sheetView showFormulas="false" showGridLines="false" showRowColHeaders="true" showZeros="true" rightToLeft="false" tabSelected="false" showOutlineSymbols="true" defaultGridColor="true" view="normal" topLeftCell="A1" colorId="64" zoomScale="100" zoomScaleNormal="100" zoomScalePageLayoutView="90" workbookViewId="0">
      <pane xSplit="8" ySplit="15" topLeftCell="P16" activePane="bottomRight" state="frozen"/>
      <selection pane="topLeft" activeCell="A1" activeCellId="0" sqref="A1"/>
      <selection pane="topRight" activeCell="P1" activeCellId="0" sqref="P1"/>
      <selection pane="bottomLeft" activeCell="A16" activeCellId="0" sqref="A16"/>
      <selection pane="bottomRight" activeCell="A1" activeCellId="0" sqref="A1"/>
    </sheetView>
  </sheetViews>
  <sheetFormatPr defaultColWidth="8.6796875" defaultRowHeight="12.8" customHeight="false" zeroHeight="true" outlineLevelRow="0" outlineLevelCol="0"/>
  <cols>
    <col collapsed="false" customWidth="true" hidden="true" outlineLevel="0" max="1" min="1" style="48" width="15.42"/>
    <col collapsed="false" customWidth="true" hidden="true" outlineLevel="0" max="2" min="2" style="48" width="9.14"/>
    <col collapsed="false" customWidth="true" hidden="false" outlineLevel="0" max="3" min="3" style="48" width="3.57"/>
    <col collapsed="false" customWidth="true" hidden="false" outlineLevel="0" max="4" min="4" style="0" width="8.57"/>
    <col collapsed="false" customWidth="true" hidden="false" outlineLevel="0" max="5" min="5" style="0" width="12.57"/>
    <col collapsed="false" customWidth="true" hidden="false" outlineLevel="0" max="6" min="6" style="0" width="65.57"/>
    <col collapsed="false" customWidth="true" hidden="false" outlineLevel="0" max="7" min="7" style="0" width="10.57"/>
    <col collapsed="false" customWidth="true" hidden="false" outlineLevel="0" max="8" min="8" style="0" width="14.57"/>
    <col collapsed="false" customWidth="true" hidden="false" outlineLevel="0" max="9" min="9" style="0" width="29.57"/>
    <col collapsed="false" customWidth="true" hidden="false" outlineLevel="0" max="10" min="10" style="0" width="2.42"/>
    <col collapsed="false" customWidth="true" hidden="false" outlineLevel="0" max="11" min="11" style="0" width="4.57"/>
    <col collapsed="false" customWidth="true" hidden="false" outlineLevel="0" max="12" min="12" style="0" width="0.42"/>
    <col collapsed="false" customWidth="true" hidden="true" outlineLevel="0" max="13" min="13" style="48" width="9.14"/>
    <col collapsed="false" customWidth="true" hidden="false" outlineLevel="0" max="14" min="14" style="0" width="31.57"/>
    <col collapsed="false" customWidth="true" hidden="true" outlineLevel="0" max="15" min="15" style="0" width="9.14"/>
    <col collapsed="false" customWidth="true" hidden="false" outlineLevel="0" max="16" min="16" style="0" width="0.42"/>
    <col collapsed="false" customWidth="true" hidden="false" outlineLevel="0" max="26" min="17" style="0" width="11.57"/>
    <col collapsed="false" customWidth="true" hidden="true" outlineLevel="0" max="59" min="27" style="0" width="9.14"/>
    <col collapsed="false" customWidth="true" hidden="true" outlineLevel="0" max="60" min="60" style="0" width="1.57"/>
  </cols>
  <sheetData>
    <row r="1" customFormat="false" ht="12.75" hidden="true" customHeight="true" outlineLevel="0" collapsed="false">
      <c r="M1" s="48" t="n">
        <f aca="true">SUM(OFFSET(CÁLCULO!$P$1,0,1):OFFSET(CÁLCULO!$AA$1,0,-1))</f>
        <v>6</v>
      </c>
      <c r="O1" s="156" t="n">
        <f aca="false" t="array" ref="O1:O1">IF(OR(ACOMPANHAMENTO="BM",N1=0,O12=""),0,1)</f>
        <v>0</v>
      </c>
      <c r="P1" s="0" t="s">
        <v>842</v>
      </c>
      <c r="Q1" s="156" t="n">
        <f aca="false" t="array" ref="Q1:Q1">IF(OR(ACOMPANHAMENTO="BM",P1=0,Q12=""),0,1)</f>
        <v>1</v>
      </c>
      <c r="R1" s="156" t="n">
        <f aca="false" t="array" ref="R1:R1">IF(OR(ACOMPANHAMENTO="BM",Q1=0,R12=""),0,1)</f>
        <v>1</v>
      </c>
      <c r="S1" s="156" t="n">
        <f aca="false" t="array" ref="S1:S1">IF(OR(ACOMPANHAMENTO="BM",R1=0,S12=""),0,1)</f>
        <v>1</v>
      </c>
      <c r="T1" s="156" t="n">
        <f aca="false" t="array" ref="T1:T1">IF(OR(ACOMPANHAMENTO="BM",S1=0,T12=""),0,1)</f>
        <v>1</v>
      </c>
      <c r="U1" s="156" t="n">
        <f aca="false" t="array" ref="U1:U1">IF(OR(ACOMPANHAMENTO="BM",T1=0,U12=""),0,1)</f>
        <v>1</v>
      </c>
      <c r="V1" s="156" t="n">
        <f aca="false" t="array" ref="V1:V1">IF(OR(ACOMPANHAMENTO="BM",U1=0,V12=""),0,1)</f>
        <v>1</v>
      </c>
      <c r="W1" s="156" t="n">
        <f aca="false" t="array" ref="W1:W1">IF(OR(ACOMPANHAMENTO="BM",V1=0,W12=""),0,1)</f>
        <v>0</v>
      </c>
      <c r="X1" s="156" t="n">
        <f aca="false" t="array" ref="X1:X1">IF(OR(ACOMPANHAMENTO="BM",W1=0,X12=""),0,1)</f>
        <v>0</v>
      </c>
      <c r="Y1" s="156" t="n">
        <f aca="false" t="array" ref="Y1:Y1">IF(OR(ACOMPANHAMENTO="BM",X1=0,Y12=""),0,1)</f>
        <v>0</v>
      </c>
      <c r="Z1" s="156" t="n">
        <f aca="false" t="array" ref="Z1:Z1">IF(OR(ACOMPANHAMENTO="BM",Y1=0,Z12=""),0,1)</f>
        <v>0</v>
      </c>
      <c r="AB1" s="0" t="s">
        <v>843</v>
      </c>
      <c r="AM1" s="0" t="s">
        <v>844</v>
      </c>
      <c r="AX1" s="0" t="s">
        <v>845</v>
      </c>
    </row>
    <row r="2" customFormat="false" ht="12.75" hidden="true" customHeight="true" outlineLevel="0" collapsed="false"/>
    <row r="3" customFormat="false" ht="12.75" hidden="true" customHeight="true" outlineLevel="0" collapsed="false"/>
    <row r="4" customFormat="false" ht="12.75" hidden="true" customHeight="true" outlineLevel="0" collapsed="false"/>
    <row r="5" customFormat="false" ht="12.75" hidden="true" customHeight="true" outlineLevel="0" collapsed="false"/>
    <row r="6" customFormat="false" ht="15.75" hidden="false" customHeight="true" outlineLevel="0" collapsed="false">
      <c r="F6" s="304" t="str">
        <f aca="false" t="array" ref="F6:F6">IF(ACOMPANHAMENTO="BM","MEMÓRIA DE CÁLCULO","PLQ - PLANILHA DE LEVANTAMENTO DE QUANTIDADES")</f>
        <v>PLQ - PLANILHA DE LEVANTAMENTO DE QUANTIDADES</v>
      </c>
      <c r="G6" s="304"/>
      <c r="H6" s="304"/>
      <c r="I6" s="305"/>
      <c r="K6" s="305"/>
      <c r="L6" s="305"/>
      <c r="M6" s="306"/>
      <c r="N6" s="305"/>
      <c r="P6" s="305"/>
      <c r="Q6" s="97" t="s">
        <v>702</v>
      </c>
      <c r="R6" s="97"/>
      <c r="Y6" s="97" t="s">
        <v>702</v>
      </c>
      <c r="Z6" s="97"/>
    </row>
    <row r="7" customFormat="false" ht="15" hidden="false" customHeight="true" outlineLevel="0" collapsed="false">
      <c r="F7" s="307" t="str">
        <f aca="false" t="array" ref="F7:F7">IF(ACOMPANHAMENTO="BM","","Memória de Cálculo")&amp;" - "&amp;import.recurso</f>
        <v>Memória de Cálculo - (SELECIONAR)</v>
      </c>
      <c r="G7" s="307"/>
      <c r="H7" s="307"/>
      <c r="I7" s="308"/>
      <c r="K7" s="308"/>
      <c r="L7" s="308"/>
      <c r="M7" s="309"/>
      <c r="N7" s="308"/>
      <c r="P7" s="308"/>
      <c r="Q7" s="58" t="s">
        <v>705</v>
      </c>
      <c r="R7" s="58"/>
      <c r="Y7" s="58" t="s">
        <v>705</v>
      </c>
      <c r="Z7" s="58"/>
    </row>
    <row r="8" customFormat="false" ht="12.75" hidden="false" customHeight="true" outlineLevel="0" collapsed="false">
      <c r="AE8" s="310"/>
    </row>
    <row r="9" customFormat="false" ht="12.75" hidden="false" customHeight="true" outlineLevel="0" collapsed="false">
      <c r="E9" s="100" t="s">
        <v>773</v>
      </c>
      <c r="F9" s="100"/>
      <c r="G9" s="100" t="s">
        <v>772</v>
      </c>
      <c r="H9" s="100"/>
      <c r="I9" s="160" t="s">
        <v>708</v>
      </c>
      <c r="K9" s="311" t="s">
        <v>710</v>
      </c>
      <c r="L9" s="312"/>
      <c r="M9" s="312"/>
      <c r="N9" s="312"/>
      <c r="O9" s="312"/>
      <c r="P9" s="312"/>
      <c r="Q9" s="312"/>
      <c r="R9" s="313"/>
      <c r="S9" s="100" t="s">
        <v>708</v>
      </c>
      <c r="T9" s="100"/>
      <c r="U9" s="100" t="s">
        <v>710</v>
      </c>
      <c r="V9" s="100"/>
      <c r="W9" s="100"/>
      <c r="X9" s="100"/>
      <c r="Y9" s="100"/>
      <c r="Z9" s="100"/>
    </row>
    <row r="10" customFormat="false" ht="12.75" hidden="false" customHeight="true" outlineLevel="0" collapsed="false">
      <c r="A10" s="314" t="s">
        <v>846</v>
      </c>
      <c r="E10" s="101" t="str">
        <f aca="false">Import.Apelido</f>
        <v>REVITALIZAÇÃO DIVERSAS RUAS</v>
      </c>
      <c r="F10" s="101"/>
      <c r="G10" s="101" t="n">
        <f aca="false">Import.TransfereGOV</f>
        <v>0</v>
      </c>
      <c r="H10" s="101"/>
      <c r="I10" s="162" t="n">
        <f aca="false">Import.CR</f>
        <v>0</v>
      </c>
      <c r="K10" s="315" t="n">
        <f aca="false">Import.Proponente</f>
        <v>0</v>
      </c>
      <c r="L10" s="316"/>
      <c r="M10" s="181"/>
      <c r="N10" s="316"/>
      <c r="O10" s="316"/>
      <c r="P10" s="316"/>
      <c r="Q10" s="316"/>
      <c r="R10" s="163"/>
      <c r="S10" s="101" t="n">
        <f aca="false">Import.CR</f>
        <v>0</v>
      </c>
      <c r="T10" s="101"/>
      <c r="U10" s="101" t="n">
        <f aca="false">Import.Proponente</f>
        <v>0</v>
      </c>
      <c r="V10" s="101"/>
      <c r="W10" s="101"/>
      <c r="X10" s="101"/>
      <c r="Y10" s="101"/>
      <c r="Z10" s="101"/>
    </row>
    <row r="11" customFormat="false" ht="15" hidden="false" customHeight="true" outlineLevel="0" collapsed="false">
      <c r="A11" s="161" t="str">
        <f aca="false">IF(AND(Import.TipoArredondamento="Tradicional",AUTOEVENTO="Manual"),"Automática",IF(CRONOPLE!$B$8="","Sem Adm","Manual"))</f>
        <v>Manual</v>
      </c>
      <c r="F11" s="317" t="str">
        <f aca="false">IF(AND(ACOMPANHAMENTO="PLE",ISERROR(AUTOEVENTO)),"Selecione a forma de definição dos agrupadores de eventos na aba EVENTOS",
  IF(AND(ACOMPANHAMENTO="PLE",CÁLCULO.FrentesPreenchidas=0),"Preencher os nomes das Frentes de Obra",
  IF(COUNTIF($J$15:$J$21,"►E")&gt;0,"Não pode haver serviços sem agrupador de eventos",
  IF(COUNTIF($P$11:$AA$11,"▼")&gt;0,"Não pode haver frentes de obra sem quantidades",
  IF(COUNTIF($P$11:$AA$11,"Nome &gt;100")&gt;0,"Nome da frente de obra com mais de 100 caracteres","")))))</f>
        <v>Não pode haver frentes de obra sem quantidades</v>
      </c>
      <c r="N11" s="318" t="str">
        <f aca="false">IF(OR(COUNTIF($J$15:$J$21,"►E")&gt;0,COUNTIF($J$15:$J$21,"►Q")&gt;0),"",
IF(COUNTIF($J$15:$J$21,"►S")&gt;0,"Preencha as quantidades com no máximo duas casas decimais",
IF(COUNTIF($P$11:$AA$11,"▼")&gt;0,"Falta preencher a frente de obra nº " &amp; HLOOKUP("▼",$P$11:$AA$13,3,FALSE()),
IF(COUNTIF($P$11:$AA$11,"Nome &gt;100")&gt;0,"Resuma o nome da frente de obra nº " &amp; HLOOKUP("Nome &gt;100",$P$11:$AA$13,3,FALSE()),""))))</f>
        <v>Falta preencher a frente de obra nº 1</v>
      </c>
      <c r="O11" s="319" t="e">
        <f aca="false">IF(AND(O1=1,O15=0),"▼",IF(AND(O1=1,LEN(O12)&gt;100),"Nome &gt;100",""))</f>
        <v>#VALUE!</v>
      </c>
      <c r="P11" s="48"/>
      <c r="Q11" s="319" t="str">
        <f aca="false">IF(AND(Q1=1,Q15=0),"▼",IF(AND(Q1=1,LEN(Q12)&gt;100),"Nome &gt;100",""))</f>
        <v>▼</v>
      </c>
      <c r="R11" s="319" t="str">
        <f aca="false">IF(AND(R1=1,R15=0),"▼",IF(AND(R1=1,LEN(R12)&gt;100),"Nome &gt;100",""))</f>
        <v>▼</v>
      </c>
      <c r="S11" s="319" t="str">
        <f aca="false">IF(AND(S1=1,S15=0),"▼",IF(AND(S1=1,LEN(S12)&gt;100),"Nome &gt;100",""))</f>
        <v>▼</v>
      </c>
      <c r="T11" s="319" t="str">
        <f aca="false">IF(AND(T1=1,T15=0),"▼",IF(AND(T1=1,LEN(T12)&gt;100),"Nome &gt;100",""))</f>
        <v>▼</v>
      </c>
      <c r="U11" s="319" t="str">
        <f aca="false">IF(AND(U1=1,U15=0),"▼",IF(AND(U1=1,LEN(U12)&gt;100),"Nome &gt;100",""))</f>
        <v>▼</v>
      </c>
      <c r="V11" s="319" t="str">
        <f aca="false">IF(AND(V1=1,V15=0),"▼",IF(AND(V1=1,LEN(V12)&gt;100),"Nome &gt;100",""))</f>
        <v>▼</v>
      </c>
      <c r="W11" s="319" t="str">
        <f aca="false">IF(AND(W1=1,W15=0),"▼",IF(AND(W1=1,LEN(W12)&gt;100),"Nome &gt;100",""))</f>
        <v/>
      </c>
      <c r="X11" s="319" t="str">
        <f aca="false">IF(AND(X1=1,X15=0),"▼",IF(AND(X1=1,LEN(X12)&gt;100),"Nome &gt;100",""))</f>
        <v/>
      </c>
      <c r="Y11" s="319" t="str">
        <f aca="false">IF(AND(Y1=1,Y15=0),"▼",IF(AND(Y1=1,LEN(Y12)&gt;100),"Nome &gt;100",""))</f>
        <v/>
      </c>
      <c r="Z11" s="319" t="str">
        <f aca="false">IF(AND(Z1=1,Z15=0),"▼",IF(AND(Z1=1,LEN(Z12)&gt;100),"Nome &gt;100",""))</f>
        <v/>
      </c>
    </row>
    <row r="12" customFormat="false" ht="69.75" hidden="false" customHeight="true" outlineLevel="0" collapsed="false">
      <c r="A12" s="320" t="n">
        <f aca="false">IF(Import.Eventos.Nível="Definir Manualmente","Manual",MATCH(Import.Eventos.Nível,EVENTOS!$B$6:$B$9,0)+1)</f>
        <v>2</v>
      </c>
      <c r="B12" s="48" t="s">
        <v>847</v>
      </c>
      <c r="C12" s="321" t="s">
        <v>713</v>
      </c>
      <c r="H12" s="322"/>
      <c r="I12" s="323" t="str">
        <f aca="false">IF(AND(ACOMPANHAMENTO="PLE",CÁLCULO.FrentesPreenchidas=0),"",
  IF(COUNTIF($J$15:$J$21,"►E")&gt;0,"Falta Definir o Agrupador de Evento na linha "&amp;MATCH("►E",$J$15:$J$21,0)+ROW($J$14),
  IF(COUNTIF($J$15:$J$21,"►Q")&gt;0,"Falta preencher a quantidade do serviço na linha "&amp;MATCH("►Q",$J$15:$J$21,0)+ROW($J$14),
  IF(COUNTIF($J$15:$J$21,"►S")&gt;0,"Verifique as quantidades preenchidas na linha "&amp;MATCH("►S",$J$15:$J$21,0)+ROW($J$14),
  IF(AND(COUNTIF($P$11:$AA$11,"▼")=0,COUNTIF($J$15:$J$21,"◄")&gt;0),"Falta Preencher o Memorial de Cálculo na linha "&amp;MATCH("◄",$J$15:$J$21,0)+ROW($J$14),"")))))</f>
        <v/>
      </c>
      <c r="J12" s="28" t="s">
        <v>842</v>
      </c>
      <c r="K12" s="324" t="s">
        <v>848</v>
      </c>
      <c r="L12" s="28" t="s">
        <v>842</v>
      </c>
      <c r="M12" s="325" t="n">
        <f aca="false" t="array" ref="M12:M12">IF(ACOMPANHAMENTO="BM",0,MAX($M$15:$M$21))</f>
        <v>2</v>
      </c>
      <c r="N12" s="326" t="str">
        <f aca="false">IF(AND(ACOMPANHAMENTO="PLE",CÁLCULO.FrentesPreenchidas=0),"Preencher os nomes das Frentes de Obra ►","FRENTES DE OBRA:")</f>
        <v>FRENTES DE OBRA:</v>
      </c>
      <c r="O12" s="327"/>
      <c r="P12" s="28" t="s">
        <v>842</v>
      </c>
      <c r="Q12" s="328" t="s">
        <v>849</v>
      </c>
      <c r="R12" s="327" t="s">
        <v>850</v>
      </c>
      <c r="S12" s="327" t="s">
        <v>851</v>
      </c>
      <c r="T12" s="327" t="s">
        <v>852</v>
      </c>
      <c r="U12" s="327" t="s">
        <v>853</v>
      </c>
      <c r="V12" s="327" t="s">
        <v>854</v>
      </c>
      <c r="W12" s="327"/>
      <c r="X12" s="327"/>
      <c r="Y12" s="327"/>
      <c r="Z12" s="329"/>
      <c r="AA12" s="28" t="s">
        <v>842</v>
      </c>
      <c r="AB12" s="330" t="str">
        <f aca="true">IF(OFFSET($P$1,0,AB$13)=0,0,OFFSET($P$12,0,AB$13))</f>
        <v>FRENTE 1 </v>
      </c>
      <c r="AC12" s="330" t="str">
        <f aca="true">IF(OFFSET($P$1,0,AC$13)=0,0,OFFSET($P$12,0,AC$13))</f>
        <v>FRENTE 2</v>
      </c>
      <c r="AD12" s="330" t="str">
        <f aca="true">IF(OFFSET($P$1,0,AD$13)=0,0,OFFSET($P$12,0,AD$13))</f>
        <v>FRENTE 3</v>
      </c>
      <c r="AE12" s="330" t="str">
        <f aca="true">IF(OFFSET($P$1,0,AE$13)=0,0,OFFSET($P$12,0,AE$13))</f>
        <v>FRENTE 4</v>
      </c>
      <c r="AF12" s="330" t="str">
        <f aca="true">IF(OFFSET($P$1,0,AF$13)=0,0,OFFSET($P$12,0,AF$13))</f>
        <v>FRENTE 5</v>
      </c>
      <c r="AG12" s="330" t="str">
        <f aca="true">IF(OFFSET($P$1,0,AG$13)=0,0,OFFSET($P$12,0,AG$13))</f>
        <v>FRENTE 6 </v>
      </c>
      <c r="AH12" s="330" t="n">
        <f aca="true">IF(OFFSET($P$1,0,AH$13)=0,0,OFFSET($P$12,0,AH$13))</f>
        <v>0</v>
      </c>
      <c r="AI12" s="330" t="n">
        <f aca="true">IF(OFFSET($P$1,0,AI$13)=0,0,OFFSET($P$12,0,AI$13))</f>
        <v>0</v>
      </c>
      <c r="AJ12" s="330" t="n">
        <f aca="true">IF(OFFSET($P$1,0,AJ$13)=0,0,OFFSET($P$12,0,AJ$13))</f>
        <v>0</v>
      </c>
      <c r="AK12" s="330" t="n">
        <f aca="true">IF(OFFSET($P$1,0,AK$13)=0,0,OFFSET($P$12,0,AK$13))</f>
        <v>0</v>
      </c>
      <c r="AM12" s="330" t="str">
        <f aca="true">IF(OFFSET($P$1,0,AM$13)=0,0,OFFSET($P$12,0,AM$13))</f>
        <v>FRENTE 1 </v>
      </c>
      <c r="AN12" s="331" t="str">
        <f aca="true">IF(OFFSET($P$1,0,AN$13)=0,0,OFFSET($P$12,0,AN$13))</f>
        <v>FRENTE 2</v>
      </c>
      <c r="AO12" s="331" t="str">
        <f aca="true">IF(OFFSET($P$1,0,AO$13)=0,0,OFFSET($P$12,0,AO$13))</f>
        <v>FRENTE 3</v>
      </c>
      <c r="AP12" s="331" t="str">
        <f aca="true">IF(OFFSET($P$1,0,AP$13)=0,0,OFFSET($P$12,0,AP$13))</f>
        <v>FRENTE 4</v>
      </c>
      <c r="AQ12" s="331" t="str">
        <f aca="true">IF(OFFSET($P$1,0,AQ$13)=0,0,OFFSET($P$12,0,AQ$13))</f>
        <v>FRENTE 5</v>
      </c>
      <c r="AR12" s="331" t="str">
        <f aca="true">IF(OFFSET($P$1,0,AR$13)=0,0,OFFSET($P$12,0,AR$13))</f>
        <v>FRENTE 6 </v>
      </c>
      <c r="AS12" s="331" t="n">
        <f aca="true">IF(OFFSET($P$1,0,AS$13)=0,0,OFFSET($P$12,0,AS$13))</f>
        <v>0</v>
      </c>
      <c r="AT12" s="331" t="n">
        <f aca="true">IF(OFFSET($P$1,0,AT$13)=0,0,OFFSET($P$12,0,AT$13))</f>
        <v>0</v>
      </c>
      <c r="AU12" s="331" t="n">
        <f aca="true">IF(OFFSET($P$1,0,AU$13)=0,0,OFFSET($P$12,0,AU$13))</f>
        <v>0</v>
      </c>
      <c r="AV12" s="332" t="n">
        <f aca="true">IF(OFFSET($P$1,0,AV$13)=0,0,OFFSET($P$12,0,AV$13))</f>
        <v>0</v>
      </c>
      <c r="AX12" s="330" t="str">
        <f aca="true">IF(OFFSET($P$1,0,AX$13)=0,0,OFFSET($P$12,0,AX$13))</f>
        <v>FRENTE 1 </v>
      </c>
      <c r="AY12" s="331" t="str">
        <f aca="true">IF(OFFSET($P$1,0,AY$13)=0,0,OFFSET($P$12,0,AY$13))</f>
        <v>FRENTE 2</v>
      </c>
      <c r="AZ12" s="331" t="str">
        <f aca="true">IF(OFFSET($P$1,0,AZ$13)=0,0,OFFSET($P$12,0,AZ$13))</f>
        <v>FRENTE 3</v>
      </c>
      <c r="BA12" s="331" t="str">
        <f aca="true">IF(OFFSET($P$1,0,BA$13)=0,0,OFFSET($P$12,0,BA$13))</f>
        <v>FRENTE 4</v>
      </c>
      <c r="BB12" s="331" t="str">
        <f aca="true">IF(OFFSET($P$1,0,BB$13)=0,0,OFFSET($P$12,0,BB$13))</f>
        <v>FRENTE 5</v>
      </c>
      <c r="BC12" s="331" t="str">
        <f aca="true">IF(OFFSET($P$1,0,BC$13)=0,0,OFFSET($P$12,0,BC$13))</f>
        <v>FRENTE 6 </v>
      </c>
      <c r="BD12" s="331" t="n">
        <f aca="true">IF(OFFSET($P$1,0,BD$13)=0,0,OFFSET($P$12,0,BD$13))</f>
        <v>0</v>
      </c>
      <c r="BE12" s="331" t="n">
        <f aca="true">IF(OFFSET($P$1,0,BE$13)=0,0,OFFSET($P$12,0,BE$13))</f>
        <v>0</v>
      </c>
      <c r="BF12" s="331" t="n">
        <f aca="true">IF(OFFSET($P$1,0,BF$13)=0,0,OFFSET($P$12,0,BF$13))</f>
        <v>0</v>
      </c>
      <c r="BG12" s="332" t="n">
        <f aca="true">IF(OFFSET($P$1,0,BG$13)=0,0,OFFSET($P$12,0,BG$13))</f>
        <v>0</v>
      </c>
    </row>
    <row r="13" customFormat="false" ht="12.75" hidden="false" customHeight="true" outlineLevel="0" collapsed="false">
      <c r="A13" s="58" t="s">
        <v>855</v>
      </c>
      <c r="B13" s="48" t="s">
        <v>847</v>
      </c>
      <c r="C13" s="333" t="s">
        <v>718</v>
      </c>
      <c r="D13" s="193" t="s">
        <v>803</v>
      </c>
      <c r="E13" s="193" t="s">
        <v>805</v>
      </c>
      <c r="F13" s="193" t="s">
        <v>161</v>
      </c>
      <c r="G13" s="195" t="s">
        <v>808</v>
      </c>
      <c r="H13" s="193" t="s">
        <v>779</v>
      </c>
      <c r="I13" s="193" t="s">
        <v>856</v>
      </c>
      <c r="J13" s="334"/>
      <c r="K13" s="201" t="s">
        <v>857</v>
      </c>
      <c r="L13" s="28"/>
      <c r="M13" s="193" t="s">
        <v>858</v>
      </c>
      <c r="N13" s="193" t="s">
        <v>859</v>
      </c>
      <c r="O13" s="335" t="e">
        <f aca="true">OFFSET(O13,0,-1)+1</f>
        <v>#VALUE!</v>
      </c>
      <c r="Q13" s="199" t="n">
        <f aca="true">OFFSET(Q13,0,-1)+1</f>
        <v>1</v>
      </c>
      <c r="R13" s="335" t="n">
        <f aca="true">OFFSET(R13,0,-1)+1</f>
        <v>2</v>
      </c>
      <c r="S13" s="335" t="n">
        <f aca="true">OFFSET(S13,0,-1)+1</f>
        <v>3</v>
      </c>
      <c r="T13" s="335" t="n">
        <f aca="true">OFFSET(T13,0,-1)+1</f>
        <v>4</v>
      </c>
      <c r="U13" s="335" t="n">
        <f aca="true">OFFSET(U13,0,-1)+1</f>
        <v>5</v>
      </c>
      <c r="V13" s="335" t="n">
        <f aca="true">OFFSET(V13,0,-1)+1</f>
        <v>6</v>
      </c>
      <c r="W13" s="335" t="n">
        <f aca="true">OFFSET(W13,0,-1)+1</f>
        <v>7</v>
      </c>
      <c r="X13" s="335" t="n">
        <f aca="true">OFFSET(X13,0,-1)+1</f>
        <v>8</v>
      </c>
      <c r="Y13" s="335" t="n">
        <f aca="true">OFFSET(Y13,0,-1)+1</f>
        <v>9</v>
      </c>
      <c r="Z13" s="202" t="n">
        <f aca="true">OFFSET(Z13,0,-1)+1</f>
        <v>10</v>
      </c>
      <c r="AB13" s="336" t="n">
        <f aca="true">OFFSET(AB13,0,-1)+1</f>
        <v>1</v>
      </c>
      <c r="AC13" s="337" t="n">
        <f aca="true">OFFSET(AC13,0,-1)+1</f>
        <v>2</v>
      </c>
      <c r="AD13" s="337" t="n">
        <f aca="true">OFFSET(AD13,0,-1)+1</f>
        <v>3</v>
      </c>
      <c r="AE13" s="337" t="n">
        <f aca="true">OFFSET(AE13,0,-1)+1</f>
        <v>4</v>
      </c>
      <c r="AF13" s="337" t="n">
        <f aca="true">OFFSET(AF13,0,-1)+1</f>
        <v>5</v>
      </c>
      <c r="AG13" s="337" t="n">
        <f aca="true">OFFSET(AG13,0,-1)+1</f>
        <v>6</v>
      </c>
      <c r="AH13" s="337" t="n">
        <f aca="true">OFFSET(AH13,0,-1)+1</f>
        <v>7</v>
      </c>
      <c r="AI13" s="337" t="n">
        <f aca="true">OFFSET(AI13,0,-1)+1</f>
        <v>8</v>
      </c>
      <c r="AJ13" s="337" t="n">
        <f aca="true">OFFSET(AJ13,0,-1)+1</f>
        <v>9</v>
      </c>
      <c r="AK13" s="338" t="n">
        <f aca="true">OFFSET(AK13,0,-1)+1</f>
        <v>10</v>
      </c>
      <c r="AM13" s="336" t="n">
        <f aca="true">OFFSET(AM13,0,-1)+1</f>
        <v>1</v>
      </c>
      <c r="AN13" s="337" t="n">
        <f aca="true">OFFSET(AN13,0,-1)+1</f>
        <v>2</v>
      </c>
      <c r="AO13" s="337" t="n">
        <f aca="true">OFFSET(AO13,0,-1)+1</f>
        <v>3</v>
      </c>
      <c r="AP13" s="337" t="n">
        <f aca="true">OFFSET(AP13,0,-1)+1</f>
        <v>4</v>
      </c>
      <c r="AQ13" s="337" t="n">
        <f aca="true">OFFSET(AQ13,0,-1)+1</f>
        <v>5</v>
      </c>
      <c r="AR13" s="337" t="n">
        <f aca="true">OFFSET(AR13,0,-1)+1</f>
        <v>6</v>
      </c>
      <c r="AS13" s="337" t="n">
        <f aca="true">OFFSET(AS13,0,-1)+1</f>
        <v>7</v>
      </c>
      <c r="AT13" s="337" t="n">
        <f aca="true">OFFSET(AT13,0,-1)+1</f>
        <v>8</v>
      </c>
      <c r="AU13" s="337" t="n">
        <f aca="true">OFFSET(AU13,0,-1)+1</f>
        <v>9</v>
      </c>
      <c r="AV13" s="338" t="n">
        <f aca="true">OFFSET(AV13,0,-1)+1</f>
        <v>10</v>
      </c>
      <c r="AX13" s="336" t="n">
        <f aca="true">OFFSET(AX13,0,-1)+1</f>
        <v>1</v>
      </c>
      <c r="AY13" s="337" t="n">
        <f aca="true">OFFSET(AY13,0,-1)+1</f>
        <v>2</v>
      </c>
      <c r="AZ13" s="337" t="n">
        <f aca="true">OFFSET(AZ13,0,-1)+1</f>
        <v>3</v>
      </c>
      <c r="BA13" s="337" t="n">
        <f aca="true">OFFSET(BA13,0,-1)+1</f>
        <v>4</v>
      </c>
      <c r="BB13" s="337" t="n">
        <f aca="true">OFFSET(BB13,0,-1)+1</f>
        <v>5</v>
      </c>
      <c r="BC13" s="337" t="n">
        <f aca="true">OFFSET(BC13,0,-1)+1</f>
        <v>6</v>
      </c>
      <c r="BD13" s="337" t="n">
        <f aca="true">OFFSET(BD13,0,-1)+1</f>
        <v>7</v>
      </c>
      <c r="BE13" s="337" t="n">
        <f aca="true">OFFSET(BE13,0,-1)+1</f>
        <v>8</v>
      </c>
      <c r="BF13" s="337" t="n">
        <f aca="true">OFFSET(BF13,0,-1)+1</f>
        <v>9</v>
      </c>
      <c r="BG13" s="338" t="n">
        <f aca="true">OFFSET(BG13,0,-1)+1</f>
        <v>10</v>
      </c>
    </row>
    <row r="14" customFormat="false" ht="12.75" hidden="true" customHeight="false" outlineLevel="0" collapsed="false">
      <c r="A14" s="48" t="str">
        <f aca="true">IFERROR(IF(AUTOEVENTO="Manual",IF(K14&lt;&gt;"",MIN(VALUE(LEFT(K14,FIND(".",K14)-1)),COUNTA(EVENTOS.Lista)),0),IF(OR($B14&gt;AUTOEVENTO,$B14="S",$B14=0),SUBSTITUTE(OFFSET($A14,-1,0),IF($D14="Serviço",".",""),""),$L14&amp;".")),0)</f>
        <v>1.</v>
      </c>
      <c r="B14" s="48" t="n">
        <f aca="true">OFFSET(ORÇAMENTO!C$15,$L14,0)</f>
        <v>1</v>
      </c>
      <c r="C14" s="48" t="str">
        <f aca="true">OFFSET(ORÇAMENTO!L$15,$L14,0)</f>
        <v>F</v>
      </c>
      <c r="D14" s="205" t="str">
        <f aca="true">OFFSET(ORÇAMENTO!N$15,$L14,0)</f>
        <v>Meta</v>
      </c>
      <c r="E14" s="206" t="str">
        <f aca="true">OFFSET(ORÇAMENTO!O$15,$L14,0)</f>
        <v>1.</v>
      </c>
      <c r="F14" s="339" t="str">
        <f aca="true">OFFSET(ORÇAMENTO!R$15,$L14,0)</f>
        <v>REVITALIZAÇÃO DIVERSAS RUAS - RUA CARLOS GOMES</v>
      </c>
      <c r="G14" s="340" t="str">
        <f aca="true">IF($D14&lt;&gt;"Serviço","",OFFSET(ORÇAMENTO!S$15,$L14,0))</f>
        <v/>
      </c>
      <c r="H14" s="211" t="n">
        <f aca="true" t="array" ref="H14:H14">IF($D14&lt;&gt;"Serviço",0,IF(ACOMPANHAMENTO="BM",ROUND(OFFSET(ORÇAMENTO!AJ$15,$L14,0),15-13*ORÇAMENTO!$AF$7),IF(IFERROR(CÁLCULO.FrentesPreenchidas,0)=0,0,SUM(ROUND(OFFSET($P14,0,1,1,CÁLCULO.FrentesPreenchidas),15-13*ORÇAMENTO!$AF$7)))))</f>
        <v>0</v>
      </c>
      <c r="I14" s="341"/>
      <c r="J14" s="342" t="str">
        <f aca="false" t="array" ref="J14:J14">IF(OR(B14&lt;&gt;"S",CÁLCULO.FrentesPreenchidas=0),"",IF(AND(ACOMPANHAMENTO="PLE",AUTOEVENTO="Manual",OR(H14&gt;0,ORÇAMENTO!AC14="QUANT."),OR(K14="",M14=0,N14="")),"►E",IF(AND(ACOMPANHAMENTO="PLE",ORÇAMENTO!AC14="QUANT."),"►Q",IF(AND(ACOMPANHAMENTO="PLE",H14&lt;&gt;SUMPRODUCT(($Q$1:$AA$1=1)*ROUND(Q14:AA14,15))),"►S",IF(AND(COUNTIF($P$11:$AA$11,"▼")=0,H14&gt;0,I14=""),"◄M","")))))</f>
        <v/>
      </c>
      <c r="K14" s="343"/>
      <c r="L14" s="344" t="n">
        <f aca="true">OFFSET(L14,-1,0)+1</f>
        <v>1</v>
      </c>
      <c r="M14" s="345" t="str">
        <f aca="true">IF($D14&lt;&gt;"Serviço","",
          IF(AUTOEVENTO="manual",$A14,
                IF(ISERROR(MATCH($A14,$A$15:OFFSET($A14,-1,0),0)),MAX($M$15:OFFSET(M14,-1,0))+1,
                      INDEX($M$15:OFFSET(M14,-1,0),MATCH($A14,$A$15:OFFSET($A14,-1,0),0)))))</f>
        <v/>
      </c>
      <c r="N14" s="346" t="str">
        <f aca="true">IF($D14&lt;&gt;"Serviço","",
         IF(AUTOEVENTO="Manual",
                IF($A14=0,"&lt;-- defina o número do agrupador",
                       OFFSET(EVENTOS!$D$15,$A14-$A$15,0)),
                OFFSET($F$15,$A14,0)))</f>
        <v/>
      </c>
      <c r="O14" s="347"/>
      <c r="Q14" s="347"/>
      <c r="R14" s="348"/>
      <c r="S14" s="348"/>
      <c r="T14" s="348"/>
      <c r="U14" s="348"/>
      <c r="V14" s="348"/>
      <c r="W14" s="348"/>
      <c r="X14" s="348"/>
      <c r="Y14" s="348"/>
      <c r="Z14" s="349"/>
      <c r="AB14" s="350" t="n">
        <f aca="true">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350" t="n">
        <f aca="true">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350" t="n">
        <f aca="true">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350" t="n">
        <f aca="true">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350" t="n">
        <f aca="true">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350" t="n">
        <f aca="true">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350" t="n">
        <f aca="true">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350" t="n">
        <f aca="true">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350" t="n">
        <f aca="true">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350" t="n">
        <f aca="true">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351" t="n">
        <f aca="true">IF(OR($D14&lt;&gt;"Serviço",AND(AUTOEVENTO="Manual",$M14=$A$15)),0,
         IF(OFFSET(CRONOPLE!$F$15,$M14-$A$15,AM$13)=0,10^12,OFFSET(CRONOPLE!$F$15,$M14-$A$15,AM$13)))</f>
        <v>0</v>
      </c>
      <c r="AN14" s="351" t="n">
        <f aca="true">IF(OR($D14&lt;&gt;"Serviço",AND(AUTOEVENTO="Manual",$M14=$A$15)),0,
         IF(OFFSET(CRONOPLE!$F$15,$M14-$A$15,AN$13)=0,10^12,OFFSET(CRONOPLE!$F$15,$M14-$A$15,AN$13)))</f>
        <v>0</v>
      </c>
      <c r="AO14" s="351" t="n">
        <f aca="true">IF(OR($D14&lt;&gt;"Serviço",AND(AUTOEVENTO="Manual",$M14=$A$15)),0,
         IF(OFFSET(CRONOPLE!$F$15,$M14-$A$15,AO$13)=0,10^12,OFFSET(CRONOPLE!$F$15,$M14-$A$15,AO$13)))</f>
        <v>0</v>
      </c>
      <c r="AP14" s="351" t="n">
        <f aca="true">IF(OR($D14&lt;&gt;"Serviço",AND(AUTOEVENTO="Manual",$M14=$A$15)),0,
         IF(OFFSET(CRONOPLE!$F$15,$M14-$A$15,AP$13)=0,10^12,OFFSET(CRONOPLE!$F$15,$M14-$A$15,AP$13)))</f>
        <v>0</v>
      </c>
      <c r="AQ14" s="351" t="n">
        <f aca="true">IF(OR($D14&lt;&gt;"Serviço",AND(AUTOEVENTO="Manual",$M14=$A$15)),0,
         IF(OFFSET(CRONOPLE!$F$15,$M14-$A$15,AQ$13)=0,10^12,OFFSET(CRONOPLE!$F$15,$M14-$A$15,AQ$13)))</f>
        <v>0</v>
      </c>
      <c r="AR14" s="351" t="n">
        <f aca="true">IF(OR($D14&lt;&gt;"Serviço",AND(AUTOEVENTO="Manual",$M14=$A$15)),0,
         IF(OFFSET(CRONOPLE!$F$15,$M14-$A$15,AR$13)=0,10^12,OFFSET(CRONOPLE!$F$15,$M14-$A$15,AR$13)))</f>
        <v>0</v>
      </c>
      <c r="AS14" s="351" t="n">
        <f aca="true">IF(OR($D14&lt;&gt;"Serviço",AND(AUTOEVENTO="Manual",$M14=$A$15)),0,
         IF(OFFSET(CRONOPLE!$F$15,$M14-$A$15,AS$13)=0,10^12,OFFSET(CRONOPLE!$F$15,$M14-$A$15,AS$13)))</f>
        <v>0</v>
      </c>
      <c r="AT14" s="351" t="n">
        <f aca="true">IF(OR($D14&lt;&gt;"Serviço",AND(AUTOEVENTO="Manual",$M14=$A$15)),0,
         IF(OFFSET(CRONOPLE!$F$15,$M14-$A$15,AT$13)=0,10^12,OFFSET(CRONOPLE!$F$15,$M14-$A$15,AT$13)))</f>
        <v>0</v>
      </c>
      <c r="AU14" s="351" t="n">
        <f aca="true">IF(OR($D14&lt;&gt;"Serviço",AND(AUTOEVENTO="Manual",$M14=$A$15)),0,
         IF(OFFSET(CRONOPLE!$F$15,$M14-$A$15,AU$13)=0,10^12,OFFSET(CRONOPLE!$F$15,$M14-$A$15,AU$13)))</f>
        <v>0</v>
      </c>
      <c r="AV14" s="351" t="n">
        <f aca="true">IF(OR($D14&lt;&gt;"Serviço",AND(AUTOEVENTO="Manual",$M14=$A$15)),0,
         IF(OFFSET(CRONOPLE!$F$15,$M14-$A$15,AV$13)=0,10^12,OFFSET(CRONOPLE!$F$15,$M14-$A$15,AV$13)))</f>
        <v>0</v>
      </c>
      <c r="AX14" s="352" t="n">
        <f aca="true" t="array" ref="AX14:AX14">IF(OR($D14&lt;&gt;"Serviço",AND(AUTOEVENTO="Manual",$M14=$A$15),$M14&gt;(ROW(PLE.lastrow)-ROW(PLE.firstrow))),0,
           IF(OFFSET(PLE!$G$15,$M14-$A$15,AX$13)="",10^12,OFFSET(PLE!$G$15,$M14-$A$15,AX$13)))</f>
        <v>0</v>
      </c>
      <c r="AY14" s="352" t="n">
        <f aca="true" t="array" ref="AY14:AY14">IF(OR($D14&lt;&gt;"Serviço",AND(AUTOEVENTO="Manual",$M14=$A$15),$M14&gt;(ROW(PLE.lastrow)-ROW(PLE.firstrow))),0,
           IF(OFFSET(PLE!$G$15,$M14-$A$15,AY$13)="",10^12,OFFSET(PLE!$G$15,$M14-$A$15,AY$13)))</f>
        <v>0</v>
      </c>
      <c r="AZ14" s="352" t="n">
        <f aca="true" t="array" ref="AZ14:AZ14">IF(OR($D14&lt;&gt;"Serviço",AND(AUTOEVENTO="Manual",$M14=$A$15),$M14&gt;(ROW(PLE.lastrow)-ROW(PLE.firstrow))),0,
           IF(OFFSET(PLE!$G$15,$M14-$A$15,AZ$13)="",10^12,OFFSET(PLE!$G$15,$M14-$A$15,AZ$13)))</f>
        <v>0</v>
      </c>
      <c r="BA14" s="352" t="n">
        <f aca="true" t="array" ref="BA14:BA14">IF(OR($D14&lt;&gt;"Serviço",AND(AUTOEVENTO="Manual",$M14=$A$15),$M14&gt;(ROW(PLE.lastrow)-ROW(PLE.firstrow))),0,
           IF(OFFSET(PLE!$G$15,$M14-$A$15,BA$13)="",10^12,OFFSET(PLE!$G$15,$M14-$A$15,BA$13)))</f>
        <v>0</v>
      </c>
      <c r="BB14" s="352" t="n">
        <f aca="true" t="array" ref="BB14:BB14">IF(OR($D14&lt;&gt;"Serviço",AND(AUTOEVENTO="Manual",$M14=$A$15),$M14&gt;(ROW(PLE.lastrow)-ROW(PLE.firstrow))),0,
           IF(OFFSET(PLE!$G$15,$M14-$A$15,BB$13)="",10^12,OFFSET(PLE!$G$15,$M14-$A$15,BB$13)))</f>
        <v>0</v>
      </c>
      <c r="BC14" s="352" t="n">
        <f aca="true" t="array" ref="BC14:BC14">IF(OR($D14&lt;&gt;"Serviço",AND(AUTOEVENTO="Manual",$M14=$A$15),$M14&gt;(ROW(PLE.lastrow)-ROW(PLE.firstrow))),0,
           IF(OFFSET(PLE!$G$15,$M14-$A$15,BC$13)="",10^12,OFFSET(PLE!$G$15,$M14-$A$15,BC$13)))</f>
        <v>0</v>
      </c>
      <c r="BD14" s="352" t="n">
        <f aca="true" t="array" ref="BD14:BD14">IF(OR($D14&lt;&gt;"Serviço",AND(AUTOEVENTO="Manual",$M14=$A$15),$M14&gt;(ROW(PLE.lastrow)-ROW(PLE.firstrow))),0,
           IF(OFFSET(PLE!$G$15,$M14-$A$15,BD$13)="",10^12,OFFSET(PLE!$G$15,$M14-$A$15,BD$13)))</f>
        <v>0</v>
      </c>
      <c r="BE14" s="352" t="n">
        <f aca="true" t="array" ref="BE14:BE14">IF(OR($D14&lt;&gt;"Serviço",AND(AUTOEVENTO="Manual",$M14=$A$15),$M14&gt;(ROW(PLE.lastrow)-ROW(PLE.firstrow))),0,
           IF(OFFSET(PLE!$G$15,$M14-$A$15,BE$13)="",10^12,OFFSET(PLE!$G$15,$M14-$A$15,BE$13)))</f>
        <v>0</v>
      </c>
      <c r="BF14" s="352" t="n">
        <f aca="true" t="array" ref="BF14:BF14">IF(OR($D14&lt;&gt;"Serviço",AND(AUTOEVENTO="Manual",$M14=$A$15),$M14&gt;(ROW(PLE.lastrow)-ROW(PLE.firstrow))),0,
           IF(OFFSET(PLE!$G$15,$M14-$A$15,BF$13)="",10^12,OFFSET(PLE!$G$15,$M14-$A$15,BF$13)))</f>
        <v>0</v>
      </c>
      <c r="BG14" s="352" t="n">
        <f aca="true" t="array" ref="BG14:BG14">IF(OR($D14&lt;&gt;"Serviço",AND(AUTOEVENTO="Manual",$M14=$A$15),$M14&gt;(ROW(PLE.lastrow)-ROW(PLE.firstrow))),0,
           IF(OFFSET(PLE!$G$15,$M14-$A$15,BG$13)="",10^12,OFFSET(PLE!$G$15,$M14-$A$15,BG$13)))</f>
        <v>0</v>
      </c>
    </row>
    <row r="15" customFormat="false" ht="12.75" hidden="false" customHeight="true" outlineLevel="0" collapsed="false">
      <c r="A15" s="156" t="n">
        <f aca="false" t="array" ref="A15:A15">IF(AdmLocal="Automática",1,0)</f>
        <v>0</v>
      </c>
      <c r="B15" s="48" t="str">
        <f aca="true">OFFSET(ORÇAMENTO!C$15,ROW(B15)-ROW(B$15),0)</f>
        <v>L</v>
      </c>
      <c r="C15" s="48" t="str">
        <f aca="true">OFFSET(ORÇAMENTO!L$15,ROW(C15)-ROW(C$15),0)</f>
        <v>F</v>
      </c>
      <c r="D15" s="225" t="str">
        <f aca="false" t="array" ref="D15:D15">IF(TIPOORCAMENTO="LICITADO","CTEF","LOTE")</f>
        <v>LOTE</v>
      </c>
      <c r="E15" s="353" t="str">
        <f aca="false">Import.DescLote</f>
        <v>REVITALIZAÇÃO DIVERSAS RUAS</v>
      </c>
      <c r="F15" s="353"/>
      <c r="G15" s="353"/>
      <c r="H15" s="353"/>
      <c r="I15" s="354"/>
      <c r="J15" s="334"/>
      <c r="K15" s="355"/>
      <c r="L15" s="344" t="n">
        <v>0</v>
      </c>
      <c r="M15" s="356" t="n">
        <v>0</v>
      </c>
      <c r="N15" s="357" t="s">
        <v>860</v>
      </c>
      <c r="O15" s="358" t="e">
        <f aca="true">OFFSET($AA$15,0,O$13)</f>
        <v>#VALUE!</v>
      </c>
      <c r="Q15" s="359" t="n">
        <f aca="true">OFFSET($AA$15,0,Q$13)</f>
        <v>0</v>
      </c>
      <c r="R15" s="358" t="n">
        <f aca="true">OFFSET($AA$15,0,R$13)</f>
        <v>0</v>
      </c>
      <c r="S15" s="358" t="n">
        <f aca="true">OFFSET($AA$15,0,S$13)</f>
        <v>0</v>
      </c>
      <c r="T15" s="358" t="n">
        <f aca="true">OFFSET($AA$15,0,T$13)</f>
        <v>0</v>
      </c>
      <c r="U15" s="358" t="n">
        <f aca="true">OFFSET($AA$15,0,U$13)</f>
        <v>0</v>
      </c>
      <c r="V15" s="358" t="n">
        <f aca="true">OFFSET($AA$15,0,V$13)</f>
        <v>0</v>
      </c>
      <c r="W15" s="358" t="n">
        <f aca="true">OFFSET($AA$15,0,W$13)</f>
        <v>0</v>
      </c>
      <c r="X15" s="358" t="n">
        <f aca="true">OFFSET($AA$15,0,X$13)</f>
        <v>0</v>
      </c>
      <c r="Y15" s="358" t="n">
        <f aca="true">OFFSET($AA$15,0,Y$13)</f>
        <v>0</v>
      </c>
      <c r="Z15" s="360" t="n">
        <f aca="true">OFFSET($AA$15,0,Z$13)</f>
        <v>0</v>
      </c>
      <c r="AB15" s="361" t="n">
        <f aca="true">ROUND(SUM(OFFSET(AB$15,1,0):AB$21),2)</f>
        <v>0</v>
      </c>
      <c r="AC15" s="361" t="n">
        <f aca="true">SUM(OFFSET(AC$15,1,0):AC$21)</f>
        <v>0</v>
      </c>
      <c r="AD15" s="361" t="n">
        <f aca="true">SUM(OFFSET(AD$15,1,0):AD$21)</f>
        <v>0</v>
      </c>
      <c r="AE15" s="361" t="n">
        <f aca="true">SUM(OFFSET(AE$15,1,0):AE$21)</f>
        <v>0</v>
      </c>
      <c r="AF15" s="361" t="n">
        <f aca="true">SUM(OFFSET(AF$15,1,0):AF$21)</f>
        <v>0</v>
      </c>
      <c r="AG15" s="361" t="n">
        <f aca="true">SUM(OFFSET(AG$15,1,0):AG$21)</f>
        <v>0</v>
      </c>
      <c r="AH15" s="361" t="n">
        <f aca="true">SUM(OFFSET(AH$15,1,0):AH$21)</f>
        <v>0</v>
      </c>
      <c r="AI15" s="361" t="n">
        <f aca="true">SUM(OFFSET(AI$15,1,0):AI$21)</f>
        <v>0</v>
      </c>
      <c r="AJ15" s="361" t="n">
        <f aca="true">SUM(OFFSET(AJ$15,1,0):AJ$21)</f>
        <v>0</v>
      </c>
      <c r="AK15" s="361" t="n">
        <f aca="true">SUM(OFFSET(AK$15,1,0):AK$21)</f>
        <v>0</v>
      </c>
      <c r="AM15" s="362" t="n">
        <f aca="false">10^12</f>
        <v>1000000000000</v>
      </c>
      <c r="AN15" s="362" t="n">
        <f aca="false">10^12</f>
        <v>1000000000000</v>
      </c>
      <c r="AO15" s="362" t="n">
        <f aca="false">10^12</f>
        <v>1000000000000</v>
      </c>
      <c r="AP15" s="362" t="n">
        <f aca="false">10^12</f>
        <v>1000000000000</v>
      </c>
      <c r="AQ15" s="362" t="n">
        <f aca="false">10^12</f>
        <v>1000000000000</v>
      </c>
      <c r="AR15" s="362" t="n">
        <f aca="false">10^12</f>
        <v>1000000000000</v>
      </c>
      <c r="AS15" s="362" t="n">
        <f aca="false">10^12</f>
        <v>1000000000000</v>
      </c>
      <c r="AT15" s="362" t="n">
        <f aca="false">10^12</f>
        <v>1000000000000</v>
      </c>
      <c r="AU15" s="362" t="n">
        <f aca="false">10^12</f>
        <v>1000000000000</v>
      </c>
      <c r="AV15" s="362" t="n">
        <f aca="false">10^12</f>
        <v>1000000000000</v>
      </c>
      <c r="AX15" s="362" t="n">
        <f aca="false">10^12</f>
        <v>1000000000000</v>
      </c>
      <c r="AY15" s="362" t="n">
        <f aca="false">10^12</f>
        <v>1000000000000</v>
      </c>
      <c r="AZ15" s="362" t="n">
        <f aca="false">10^12</f>
        <v>1000000000000</v>
      </c>
      <c r="BA15" s="362" t="n">
        <f aca="false">10^12</f>
        <v>1000000000000</v>
      </c>
      <c r="BB15" s="362" t="n">
        <f aca="false">10^12</f>
        <v>1000000000000</v>
      </c>
      <c r="BC15" s="362" t="n">
        <f aca="false">10^12</f>
        <v>1000000000000</v>
      </c>
      <c r="BD15" s="362" t="n">
        <f aca="false">10^12</f>
        <v>1000000000000</v>
      </c>
      <c r="BE15" s="362" t="n">
        <f aca="false">10^12</f>
        <v>1000000000000</v>
      </c>
      <c r="BF15" s="362" t="n">
        <f aca="false">10^12</f>
        <v>1000000000000</v>
      </c>
      <c r="BG15" s="362" t="n">
        <f aca="false">10^12</f>
        <v>1000000000000</v>
      </c>
    </row>
    <row r="16" customFormat="false" ht="12.75" hidden="false" customHeight="false" outlineLevel="0" collapsed="false">
      <c r="A16" s="48" t="str">
        <f aca="true">IFERROR(IF(AUTOEVENTO="Manual",IF(K16&lt;&gt;"",MIN(VALUE(LEFT(K16,FIND(".",K16)-1)),COUNTA(EVENTOS.Lista)),0),IF(OR($B16&gt;AUTOEVENTO,$B16="S",$B16=0),SUBSTITUTE(OFFSET($A16,-1,0),IF($D16="Serviço",".",""),""),$L16&amp;".")),0)</f>
        <v>1.</v>
      </c>
      <c r="B16" s="48" t="n">
        <f aca="true">OFFSET(ORÇAMENTO!C$15,$L16,0)</f>
        <v>1</v>
      </c>
      <c r="C16" s="48" t="str">
        <f aca="true">OFFSET(ORÇAMENTO!L$15,$L16,0)</f>
        <v>F</v>
      </c>
      <c r="D16" s="205" t="str">
        <f aca="true">OFFSET(ORÇAMENTO!N$15,$L16,0)</f>
        <v>Meta</v>
      </c>
      <c r="E16" s="206" t="str">
        <f aca="true">OFFSET(ORÇAMENTO!O$15,$L16,0)</f>
        <v>1.</v>
      </c>
      <c r="F16" s="339" t="str">
        <f aca="true">OFFSET(ORÇAMENTO!R$15,$L16,0)</f>
        <v>REVITALIZAÇÃO DIVERSAS RUAS - RUA CARLOS GOMES</v>
      </c>
      <c r="G16" s="340" t="str">
        <f aca="true">IF($D16&lt;&gt;"Serviço","",OFFSET(ORÇAMENTO!S$15,$L16,0))</f>
        <v/>
      </c>
      <c r="H16" s="211" t="n">
        <f aca="true" t="array" ref="H16:H16">IF($D16&lt;&gt;"Serviço",0,IF(ACOMPANHAMENTO="BM",ROUND(OFFSET(ORÇAMENTO!AJ$15,$L16,0),15-13*ORÇAMENTO!$AF$7),IF(IFERROR(CÁLCULO.FrentesPreenchidas,0)=0,0,SUM(ROUND(OFFSET($P16,0,1,1,CÁLCULO.FrentesPreenchidas),15-13*ORÇAMENTO!$AF$7)))))</f>
        <v>0</v>
      </c>
      <c r="I16" s="341"/>
      <c r="J16" s="342" t="str">
        <f aca="false" t="array" ref="J16:J16">IF(OR(B16&lt;&gt;"S",CÁLCULO.FrentesPreenchidas=0),"",IF(AND(ACOMPANHAMENTO="PLE",AUTOEVENTO="Manual",OR(H16&gt;0,ORÇAMENTO!AC16="QUANT."),OR(K16="",M16=0,N16="")),"►E",IF(AND(ACOMPANHAMENTO="PLE",ORÇAMENTO!AC16="QUANT."),"►Q",IF(AND(ACOMPANHAMENTO="PLE",H16&lt;&gt;SUMPRODUCT(($Q$1:$AA$1=1)*ROUND(Q16:AA16,15))),"►S",IF(AND(COUNTIF($P$11:$AA$11,"▼")=0,H16&gt;0,I16=""),"◄M","")))))</f>
        <v/>
      </c>
      <c r="K16" s="343"/>
      <c r="L16" s="344" t="n">
        <f aca="true">OFFSET(L16,-1,0)+1</f>
        <v>1</v>
      </c>
      <c r="M16" s="345" t="str">
        <f aca="true">IF($D16&lt;&gt;"Serviço","",
          IF(AUTOEVENTO="manual",$A16,
                IF(ISERROR(MATCH($A16,$A$15:OFFSET($A16,-1,0),0)),MAX($M$15:OFFSET(M16,-1,0))+1,
                      INDEX($M$15:OFFSET(M16,-1,0),MATCH($A16,$A$15:OFFSET($A16,-1,0),0)))))</f>
        <v/>
      </c>
      <c r="N16" s="346" t="str">
        <f aca="true">IF($D16&lt;&gt;"Serviço","",
         IF(AUTOEVENTO="Manual",
                IF($A16=0,"&lt;-- defina o número do agrupador",
                       OFFSET(EVENTOS!$D$15,$A16-$A$15,0)),
                OFFSET($F$15,$A16,0)))</f>
        <v/>
      </c>
      <c r="O16" s="347"/>
      <c r="Q16" s="347"/>
      <c r="R16" s="348"/>
      <c r="S16" s="348"/>
      <c r="T16" s="348"/>
      <c r="U16" s="348"/>
      <c r="V16" s="348"/>
      <c r="W16" s="348"/>
      <c r="X16" s="348"/>
      <c r="Y16" s="348"/>
      <c r="Z16" s="349"/>
      <c r="AB16" s="350" t="n">
        <f aca="true">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350" t="n">
        <f aca="true">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350" t="n">
        <f aca="true">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350" t="n">
        <f aca="true">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350" t="n">
        <f aca="true">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350" t="n">
        <f aca="true">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350" t="n">
        <f aca="true">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350" t="n">
        <f aca="true">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350" t="n">
        <f aca="true">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350" t="n">
        <f aca="true">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351" t="n">
        <f aca="true">IF(OR($D16&lt;&gt;"Serviço",AND(AUTOEVENTO="Manual",$M16=$A$15)),0,
         IF(OFFSET(CRONOPLE!$F$15,$M16-$A$15,AM$13)=0,10^12,OFFSET(CRONOPLE!$F$15,$M16-$A$15,AM$13)))</f>
        <v>0</v>
      </c>
      <c r="AN16" s="351" t="n">
        <f aca="true">IF(OR($D16&lt;&gt;"Serviço",AND(AUTOEVENTO="Manual",$M16=$A$15)),0,
         IF(OFFSET(CRONOPLE!$F$15,$M16-$A$15,AN$13)=0,10^12,OFFSET(CRONOPLE!$F$15,$M16-$A$15,AN$13)))</f>
        <v>0</v>
      </c>
      <c r="AO16" s="351" t="n">
        <f aca="true">IF(OR($D16&lt;&gt;"Serviço",AND(AUTOEVENTO="Manual",$M16=$A$15)),0,
         IF(OFFSET(CRONOPLE!$F$15,$M16-$A$15,AO$13)=0,10^12,OFFSET(CRONOPLE!$F$15,$M16-$A$15,AO$13)))</f>
        <v>0</v>
      </c>
      <c r="AP16" s="351" t="n">
        <f aca="true">IF(OR($D16&lt;&gt;"Serviço",AND(AUTOEVENTO="Manual",$M16=$A$15)),0,
         IF(OFFSET(CRONOPLE!$F$15,$M16-$A$15,AP$13)=0,10^12,OFFSET(CRONOPLE!$F$15,$M16-$A$15,AP$13)))</f>
        <v>0</v>
      </c>
      <c r="AQ16" s="351" t="n">
        <f aca="true">IF(OR($D16&lt;&gt;"Serviço",AND(AUTOEVENTO="Manual",$M16=$A$15)),0,
         IF(OFFSET(CRONOPLE!$F$15,$M16-$A$15,AQ$13)=0,10^12,OFFSET(CRONOPLE!$F$15,$M16-$A$15,AQ$13)))</f>
        <v>0</v>
      </c>
      <c r="AR16" s="351" t="n">
        <f aca="true">IF(OR($D16&lt;&gt;"Serviço",AND(AUTOEVENTO="Manual",$M16=$A$15)),0,
         IF(OFFSET(CRONOPLE!$F$15,$M16-$A$15,AR$13)=0,10^12,OFFSET(CRONOPLE!$F$15,$M16-$A$15,AR$13)))</f>
        <v>0</v>
      </c>
      <c r="AS16" s="351" t="n">
        <f aca="true">IF(OR($D16&lt;&gt;"Serviço",AND(AUTOEVENTO="Manual",$M16=$A$15)),0,
         IF(OFFSET(CRONOPLE!$F$15,$M16-$A$15,AS$13)=0,10^12,OFFSET(CRONOPLE!$F$15,$M16-$A$15,AS$13)))</f>
        <v>0</v>
      </c>
      <c r="AT16" s="351" t="n">
        <f aca="true">IF(OR($D16&lt;&gt;"Serviço",AND(AUTOEVENTO="Manual",$M16=$A$15)),0,
         IF(OFFSET(CRONOPLE!$F$15,$M16-$A$15,AT$13)=0,10^12,OFFSET(CRONOPLE!$F$15,$M16-$A$15,AT$13)))</f>
        <v>0</v>
      </c>
      <c r="AU16" s="351" t="n">
        <f aca="true">IF(OR($D16&lt;&gt;"Serviço",AND(AUTOEVENTO="Manual",$M16=$A$15)),0,
         IF(OFFSET(CRONOPLE!$F$15,$M16-$A$15,AU$13)=0,10^12,OFFSET(CRONOPLE!$F$15,$M16-$A$15,AU$13)))</f>
        <v>0</v>
      </c>
      <c r="AV16" s="351" t="n">
        <f aca="true">IF(OR($D16&lt;&gt;"Serviço",AND(AUTOEVENTO="Manual",$M16=$A$15)),0,
         IF(OFFSET(CRONOPLE!$F$15,$M16-$A$15,AV$13)=0,10^12,OFFSET(CRONOPLE!$F$15,$M16-$A$15,AV$13)))</f>
        <v>0</v>
      </c>
      <c r="AX16" s="352" t="n">
        <f aca="true" t="array" ref="AX16:AX16">IF(OR($D16&lt;&gt;"Serviço",AND(AUTOEVENTO="Manual",$M16=$A$15),$M16&gt;(ROW(PLE.lastrow)-ROW(PLE.firstrow))),0,
           IF(OFFSET(PLE!$G$15,$M16-$A$15,AX$13)="",10^12,OFFSET(PLE!$G$15,$M16-$A$15,AX$13)))</f>
        <v>0</v>
      </c>
      <c r="AY16" s="352" t="n">
        <f aca="true" t="array" ref="AY16:AY16">IF(OR($D16&lt;&gt;"Serviço",AND(AUTOEVENTO="Manual",$M16=$A$15),$M16&gt;(ROW(PLE.lastrow)-ROW(PLE.firstrow))),0,
           IF(OFFSET(PLE!$G$15,$M16-$A$15,AY$13)="",10^12,OFFSET(PLE!$G$15,$M16-$A$15,AY$13)))</f>
        <v>0</v>
      </c>
      <c r="AZ16" s="352" t="n">
        <f aca="true" t="array" ref="AZ16:AZ16">IF(OR($D16&lt;&gt;"Serviço",AND(AUTOEVENTO="Manual",$M16=$A$15),$M16&gt;(ROW(PLE.lastrow)-ROW(PLE.firstrow))),0,
           IF(OFFSET(PLE!$G$15,$M16-$A$15,AZ$13)="",10^12,OFFSET(PLE!$G$15,$M16-$A$15,AZ$13)))</f>
        <v>0</v>
      </c>
      <c r="BA16" s="352" t="n">
        <f aca="true" t="array" ref="BA16:BA16">IF(OR($D16&lt;&gt;"Serviço",AND(AUTOEVENTO="Manual",$M16=$A$15),$M16&gt;(ROW(PLE.lastrow)-ROW(PLE.firstrow))),0,
           IF(OFFSET(PLE!$G$15,$M16-$A$15,BA$13)="",10^12,OFFSET(PLE!$G$15,$M16-$A$15,BA$13)))</f>
        <v>0</v>
      </c>
      <c r="BB16" s="352" t="n">
        <f aca="true" t="array" ref="BB16:BB16">IF(OR($D16&lt;&gt;"Serviço",AND(AUTOEVENTO="Manual",$M16=$A$15),$M16&gt;(ROW(PLE.lastrow)-ROW(PLE.firstrow))),0,
           IF(OFFSET(PLE!$G$15,$M16-$A$15,BB$13)="",10^12,OFFSET(PLE!$G$15,$M16-$A$15,BB$13)))</f>
        <v>0</v>
      </c>
      <c r="BC16" s="352" t="n">
        <f aca="true" t="array" ref="BC16:BC16">IF(OR($D16&lt;&gt;"Serviço",AND(AUTOEVENTO="Manual",$M16=$A$15),$M16&gt;(ROW(PLE.lastrow)-ROW(PLE.firstrow))),0,
           IF(OFFSET(PLE!$G$15,$M16-$A$15,BC$13)="",10^12,OFFSET(PLE!$G$15,$M16-$A$15,BC$13)))</f>
        <v>0</v>
      </c>
      <c r="BD16" s="352" t="n">
        <f aca="true" t="array" ref="BD16:BD16">IF(OR($D16&lt;&gt;"Serviço",AND(AUTOEVENTO="Manual",$M16=$A$15),$M16&gt;(ROW(PLE.lastrow)-ROW(PLE.firstrow))),0,
           IF(OFFSET(PLE!$G$15,$M16-$A$15,BD$13)="",10^12,OFFSET(PLE!$G$15,$M16-$A$15,BD$13)))</f>
        <v>0</v>
      </c>
      <c r="BE16" s="352" t="n">
        <f aca="true" t="array" ref="BE16:BE16">IF(OR($D16&lt;&gt;"Serviço",AND(AUTOEVENTO="Manual",$M16=$A$15),$M16&gt;(ROW(PLE.lastrow)-ROW(PLE.firstrow))),0,
           IF(OFFSET(PLE!$G$15,$M16-$A$15,BE$13)="",10^12,OFFSET(PLE!$G$15,$M16-$A$15,BE$13)))</f>
        <v>0</v>
      </c>
      <c r="BF16" s="352" t="n">
        <f aca="true" t="array" ref="BF16:BF16">IF(OR($D16&lt;&gt;"Serviço",AND(AUTOEVENTO="Manual",$M16=$A$15),$M16&gt;(ROW(PLE.lastrow)-ROW(PLE.firstrow))),0,
           IF(OFFSET(PLE!$G$15,$M16-$A$15,BF$13)="",10^12,OFFSET(PLE!$G$15,$M16-$A$15,BF$13)))</f>
        <v>0</v>
      </c>
      <c r="BG16" s="352" t="n">
        <f aca="true" t="array" ref="BG16:BG16">IF(OR($D16&lt;&gt;"Serviço",AND(AUTOEVENTO="Manual",$M16=$A$15),$M16&gt;(ROW(PLE.lastrow)-ROW(PLE.firstrow))),0,
           IF(OFFSET(PLE!$G$15,$M16-$A$15,BG$13)="",10^12,OFFSET(PLE!$G$15,$M16-$A$15,BG$13)))</f>
        <v>0</v>
      </c>
    </row>
    <row r="17" customFormat="false" ht="12.75" hidden="false" customHeight="false" outlineLevel="0" collapsed="false">
      <c r="A17" s="48" t="str">
        <f aca="true">IFERROR(IF(AUTOEVENTO="Manual",IF(K17&lt;&gt;"",MIN(VALUE(LEFT(K17,FIND(".",K17)-1)),COUNTA(EVENTOS.Lista)),0),IF(OR($B17&gt;AUTOEVENTO,$B17="S",$B17=0),SUBSTITUTE(OFFSET($A17,-1,0),IF($D17="Serviço",".",""),""),$L17&amp;".")),0)</f>
        <v>2.</v>
      </c>
      <c r="B17" s="48" t="n">
        <f aca="true">OFFSET(ORÇAMENTO!C$15,$L17,0)</f>
        <v>2</v>
      </c>
      <c r="C17" s="48" t="str">
        <f aca="true">OFFSET(ORÇAMENTO!L$15,$L17,0)</f>
        <v>F</v>
      </c>
      <c r="D17" s="205" t="str">
        <f aca="true">OFFSET(ORÇAMENTO!N$15,$L17,0)</f>
        <v>Nível 2</v>
      </c>
      <c r="E17" s="206" t="str">
        <f aca="true">OFFSET(ORÇAMENTO!O$15,$L17,0)</f>
        <v>1.1.</v>
      </c>
      <c r="F17" s="339" t="str">
        <f aca="true">OFFSET(ORÇAMENTO!R$15,$L17,0)</f>
        <v>PAVIMENTAÇÃO DE PARALELEPÍPEDOS</v>
      </c>
      <c r="G17" s="340" t="str">
        <f aca="true">IF($D17&lt;&gt;"Serviço","",OFFSET(ORÇAMENTO!S$15,$L17,0))</f>
        <v/>
      </c>
      <c r="H17" s="211" t="n">
        <f aca="true" t="array" ref="H17:H17">IF($D17&lt;&gt;"Serviço",0,IF(ACOMPANHAMENTO="BM",ROUND(OFFSET(ORÇAMENTO!AJ$15,$L17,0),15-13*ORÇAMENTO!$AF$7),IF(IFERROR(CÁLCULO.FrentesPreenchidas,0)=0,0,SUM(ROUND(OFFSET($P17,0,1,1,CÁLCULO.FrentesPreenchidas),15-13*ORÇAMENTO!$AF$7)))))</f>
        <v>0</v>
      </c>
      <c r="I17" s="341"/>
      <c r="J17" s="342" t="str">
        <f aca="false" t="array" ref="J17:J17">IF(OR(B17&lt;&gt;"S",CÁLCULO.FrentesPreenchidas=0),"",IF(AND(ACOMPANHAMENTO="PLE",AUTOEVENTO="Manual",OR(H17&gt;0,ORÇAMENTO!AC17="QUANT."),OR(K17="",M17=0,N17="")),"►E",IF(AND(ACOMPANHAMENTO="PLE",ORÇAMENTO!AC17="QUANT."),"►Q",IF(AND(ACOMPANHAMENTO="PLE",H17&lt;&gt;SUMPRODUCT(($Q$1:$AA$1=1)*ROUND(Q17:AA17,15))),"►S",IF(AND(COUNTIF($P$11:$AA$11,"▼")=0,H17&gt;0,I17=""),"◄M","")))))</f>
        <v/>
      </c>
      <c r="K17" s="343"/>
      <c r="L17" s="344" t="n">
        <f aca="true">OFFSET(L17,-1,0)+1</f>
        <v>2</v>
      </c>
      <c r="M17" s="345" t="str">
        <f aca="true">IF($D17&lt;&gt;"Serviço","",
          IF(AUTOEVENTO="manual",$A17,
                IF(ISERROR(MATCH($A17,$A$15:OFFSET($A17,-1,0),0)),MAX($M$15:OFFSET(M17,-1,0))+1,
                      INDEX($M$15:OFFSET(M17,-1,0),MATCH($A17,$A$15:OFFSET($A17,-1,0),0)))))</f>
        <v/>
      </c>
      <c r="N17" s="346" t="str">
        <f aca="true">IF($D17&lt;&gt;"Serviço","",
         IF(AUTOEVENTO="Manual",
                IF($A17=0,"&lt;-- defina o número do agrupador",
                       OFFSET(EVENTOS!$D$15,$A17-$A$15,0)),
                OFFSET($F$15,$A17,0)))</f>
        <v/>
      </c>
      <c r="O17" s="347"/>
      <c r="Q17" s="347"/>
      <c r="R17" s="348"/>
      <c r="S17" s="348"/>
      <c r="T17" s="348"/>
      <c r="U17" s="348"/>
      <c r="V17" s="348"/>
      <c r="W17" s="348"/>
      <c r="X17" s="348"/>
      <c r="Y17" s="348"/>
      <c r="Z17" s="349"/>
      <c r="AB17" s="350" t="n">
        <f aca="true">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350" t="n">
        <f aca="true">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350" t="n">
        <f aca="true">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350" t="n">
        <f aca="true">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350" t="n">
        <f aca="true">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350" t="n">
        <f aca="true">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350" t="n">
        <f aca="true">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350" t="n">
        <f aca="true">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350" t="n">
        <f aca="true">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350" t="n">
        <f aca="true">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351" t="n">
        <f aca="true">IF(OR($D17&lt;&gt;"Serviço",AND(AUTOEVENTO="Manual",$M17=$A$15)),0,
         IF(OFFSET(CRONOPLE!$F$15,$M17-$A$15,AM$13)=0,10^12,OFFSET(CRONOPLE!$F$15,$M17-$A$15,AM$13)))</f>
        <v>0</v>
      </c>
      <c r="AN17" s="351" t="n">
        <f aca="true">IF(OR($D17&lt;&gt;"Serviço",AND(AUTOEVENTO="Manual",$M17=$A$15)),0,
         IF(OFFSET(CRONOPLE!$F$15,$M17-$A$15,AN$13)=0,10^12,OFFSET(CRONOPLE!$F$15,$M17-$A$15,AN$13)))</f>
        <v>0</v>
      </c>
      <c r="AO17" s="351" t="n">
        <f aca="true">IF(OR($D17&lt;&gt;"Serviço",AND(AUTOEVENTO="Manual",$M17=$A$15)),0,
         IF(OFFSET(CRONOPLE!$F$15,$M17-$A$15,AO$13)=0,10^12,OFFSET(CRONOPLE!$F$15,$M17-$A$15,AO$13)))</f>
        <v>0</v>
      </c>
      <c r="AP17" s="351" t="n">
        <f aca="true">IF(OR($D17&lt;&gt;"Serviço",AND(AUTOEVENTO="Manual",$M17=$A$15)),0,
         IF(OFFSET(CRONOPLE!$F$15,$M17-$A$15,AP$13)=0,10^12,OFFSET(CRONOPLE!$F$15,$M17-$A$15,AP$13)))</f>
        <v>0</v>
      </c>
      <c r="AQ17" s="351" t="n">
        <f aca="true">IF(OR($D17&lt;&gt;"Serviço",AND(AUTOEVENTO="Manual",$M17=$A$15)),0,
         IF(OFFSET(CRONOPLE!$F$15,$M17-$A$15,AQ$13)=0,10^12,OFFSET(CRONOPLE!$F$15,$M17-$A$15,AQ$13)))</f>
        <v>0</v>
      </c>
      <c r="AR17" s="351" t="n">
        <f aca="true">IF(OR($D17&lt;&gt;"Serviço",AND(AUTOEVENTO="Manual",$M17=$A$15)),0,
         IF(OFFSET(CRONOPLE!$F$15,$M17-$A$15,AR$13)=0,10^12,OFFSET(CRONOPLE!$F$15,$M17-$A$15,AR$13)))</f>
        <v>0</v>
      </c>
      <c r="AS17" s="351" t="n">
        <f aca="true">IF(OR($D17&lt;&gt;"Serviço",AND(AUTOEVENTO="Manual",$M17=$A$15)),0,
         IF(OFFSET(CRONOPLE!$F$15,$M17-$A$15,AS$13)=0,10^12,OFFSET(CRONOPLE!$F$15,$M17-$A$15,AS$13)))</f>
        <v>0</v>
      </c>
      <c r="AT17" s="351" t="n">
        <f aca="true">IF(OR($D17&lt;&gt;"Serviço",AND(AUTOEVENTO="Manual",$M17=$A$15)),0,
         IF(OFFSET(CRONOPLE!$F$15,$M17-$A$15,AT$13)=0,10^12,OFFSET(CRONOPLE!$F$15,$M17-$A$15,AT$13)))</f>
        <v>0</v>
      </c>
      <c r="AU17" s="351" t="n">
        <f aca="true">IF(OR($D17&lt;&gt;"Serviço",AND(AUTOEVENTO="Manual",$M17=$A$15)),0,
         IF(OFFSET(CRONOPLE!$F$15,$M17-$A$15,AU$13)=0,10^12,OFFSET(CRONOPLE!$F$15,$M17-$A$15,AU$13)))</f>
        <v>0</v>
      </c>
      <c r="AV17" s="351" t="n">
        <f aca="true">IF(OR($D17&lt;&gt;"Serviço",AND(AUTOEVENTO="Manual",$M17=$A$15)),0,
         IF(OFFSET(CRONOPLE!$F$15,$M17-$A$15,AV$13)=0,10^12,OFFSET(CRONOPLE!$F$15,$M17-$A$15,AV$13)))</f>
        <v>0</v>
      </c>
      <c r="AX17" s="352" t="n">
        <f aca="true" t="array" ref="AX17:AX17">IF(OR($D17&lt;&gt;"Serviço",AND(AUTOEVENTO="Manual",$M17=$A$15),$M17&gt;(ROW(PLE.lastrow)-ROW(PLE.firstrow))),0,
           IF(OFFSET(PLE!$G$15,$M17-$A$15,AX$13)="",10^12,OFFSET(PLE!$G$15,$M17-$A$15,AX$13)))</f>
        <v>0</v>
      </c>
      <c r="AY17" s="352" t="n">
        <f aca="true" t="array" ref="AY17:AY17">IF(OR($D17&lt;&gt;"Serviço",AND(AUTOEVENTO="Manual",$M17=$A$15),$M17&gt;(ROW(PLE.lastrow)-ROW(PLE.firstrow))),0,
           IF(OFFSET(PLE!$G$15,$M17-$A$15,AY$13)="",10^12,OFFSET(PLE!$G$15,$M17-$A$15,AY$13)))</f>
        <v>0</v>
      </c>
      <c r="AZ17" s="352" t="n">
        <f aca="true" t="array" ref="AZ17:AZ17">IF(OR($D17&lt;&gt;"Serviço",AND(AUTOEVENTO="Manual",$M17=$A$15),$M17&gt;(ROW(PLE.lastrow)-ROW(PLE.firstrow))),0,
           IF(OFFSET(PLE!$G$15,$M17-$A$15,AZ$13)="",10^12,OFFSET(PLE!$G$15,$M17-$A$15,AZ$13)))</f>
        <v>0</v>
      </c>
      <c r="BA17" s="352" t="n">
        <f aca="true" t="array" ref="BA17:BA17">IF(OR($D17&lt;&gt;"Serviço",AND(AUTOEVENTO="Manual",$M17=$A$15),$M17&gt;(ROW(PLE.lastrow)-ROW(PLE.firstrow))),0,
           IF(OFFSET(PLE!$G$15,$M17-$A$15,BA$13)="",10^12,OFFSET(PLE!$G$15,$M17-$A$15,BA$13)))</f>
        <v>0</v>
      </c>
      <c r="BB17" s="352" t="n">
        <f aca="true" t="array" ref="BB17:BB17">IF(OR($D17&lt;&gt;"Serviço",AND(AUTOEVENTO="Manual",$M17=$A$15),$M17&gt;(ROW(PLE.lastrow)-ROW(PLE.firstrow))),0,
           IF(OFFSET(PLE!$G$15,$M17-$A$15,BB$13)="",10^12,OFFSET(PLE!$G$15,$M17-$A$15,BB$13)))</f>
        <v>0</v>
      </c>
      <c r="BC17" s="352" t="n">
        <f aca="true" t="array" ref="BC17:BC17">IF(OR($D17&lt;&gt;"Serviço",AND(AUTOEVENTO="Manual",$M17=$A$15),$M17&gt;(ROW(PLE.lastrow)-ROW(PLE.firstrow))),0,
           IF(OFFSET(PLE!$G$15,$M17-$A$15,BC$13)="",10^12,OFFSET(PLE!$G$15,$M17-$A$15,BC$13)))</f>
        <v>0</v>
      </c>
      <c r="BD17" s="352" t="n">
        <f aca="true" t="array" ref="BD17:BD17">IF(OR($D17&lt;&gt;"Serviço",AND(AUTOEVENTO="Manual",$M17=$A$15),$M17&gt;(ROW(PLE.lastrow)-ROW(PLE.firstrow))),0,
           IF(OFFSET(PLE!$G$15,$M17-$A$15,BD$13)="",10^12,OFFSET(PLE!$G$15,$M17-$A$15,BD$13)))</f>
        <v>0</v>
      </c>
      <c r="BE17" s="352" t="n">
        <f aca="true" t="array" ref="BE17:BE17">IF(OR($D17&lt;&gt;"Serviço",AND(AUTOEVENTO="Manual",$M17=$A$15),$M17&gt;(ROW(PLE.lastrow)-ROW(PLE.firstrow))),0,
           IF(OFFSET(PLE!$G$15,$M17-$A$15,BE$13)="",10^12,OFFSET(PLE!$G$15,$M17-$A$15,BE$13)))</f>
        <v>0</v>
      </c>
      <c r="BF17" s="352" t="n">
        <f aca="true" t="array" ref="BF17:BF17">IF(OR($D17&lt;&gt;"Serviço",AND(AUTOEVENTO="Manual",$M17=$A$15),$M17&gt;(ROW(PLE.lastrow)-ROW(PLE.firstrow))),0,
           IF(OFFSET(PLE!$G$15,$M17-$A$15,BF$13)="",10^12,OFFSET(PLE!$G$15,$M17-$A$15,BF$13)))</f>
        <v>0</v>
      </c>
      <c r="BG17" s="352" t="n">
        <f aca="true" t="array" ref="BG17:BG17">IF(OR($D17&lt;&gt;"Serviço",AND(AUTOEVENTO="Manual",$M17=$A$15),$M17&gt;(ROW(PLE.lastrow)-ROW(PLE.firstrow))),0,
           IF(OFFSET(PLE!$G$15,$M17-$A$15,BG$13)="",10^12,OFFSET(PLE!$G$15,$M17-$A$15,BG$13)))</f>
        <v>0</v>
      </c>
    </row>
    <row r="18" customFormat="false" ht="23.85" hidden="false" customHeight="false" outlineLevel="0" collapsed="false">
      <c r="A18" s="48" t="str">
        <f aca="true">IFERROR(IF(AUTOEVENTO="Manual",IF(K18&lt;&gt;"",MIN(VALUE(LEFT(K18,FIND(".",K18)-1)),COUNTA(EVENTOS.Lista)),0),IF(OR($B18&gt;AUTOEVENTO,$B18="S",$B18=0),SUBSTITUTE(OFFSET($A18,-1,0),IF($D18="Serviço",".",""),""),$L18&amp;".")),0)</f>
        <v>2</v>
      </c>
      <c r="B18" s="48" t="str">
        <f aca="true">OFFSET(ORÇAMENTO!C$15,$L18,0)</f>
        <v>S</v>
      </c>
      <c r="C18" s="48" t="str">
        <f aca="true">OFFSET(ORÇAMENTO!L$15,$L18,0)</f>
        <v/>
      </c>
      <c r="D18" s="205" t="str">
        <f aca="true">OFFSET(ORÇAMENTO!N$15,$L18,0)</f>
        <v>Serviço</v>
      </c>
      <c r="E18" s="206" t="str">
        <f aca="true">OFFSET(ORÇAMENTO!O$15,$L18,0)</f>
        <v>-</v>
      </c>
      <c r="F18" s="339" t="str">
        <f aca="true">OFFSET(ORÇAMENTO!R$15,$L18,0)</f>
        <v>REMOÇÃO E REASSENTAMENTO DE PAVIMENTO COM PARALELEPÍPEDOS - REJUNTAMENTO COM PÓ DE PEDRA - 85%</v>
      </c>
      <c r="G18" s="340" t="str">
        <f aca="true">IF($D18&lt;&gt;"Serviço","",OFFSET(ORÇAMENTO!S$15,$L18,0))</f>
        <v>-</v>
      </c>
      <c r="H18" s="211" t="n">
        <f aca="true" t="array" ref="H18:H18">IF($D18&lt;&gt;"Serviço",0,IF(ACOMPANHAMENTO="BM",ROUND(OFFSET(ORÇAMENTO!AJ$15,$L18,0),15-13*ORÇAMENTO!$AF$7),IF(IFERROR(CÁLCULO.FrentesPreenchidas,0)=0,0,SUM(ROUND(OFFSET($P18,0,1,1,CÁLCULO.FrentesPreenchidas),15-13*ORÇAMENTO!$AF$7)))))</f>
        <v>5175.65</v>
      </c>
      <c r="I18" s="341"/>
      <c r="J18" s="342" t="str">
        <f aca="false" t="array" ref="J18:J18">IF(OR(B18&lt;&gt;"S",CÁLCULO.FrentesPreenchidas=0),"",IF(AND(ACOMPANHAMENTO="PLE",AUTOEVENTO="Manual",OR(H18&gt;0,ORÇAMENTO!AC18="QUANT."),OR(K18="",M18=0,N18="")),"►E",IF(AND(ACOMPANHAMENTO="PLE",ORÇAMENTO!AC18="QUANT."),"►Q",IF(AND(ACOMPANHAMENTO="PLE",H18&lt;&gt;SUMPRODUCT(($Q$1:$AA$1=1)*ROUND(Q18:AA18,15))),"►S",IF(AND(COUNTIF($P$11:$AA$11,"▼")=0,H18&gt;0,I18=""),"◄M","")))))</f>
        <v/>
      </c>
      <c r="K18" s="343"/>
      <c r="L18" s="344" t="n">
        <f aca="true">OFFSET(L18,-1,0)+1</f>
        <v>3</v>
      </c>
      <c r="M18" s="345" t="n">
        <f aca="true">IF($D18&lt;&gt;"Serviço","",
          IF(AUTOEVENTO="manual",$A18,
                IF(ISERROR(MATCH($A18,$A$15:OFFSET($A18,-1,0),0)),MAX($M$15:OFFSET(M18,-1,0))+1,
                      INDEX($M$15:OFFSET(M18,-1,0),MATCH($A18,$A$15:OFFSET($A18,-1,0),0)))))</f>
        <v>1</v>
      </c>
      <c r="N18" s="346" t="str">
        <f aca="true">IF($D18&lt;&gt;"Serviço","",
         IF(AUTOEVENTO="Manual",
                IF($A18=0,"&lt;-- defina o número do agrupador",
                       OFFSET(EVENTOS!$D$15,$A18-$A$15,0)),
                OFFSET($F$15,$A18,0)))</f>
        <v>PAVIMENTAÇÃO DE PARALELEPÍPEDOS</v>
      </c>
      <c r="O18" s="347"/>
      <c r="Q18" s="347" t="n">
        <f aca="false">(908-29)*0.85</f>
        <v>747.15</v>
      </c>
      <c r="R18" s="348" t="n">
        <f aca="false">(1209-35)*0.85</f>
        <v>997.9</v>
      </c>
      <c r="S18" s="348" t="n">
        <f aca="false">(1084-35)*0.85</f>
        <v>891.65</v>
      </c>
      <c r="T18" s="348" t="n">
        <f aca="false">(904-19)*0.85</f>
        <v>752.25</v>
      </c>
      <c r="U18" s="348" t="n">
        <f aca="false">(1003-35)*0.85</f>
        <v>822.8</v>
      </c>
      <c r="V18" s="348" t="n">
        <f aca="false">(1153-19)*0.85</f>
        <v>963.9</v>
      </c>
      <c r="W18" s="348"/>
      <c r="X18" s="348"/>
      <c r="Y18" s="348"/>
      <c r="Z18" s="349"/>
      <c r="AB18" s="350" t="n">
        <f aca="true">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350" t="n">
        <f aca="true">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350" t="n">
        <f aca="true">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350" t="n">
        <f aca="true">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350" t="n">
        <f aca="true">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350" t="n">
        <f aca="true">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350" t="n">
        <f aca="true">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350" t="n">
        <f aca="true">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350" t="n">
        <f aca="true">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350" t="n">
        <f aca="true">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351" t="n">
        <f aca="true">IF(OR($D18&lt;&gt;"Serviço",AND(AUTOEVENTO="Manual",$M18=$A$15)),0,
         IF(OFFSET(CRONOPLE!$F$15,$M18-$A$15,AM$13)=0,10^12,OFFSET(CRONOPLE!$F$15,$M18-$A$15,AM$13)))</f>
        <v>1</v>
      </c>
      <c r="AN18" s="351" t="n">
        <f aca="true">IF(OR($D18&lt;&gt;"Serviço",AND(AUTOEVENTO="Manual",$M18=$A$15)),0,
         IF(OFFSET(CRONOPLE!$F$15,$M18-$A$15,AN$13)=0,10^12,OFFSET(CRONOPLE!$F$15,$M18-$A$15,AN$13)))</f>
        <v>2</v>
      </c>
      <c r="AO18" s="351" t="n">
        <f aca="true">IF(OR($D18&lt;&gt;"Serviço",AND(AUTOEVENTO="Manual",$M18=$A$15)),0,
         IF(OFFSET(CRONOPLE!$F$15,$M18-$A$15,AO$13)=0,10^12,OFFSET(CRONOPLE!$F$15,$M18-$A$15,AO$13)))</f>
        <v>3</v>
      </c>
      <c r="AP18" s="351" t="n">
        <f aca="true">IF(OR($D18&lt;&gt;"Serviço",AND(AUTOEVENTO="Manual",$M18=$A$15)),0,
         IF(OFFSET(CRONOPLE!$F$15,$M18-$A$15,AP$13)=0,10^12,OFFSET(CRONOPLE!$F$15,$M18-$A$15,AP$13)))</f>
        <v>4</v>
      </c>
      <c r="AQ18" s="351" t="n">
        <f aca="true">IF(OR($D18&lt;&gt;"Serviço",AND(AUTOEVENTO="Manual",$M18=$A$15)),0,
         IF(OFFSET(CRONOPLE!$F$15,$M18-$A$15,AQ$13)=0,10^12,OFFSET(CRONOPLE!$F$15,$M18-$A$15,AQ$13)))</f>
        <v>5</v>
      </c>
      <c r="AR18" s="351" t="n">
        <f aca="true">IF(OR($D18&lt;&gt;"Serviço",AND(AUTOEVENTO="Manual",$M18=$A$15)),0,
         IF(OFFSET(CRONOPLE!$F$15,$M18-$A$15,AR$13)=0,10^12,OFFSET(CRONOPLE!$F$15,$M18-$A$15,AR$13)))</f>
        <v>6</v>
      </c>
      <c r="AS18" s="351" t="n">
        <f aca="true">IF(OR($D18&lt;&gt;"Serviço",AND(AUTOEVENTO="Manual",$M18=$A$15)),0,
         IF(OFFSET(CRONOPLE!$F$15,$M18-$A$15,AS$13)=0,10^12,OFFSET(CRONOPLE!$F$15,$M18-$A$15,AS$13)))</f>
        <v>1000000000000</v>
      </c>
      <c r="AT18" s="351" t="n">
        <f aca="true">IF(OR($D18&lt;&gt;"Serviço",AND(AUTOEVENTO="Manual",$M18=$A$15)),0,
         IF(OFFSET(CRONOPLE!$F$15,$M18-$A$15,AT$13)=0,10^12,OFFSET(CRONOPLE!$F$15,$M18-$A$15,AT$13)))</f>
        <v>1000000000000</v>
      </c>
      <c r="AU18" s="351" t="n">
        <f aca="true">IF(OR($D18&lt;&gt;"Serviço",AND(AUTOEVENTO="Manual",$M18=$A$15)),0,
         IF(OFFSET(CRONOPLE!$F$15,$M18-$A$15,AU$13)=0,10^12,OFFSET(CRONOPLE!$F$15,$M18-$A$15,AU$13)))</f>
        <v>1000000000000</v>
      </c>
      <c r="AV18" s="351" t="n">
        <f aca="true">IF(OR($D18&lt;&gt;"Serviço",AND(AUTOEVENTO="Manual",$M18=$A$15)),0,
         IF(OFFSET(CRONOPLE!$F$15,$M18-$A$15,AV$13)=0,10^12,OFFSET(CRONOPLE!$F$15,$M18-$A$15,AV$13)))</f>
        <v>1000000000000</v>
      </c>
      <c r="AX18" s="352" t="n">
        <f aca="true" t="array" ref="AX18:AX18">IF(OR($D18&lt;&gt;"Serviço",AND(AUTOEVENTO="Manual",$M18=$A$15),$M18&gt;(ROW(PLE.lastrow)-ROW(PLE.firstrow))),0,
           IF(OFFSET(PLE!$G$15,$M18-$A$15,AX$13)="",10^12,OFFSET(PLE!$G$15,$M18-$A$15,AX$13)))</f>
        <v>1000000000000</v>
      </c>
      <c r="AY18" s="352" t="n">
        <f aca="true" t="array" ref="AY18:AY18">IF(OR($D18&lt;&gt;"Serviço",AND(AUTOEVENTO="Manual",$M18=$A$15),$M18&gt;(ROW(PLE.lastrow)-ROW(PLE.firstrow))),0,
           IF(OFFSET(PLE!$G$15,$M18-$A$15,AY$13)="",10^12,OFFSET(PLE!$G$15,$M18-$A$15,AY$13)))</f>
        <v>1000000000000</v>
      </c>
      <c r="AZ18" s="352" t="n">
        <f aca="true" t="array" ref="AZ18:AZ18">IF(OR($D18&lt;&gt;"Serviço",AND(AUTOEVENTO="Manual",$M18=$A$15),$M18&gt;(ROW(PLE.lastrow)-ROW(PLE.firstrow))),0,
           IF(OFFSET(PLE!$G$15,$M18-$A$15,AZ$13)="",10^12,OFFSET(PLE!$G$15,$M18-$A$15,AZ$13)))</f>
        <v>1000000000000</v>
      </c>
      <c r="BA18" s="352" t="n">
        <f aca="true" t="array" ref="BA18:BA18">IF(OR($D18&lt;&gt;"Serviço",AND(AUTOEVENTO="Manual",$M18=$A$15),$M18&gt;(ROW(PLE.lastrow)-ROW(PLE.firstrow))),0,
           IF(OFFSET(PLE!$G$15,$M18-$A$15,BA$13)="",10^12,OFFSET(PLE!$G$15,$M18-$A$15,BA$13)))</f>
        <v>1000000000000</v>
      </c>
      <c r="BB18" s="352" t="n">
        <f aca="true" t="array" ref="BB18:BB18">IF(OR($D18&lt;&gt;"Serviço",AND(AUTOEVENTO="Manual",$M18=$A$15),$M18&gt;(ROW(PLE.lastrow)-ROW(PLE.firstrow))),0,
           IF(OFFSET(PLE!$G$15,$M18-$A$15,BB$13)="",10^12,OFFSET(PLE!$G$15,$M18-$A$15,BB$13)))</f>
        <v>1000000000000</v>
      </c>
      <c r="BC18" s="352" t="n">
        <f aca="true" t="array" ref="BC18:BC18">IF(OR($D18&lt;&gt;"Serviço",AND(AUTOEVENTO="Manual",$M18=$A$15),$M18&gt;(ROW(PLE.lastrow)-ROW(PLE.firstrow))),0,
           IF(OFFSET(PLE!$G$15,$M18-$A$15,BC$13)="",10^12,OFFSET(PLE!$G$15,$M18-$A$15,BC$13)))</f>
        <v>1000000000000</v>
      </c>
      <c r="BD18" s="352" t="n">
        <f aca="true" t="array" ref="BD18:BD18">IF(OR($D18&lt;&gt;"Serviço",AND(AUTOEVENTO="Manual",$M18=$A$15),$M18&gt;(ROW(PLE.lastrow)-ROW(PLE.firstrow))),0,
           IF(OFFSET(PLE!$G$15,$M18-$A$15,BD$13)="",10^12,OFFSET(PLE!$G$15,$M18-$A$15,BD$13)))</f>
        <v>1000000000000</v>
      </c>
      <c r="BE18" s="352" t="n">
        <f aca="true" t="array" ref="BE18:BE18">IF(OR($D18&lt;&gt;"Serviço",AND(AUTOEVENTO="Manual",$M18=$A$15),$M18&gt;(ROW(PLE.lastrow)-ROW(PLE.firstrow))),0,
           IF(OFFSET(PLE!$G$15,$M18-$A$15,BE$13)="",10^12,OFFSET(PLE!$G$15,$M18-$A$15,BE$13)))</f>
        <v>1000000000000</v>
      </c>
      <c r="BF18" s="352" t="n">
        <f aca="true" t="array" ref="BF18:BF18">IF(OR($D18&lt;&gt;"Serviço",AND(AUTOEVENTO="Manual",$M18=$A$15),$M18&gt;(ROW(PLE.lastrow)-ROW(PLE.firstrow))),0,
           IF(OFFSET(PLE!$G$15,$M18-$A$15,BF$13)="",10^12,OFFSET(PLE!$G$15,$M18-$A$15,BF$13)))</f>
        <v>1000000000000</v>
      </c>
      <c r="BG18" s="352" t="n">
        <f aca="true" t="array" ref="BG18:BG18">IF(OR($D18&lt;&gt;"Serviço",AND(AUTOEVENTO="Manual",$M18=$A$15),$M18&gt;(ROW(PLE.lastrow)-ROW(PLE.firstrow))),0,
           IF(OFFSET(PLE!$G$15,$M18-$A$15,BG$13)="",10^12,OFFSET(PLE!$G$15,$M18-$A$15,BG$13)))</f>
        <v>1000000000000</v>
      </c>
    </row>
    <row r="19" customFormat="false" ht="12.75" hidden="false" customHeight="false" outlineLevel="0" collapsed="false">
      <c r="A19" s="48" t="str">
        <f aca="true">IFERROR(IF(AUTOEVENTO="Manual",IF(K19&lt;&gt;"",MIN(VALUE(LEFT(K19,FIND(".",K19)-1)),COUNTA(EVENTOS.Lista)),0),IF(OR($B19&gt;AUTOEVENTO,$B19="S",$B19=0),SUBSTITUTE(OFFSET($A19,-1,0),IF($D19="Serviço",".",""),""),$L19&amp;".")),0)</f>
        <v>4.</v>
      </c>
      <c r="B19" s="48" t="n">
        <f aca="true">OFFSET(ORÇAMENTO!C$15,$L19,0)</f>
        <v>2</v>
      </c>
      <c r="C19" s="48" t="str">
        <f aca="true">OFFSET(ORÇAMENTO!L$15,$L19,0)</f>
        <v>F</v>
      </c>
      <c r="D19" s="205" t="str">
        <f aca="true">OFFSET(ORÇAMENTO!N$15,$L19,0)</f>
        <v>Nível 2</v>
      </c>
      <c r="E19" s="206" t="str">
        <f aca="true">OFFSET(ORÇAMENTO!O$15,$L19,0)</f>
        <v>1.2.</v>
      </c>
      <c r="F19" s="339" t="str">
        <f aca="true">OFFSET(ORÇAMENTO!R$15,$L19,0)</f>
        <v>ACAMENTO DE PAVIMENTAÇÃO COM PARALELPÍPEDOS</v>
      </c>
      <c r="G19" s="340" t="str">
        <f aca="true">IF($D19&lt;&gt;"Serviço","",OFFSET(ORÇAMENTO!S$15,$L19,0))</f>
        <v/>
      </c>
      <c r="H19" s="211" t="n">
        <f aca="true" t="array" ref="H19:H19">IF($D19&lt;&gt;"Serviço",0,IF(ACOMPANHAMENTO="BM",ROUND(OFFSET(ORÇAMENTO!AJ$15,$L19,0),15-13*ORÇAMENTO!$AF$7),IF(IFERROR(CÁLCULO.FrentesPreenchidas,0)=0,0,SUM(ROUND(OFFSET($P19,0,1,1,CÁLCULO.FrentesPreenchidas),15-13*ORÇAMENTO!$AF$7)))))</f>
        <v>0</v>
      </c>
      <c r="I19" s="341"/>
      <c r="J19" s="342" t="str">
        <f aca="false" t="array" ref="J19:J19">IF(OR(B19&lt;&gt;"S",CÁLCULO.FrentesPreenchidas=0),"",IF(AND(ACOMPANHAMENTO="PLE",AUTOEVENTO="Manual",OR(H19&gt;0,ORÇAMENTO!AC19="QUANT."),OR(K19="",M19=0,N19="")),"►E",IF(AND(ACOMPANHAMENTO="PLE",ORÇAMENTO!AC19="QUANT."),"►Q",IF(AND(ACOMPANHAMENTO="PLE",H19&lt;&gt;SUMPRODUCT(($Q$1:$AA$1=1)*ROUND(Q19:AA19,15))),"►S",IF(AND(COUNTIF($P$11:$AA$11,"▼")=0,H19&gt;0,I19=""),"◄M","")))))</f>
        <v/>
      </c>
      <c r="K19" s="343"/>
      <c r="L19" s="344" t="n">
        <f aca="true">OFFSET(L19,-1,0)+1</f>
        <v>4</v>
      </c>
      <c r="M19" s="345" t="str">
        <f aca="true">IF($D19&lt;&gt;"Serviço","",
          IF(AUTOEVENTO="manual",$A19,
                IF(ISERROR(MATCH($A19,$A$15:OFFSET($A19,-1,0),0)),MAX($M$15:OFFSET(M19,-1,0))+1,
                      INDEX($M$15:OFFSET(M19,-1,0),MATCH($A19,$A$15:OFFSET($A19,-1,0),0)))))</f>
        <v/>
      </c>
      <c r="N19" s="346" t="str">
        <f aca="true">IF($D19&lt;&gt;"Serviço","",
         IF(AUTOEVENTO="Manual",
                IF($A19=0,"&lt;-- defina o número do agrupador",
                       OFFSET(EVENTOS!$D$15,$A19-$A$15,0)),
                OFFSET($F$15,$A19,0)))</f>
        <v/>
      </c>
      <c r="O19" s="347"/>
      <c r="Q19" s="347"/>
      <c r="R19" s="348"/>
      <c r="S19" s="348"/>
      <c r="T19" s="348"/>
      <c r="U19" s="348"/>
      <c r="V19" s="348"/>
      <c r="W19" s="348"/>
      <c r="X19" s="348"/>
      <c r="Y19" s="348"/>
      <c r="Z19" s="349"/>
      <c r="AB19" s="350" t="n">
        <f aca="true">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350" t="n">
        <f aca="true">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350" t="n">
        <f aca="true">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350" t="n">
        <f aca="true">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350" t="n">
        <f aca="true">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350" t="n">
        <f aca="true">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350" t="n">
        <f aca="true">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350" t="n">
        <f aca="true">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350" t="n">
        <f aca="true">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350" t="n">
        <f aca="true">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351" t="n">
        <f aca="true">IF(OR($D19&lt;&gt;"Serviço",AND(AUTOEVENTO="Manual",$M19=$A$15)),0,
         IF(OFFSET(CRONOPLE!$F$15,$M19-$A$15,AM$13)=0,10^12,OFFSET(CRONOPLE!$F$15,$M19-$A$15,AM$13)))</f>
        <v>0</v>
      </c>
      <c r="AN19" s="351" t="n">
        <f aca="true">IF(OR($D19&lt;&gt;"Serviço",AND(AUTOEVENTO="Manual",$M19=$A$15)),0,
         IF(OFFSET(CRONOPLE!$F$15,$M19-$A$15,AN$13)=0,10^12,OFFSET(CRONOPLE!$F$15,$M19-$A$15,AN$13)))</f>
        <v>0</v>
      </c>
      <c r="AO19" s="351" t="n">
        <f aca="true">IF(OR($D19&lt;&gt;"Serviço",AND(AUTOEVENTO="Manual",$M19=$A$15)),0,
         IF(OFFSET(CRONOPLE!$F$15,$M19-$A$15,AO$13)=0,10^12,OFFSET(CRONOPLE!$F$15,$M19-$A$15,AO$13)))</f>
        <v>0</v>
      </c>
      <c r="AP19" s="351" t="n">
        <f aca="true">IF(OR($D19&lt;&gt;"Serviço",AND(AUTOEVENTO="Manual",$M19=$A$15)),0,
         IF(OFFSET(CRONOPLE!$F$15,$M19-$A$15,AP$13)=0,10^12,OFFSET(CRONOPLE!$F$15,$M19-$A$15,AP$13)))</f>
        <v>0</v>
      </c>
      <c r="AQ19" s="351" t="n">
        <f aca="true">IF(OR($D19&lt;&gt;"Serviço",AND(AUTOEVENTO="Manual",$M19=$A$15)),0,
         IF(OFFSET(CRONOPLE!$F$15,$M19-$A$15,AQ$13)=0,10^12,OFFSET(CRONOPLE!$F$15,$M19-$A$15,AQ$13)))</f>
        <v>0</v>
      </c>
      <c r="AR19" s="351" t="n">
        <f aca="true">IF(OR($D19&lt;&gt;"Serviço",AND(AUTOEVENTO="Manual",$M19=$A$15)),0,
         IF(OFFSET(CRONOPLE!$F$15,$M19-$A$15,AR$13)=0,10^12,OFFSET(CRONOPLE!$F$15,$M19-$A$15,AR$13)))</f>
        <v>0</v>
      </c>
      <c r="AS19" s="351" t="n">
        <f aca="true">IF(OR($D19&lt;&gt;"Serviço",AND(AUTOEVENTO="Manual",$M19=$A$15)),0,
         IF(OFFSET(CRONOPLE!$F$15,$M19-$A$15,AS$13)=0,10^12,OFFSET(CRONOPLE!$F$15,$M19-$A$15,AS$13)))</f>
        <v>0</v>
      </c>
      <c r="AT19" s="351" t="n">
        <f aca="true">IF(OR($D19&lt;&gt;"Serviço",AND(AUTOEVENTO="Manual",$M19=$A$15)),0,
         IF(OFFSET(CRONOPLE!$F$15,$M19-$A$15,AT$13)=0,10^12,OFFSET(CRONOPLE!$F$15,$M19-$A$15,AT$13)))</f>
        <v>0</v>
      </c>
      <c r="AU19" s="351" t="n">
        <f aca="true">IF(OR($D19&lt;&gt;"Serviço",AND(AUTOEVENTO="Manual",$M19=$A$15)),0,
         IF(OFFSET(CRONOPLE!$F$15,$M19-$A$15,AU$13)=0,10^12,OFFSET(CRONOPLE!$F$15,$M19-$A$15,AU$13)))</f>
        <v>0</v>
      </c>
      <c r="AV19" s="351" t="n">
        <f aca="true">IF(OR($D19&lt;&gt;"Serviço",AND(AUTOEVENTO="Manual",$M19=$A$15)),0,
         IF(OFFSET(CRONOPLE!$F$15,$M19-$A$15,AV$13)=0,10^12,OFFSET(CRONOPLE!$F$15,$M19-$A$15,AV$13)))</f>
        <v>0</v>
      </c>
      <c r="AX19" s="352" t="n">
        <f aca="true" t="array" ref="AX19:AX19">IF(OR($D19&lt;&gt;"Serviço",AND(AUTOEVENTO="Manual",$M19=$A$15),$M19&gt;(ROW(PLE.lastrow)-ROW(PLE.firstrow))),0,
           IF(OFFSET(PLE!$G$15,$M19-$A$15,AX$13)="",10^12,OFFSET(PLE!$G$15,$M19-$A$15,AX$13)))</f>
        <v>0</v>
      </c>
      <c r="AY19" s="352" t="n">
        <f aca="true" t="array" ref="AY19:AY19">IF(OR($D19&lt;&gt;"Serviço",AND(AUTOEVENTO="Manual",$M19=$A$15),$M19&gt;(ROW(PLE.lastrow)-ROW(PLE.firstrow))),0,
           IF(OFFSET(PLE!$G$15,$M19-$A$15,AY$13)="",10^12,OFFSET(PLE!$G$15,$M19-$A$15,AY$13)))</f>
        <v>0</v>
      </c>
      <c r="AZ19" s="352" t="n">
        <f aca="true" t="array" ref="AZ19:AZ19">IF(OR($D19&lt;&gt;"Serviço",AND(AUTOEVENTO="Manual",$M19=$A$15),$M19&gt;(ROW(PLE.lastrow)-ROW(PLE.firstrow))),0,
           IF(OFFSET(PLE!$G$15,$M19-$A$15,AZ$13)="",10^12,OFFSET(PLE!$G$15,$M19-$A$15,AZ$13)))</f>
        <v>0</v>
      </c>
      <c r="BA19" s="352" t="n">
        <f aca="true" t="array" ref="BA19:BA19">IF(OR($D19&lt;&gt;"Serviço",AND(AUTOEVENTO="Manual",$M19=$A$15),$M19&gt;(ROW(PLE.lastrow)-ROW(PLE.firstrow))),0,
           IF(OFFSET(PLE!$G$15,$M19-$A$15,BA$13)="",10^12,OFFSET(PLE!$G$15,$M19-$A$15,BA$13)))</f>
        <v>0</v>
      </c>
      <c r="BB19" s="352" t="n">
        <f aca="true" t="array" ref="BB19:BB19">IF(OR($D19&lt;&gt;"Serviço",AND(AUTOEVENTO="Manual",$M19=$A$15),$M19&gt;(ROW(PLE.lastrow)-ROW(PLE.firstrow))),0,
           IF(OFFSET(PLE!$G$15,$M19-$A$15,BB$13)="",10^12,OFFSET(PLE!$G$15,$M19-$A$15,BB$13)))</f>
        <v>0</v>
      </c>
      <c r="BC19" s="352" t="n">
        <f aca="true" t="array" ref="BC19:BC19">IF(OR($D19&lt;&gt;"Serviço",AND(AUTOEVENTO="Manual",$M19=$A$15),$M19&gt;(ROW(PLE.lastrow)-ROW(PLE.firstrow))),0,
           IF(OFFSET(PLE!$G$15,$M19-$A$15,BC$13)="",10^12,OFFSET(PLE!$G$15,$M19-$A$15,BC$13)))</f>
        <v>0</v>
      </c>
      <c r="BD19" s="352" t="n">
        <f aca="true" t="array" ref="BD19:BD19">IF(OR($D19&lt;&gt;"Serviço",AND(AUTOEVENTO="Manual",$M19=$A$15),$M19&gt;(ROW(PLE.lastrow)-ROW(PLE.firstrow))),0,
           IF(OFFSET(PLE!$G$15,$M19-$A$15,BD$13)="",10^12,OFFSET(PLE!$G$15,$M19-$A$15,BD$13)))</f>
        <v>0</v>
      </c>
      <c r="BE19" s="352" t="n">
        <f aca="true" t="array" ref="BE19:BE19">IF(OR($D19&lt;&gt;"Serviço",AND(AUTOEVENTO="Manual",$M19=$A$15),$M19&gt;(ROW(PLE.lastrow)-ROW(PLE.firstrow))),0,
           IF(OFFSET(PLE!$G$15,$M19-$A$15,BE$13)="",10^12,OFFSET(PLE!$G$15,$M19-$A$15,BE$13)))</f>
        <v>0</v>
      </c>
      <c r="BF19" s="352" t="n">
        <f aca="true" t="array" ref="BF19:BF19">IF(OR($D19&lt;&gt;"Serviço",AND(AUTOEVENTO="Manual",$M19=$A$15),$M19&gt;(ROW(PLE.lastrow)-ROW(PLE.firstrow))),0,
           IF(OFFSET(PLE!$G$15,$M19-$A$15,BF$13)="",10^12,OFFSET(PLE!$G$15,$M19-$A$15,BF$13)))</f>
        <v>0</v>
      </c>
      <c r="BG19" s="352" t="n">
        <f aca="true" t="array" ref="BG19:BG19">IF(OR($D19&lt;&gt;"Serviço",AND(AUTOEVENTO="Manual",$M19=$A$15),$M19&gt;(ROW(PLE.lastrow)-ROW(PLE.firstrow))),0,
           IF(OFFSET(PLE!$G$15,$M19-$A$15,BG$13)="",10^12,OFFSET(PLE!$G$15,$M19-$A$15,BG$13)))</f>
        <v>0</v>
      </c>
    </row>
    <row r="20" customFormat="false" ht="23.85" hidden="false" customHeight="false" outlineLevel="0" collapsed="false">
      <c r="A20" s="48" t="str">
        <f aca="true">IFERROR(IF(AUTOEVENTO="Manual",IF(K20&lt;&gt;"",MIN(VALUE(LEFT(K20,FIND(".",K20)-1)),COUNTA(EVENTOS.Lista)),0),IF(OR($B20&gt;AUTOEVENTO,$B20="S",$B20=0),SUBSTITUTE(OFFSET($A20,-1,0),IF($D20="Serviço",".",""),""),$L20&amp;".")),0)</f>
        <v>4</v>
      </c>
      <c r="B20" s="48" t="str">
        <f aca="true">OFFSET(ORÇAMENTO!C$15,$L20,0)</f>
        <v>S</v>
      </c>
      <c r="C20" s="48" t="str">
        <f aca="true">OFFSET(ORÇAMENTO!L$15,$L20,0)</f>
        <v/>
      </c>
      <c r="D20" s="205" t="str">
        <f aca="true">OFFSET(ORÇAMENTO!N$15,$L20,0)</f>
        <v>Serviço</v>
      </c>
      <c r="E20" s="206" t="str">
        <f aca="true">OFFSET(ORÇAMENTO!O$15,$L20,0)</f>
        <v>-</v>
      </c>
      <c r="F20" s="339" t="str">
        <f aca="true">OFFSET(ORÇAMENTO!R$15,$L20,0)</f>
        <v>REMOÇÃO E REASSENTAMENTO DE PAVIMENTO COM PARALELEPÍPEDOS - REJUNTAMENTO COM PÓ DE PEDRA - 15%</v>
      </c>
      <c r="G20" s="340" t="str">
        <f aca="true">IF($D20&lt;&gt;"Serviço","",OFFSET(ORÇAMENTO!S$15,$L20,0))</f>
        <v>-</v>
      </c>
      <c r="H20" s="211" t="n">
        <f aca="true" t="array" ref="H20:H20">IF($D20&lt;&gt;"Serviço",0,IF(ACOMPANHAMENTO="BM",ROUND(OFFSET(ORÇAMENTO!AJ$15,$L20,0),15-13*ORÇAMENTO!$AF$7),IF(IFERROR(CÁLCULO.FrentesPreenchidas,0)=0,0,SUM(ROUND(OFFSET($P20,0,1,1,CÁLCULO.FrentesPreenchidas),15-13*ORÇAMENTO!$AF$7)))))</f>
        <v>913.35</v>
      </c>
      <c r="I20" s="341"/>
      <c r="J20" s="342" t="str">
        <f aca="false" t="array" ref="J20:J20">IF(OR(B20&lt;&gt;"S",CÁLCULO.FrentesPreenchidas=0),"",IF(AND(ACOMPANHAMENTO="PLE",AUTOEVENTO="Manual",OR(H20&gt;0,ORÇAMENTO!AC20="QUANT."),OR(K20="",M20=0,N20="")),"►E",IF(AND(ACOMPANHAMENTO="PLE",ORÇAMENTO!AC20="QUANT."),"►Q",IF(AND(ACOMPANHAMENTO="PLE",H20&lt;&gt;SUMPRODUCT(($Q$1:$AA$1=1)*ROUND(Q20:AA20,15))),"►S",IF(AND(COUNTIF($P$11:$AA$11,"▼")=0,H20&gt;0,I20=""),"◄M","")))))</f>
        <v/>
      </c>
      <c r="K20" s="343"/>
      <c r="L20" s="344" t="n">
        <f aca="true">OFFSET(L20,-1,0)+1</f>
        <v>5</v>
      </c>
      <c r="M20" s="345" t="n">
        <f aca="true">IF($D20&lt;&gt;"Serviço","",
          IF(AUTOEVENTO="manual",$A20,
                IF(ISERROR(MATCH($A20,$A$15:OFFSET($A20,-1,0),0)),MAX($M$15:OFFSET(M20,-1,0))+1,
                      INDEX($M$15:OFFSET(M20,-1,0),MATCH($A20,$A$15:OFFSET($A20,-1,0),0)))))</f>
        <v>2</v>
      </c>
      <c r="N20" s="346" t="str">
        <f aca="true">IF($D20&lt;&gt;"Serviço","",
         IF(AUTOEVENTO="Manual",
                IF($A20=0,"&lt;-- defina o número do agrupador",
                       OFFSET(EVENTOS!$D$15,$A20-$A$15,0)),
                OFFSET($F$15,$A20,0)))</f>
        <v>ACAMENTO DE PAVIMENTAÇÃO COM PARALELPÍPEDOS</v>
      </c>
      <c r="O20" s="347"/>
      <c r="Q20" s="347" t="n">
        <f aca="false">(908-29)*0.15</f>
        <v>131.85</v>
      </c>
      <c r="R20" s="348" t="n">
        <f aca="false">(1209-35)*0.15</f>
        <v>176.1</v>
      </c>
      <c r="S20" s="348" t="n">
        <f aca="false">(1084-35)*0.15</f>
        <v>157.35</v>
      </c>
      <c r="T20" s="348" t="n">
        <f aca="false">(904-19)*0.15</f>
        <v>132.75</v>
      </c>
      <c r="U20" s="348" t="n">
        <f aca="false">(1003-35)*0.15</f>
        <v>145.2</v>
      </c>
      <c r="V20" s="348" t="n">
        <f aca="false">(1153-19)*0.15</f>
        <v>170.1</v>
      </c>
      <c r="W20" s="348"/>
      <c r="X20" s="348"/>
      <c r="Y20" s="348"/>
      <c r="Z20" s="349"/>
      <c r="AB20" s="350" t="n">
        <f aca="true">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350" t="n">
        <f aca="true">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350" t="n">
        <f aca="true">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350" t="n">
        <f aca="true">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350" t="n">
        <f aca="true">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350" t="n">
        <f aca="true">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350" t="n">
        <f aca="true">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350" t="n">
        <f aca="true">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350" t="n">
        <f aca="true">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350" t="n">
        <f aca="true">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351" t="n">
        <f aca="true">IF(OR($D20&lt;&gt;"Serviço",AND(AUTOEVENTO="Manual",$M20=$A$15)),0,
         IF(OFFSET(CRONOPLE!$F$15,$M20-$A$15,AM$13)=0,10^12,OFFSET(CRONOPLE!$F$15,$M20-$A$15,AM$13)))</f>
        <v>1</v>
      </c>
      <c r="AN20" s="351" t="n">
        <f aca="true">IF(OR($D20&lt;&gt;"Serviço",AND(AUTOEVENTO="Manual",$M20=$A$15)),0,
         IF(OFFSET(CRONOPLE!$F$15,$M20-$A$15,AN$13)=0,10^12,OFFSET(CRONOPLE!$F$15,$M20-$A$15,AN$13)))</f>
        <v>2</v>
      </c>
      <c r="AO20" s="351" t="n">
        <f aca="true">IF(OR($D20&lt;&gt;"Serviço",AND(AUTOEVENTO="Manual",$M20=$A$15)),0,
         IF(OFFSET(CRONOPLE!$F$15,$M20-$A$15,AO$13)=0,10^12,OFFSET(CRONOPLE!$F$15,$M20-$A$15,AO$13)))</f>
        <v>3</v>
      </c>
      <c r="AP20" s="351" t="n">
        <f aca="true">IF(OR($D20&lt;&gt;"Serviço",AND(AUTOEVENTO="Manual",$M20=$A$15)),0,
         IF(OFFSET(CRONOPLE!$F$15,$M20-$A$15,AP$13)=0,10^12,OFFSET(CRONOPLE!$F$15,$M20-$A$15,AP$13)))</f>
        <v>4</v>
      </c>
      <c r="AQ20" s="351" t="n">
        <f aca="true">IF(OR($D20&lt;&gt;"Serviço",AND(AUTOEVENTO="Manual",$M20=$A$15)),0,
         IF(OFFSET(CRONOPLE!$F$15,$M20-$A$15,AQ$13)=0,10^12,OFFSET(CRONOPLE!$F$15,$M20-$A$15,AQ$13)))</f>
        <v>5</v>
      </c>
      <c r="AR20" s="351" t="n">
        <f aca="true">IF(OR($D20&lt;&gt;"Serviço",AND(AUTOEVENTO="Manual",$M20=$A$15)),0,
         IF(OFFSET(CRONOPLE!$F$15,$M20-$A$15,AR$13)=0,10^12,OFFSET(CRONOPLE!$F$15,$M20-$A$15,AR$13)))</f>
        <v>6</v>
      </c>
      <c r="AS20" s="351" t="n">
        <f aca="true">IF(OR($D20&lt;&gt;"Serviço",AND(AUTOEVENTO="Manual",$M20=$A$15)),0,
         IF(OFFSET(CRONOPLE!$F$15,$M20-$A$15,AS$13)=0,10^12,OFFSET(CRONOPLE!$F$15,$M20-$A$15,AS$13)))</f>
        <v>1000000000000</v>
      </c>
      <c r="AT20" s="351" t="n">
        <f aca="true">IF(OR($D20&lt;&gt;"Serviço",AND(AUTOEVENTO="Manual",$M20=$A$15)),0,
         IF(OFFSET(CRONOPLE!$F$15,$M20-$A$15,AT$13)=0,10^12,OFFSET(CRONOPLE!$F$15,$M20-$A$15,AT$13)))</f>
        <v>1000000000000</v>
      </c>
      <c r="AU20" s="351" t="n">
        <f aca="true">IF(OR($D20&lt;&gt;"Serviço",AND(AUTOEVENTO="Manual",$M20=$A$15)),0,
         IF(OFFSET(CRONOPLE!$F$15,$M20-$A$15,AU$13)=0,10^12,OFFSET(CRONOPLE!$F$15,$M20-$A$15,AU$13)))</f>
        <v>1000000000000</v>
      </c>
      <c r="AV20" s="351" t="n">
        <f aca="true">IF(OR($D20&lt;&gt;"Serviço",AND(AUTOEVENTO="Manual",$M20=$A$15)),0,
         IF(OFFSET(CRONOPLE!$F$15,$M20-$A$15,AV$13)=0,10^12,OFFSET(CRONOPLE!$F$15,$M20-$A$15,AV$13)))</f>
        <v>1000000000000</v>
      </c>
      <c r="AX20" s="352" t="n">
        <f aca="true" t="array" ref="AX20:AX20">IF(OR($D20&lt;&gt;"Serviço",AND(AUTOEVENTO="Manual",$M20=$A$15),$M20&gt;(ROW(PLE.lastrow)-ROW(PLE.firstrow))),0,
           IF(OFFSET(PLE!$G$15,$M20-$A$15,AX$13)="",10^12,OFFSET(PLE!$G$15,$M20-$A$15,AX$13)))</f>
        <v>1000000000000</v>
      </c>
      <c r="AY20" s="352" t="n">
        <f aca="true" t="array" ref="AY20:AY20">IF(OR($D20&lt;&gt;"Serviço",AND(AUTOEVENTO="Manual",$M20=$A$15),$M20&gt;(ROW(PLE.lastrow)-ROW(PLE.firstrow))),0,
           IF(OFFSET(PLE!$G$15,$M20-$A$15,AY$13)="",10^12,OFFSET(PLE!$G$15,$M20-$A$15,AY$13)))</f>
        <v>1000000000000</v>
      </c>
      <c r="AZ20" s="352" t="n">
        <f aca="true" t="array" ref="AZ20:AZ20">IF(OR($D20&lt;&gt;"Serviço",AND(AUTOEVENTO="Manual",$M20=$A$15),$M20&gt;(ROW(PLE.lastrow)-ROW(PLE.firstrow))),0,
           IF(OFFSET(PLE!$G$15,$M20-$A$15,AZ$13)="",10^12,OFFSET(PLE!$G$15,$M20-$A$15,AZ$13)))</f>
        <v>1000000000000</v>
      </c>
      <c r="BA20" s="352" t="n">
        <f aca="true" t="array" ref="BA20:BA20">IF(OR($D20&lt;&gt;"Serviço",AND(AUTOEVENTO="Manual",$M20=$A$15),$M20&gt;(ROW(PLE.lastrow)-ROW(PLE.firstrow))),0,
           IF(OFFSET(PLE!$G$15,$M20-$A$15,BA$13)="",10^12,OFFSET(PLE!$G$15,$M20-$A$15,BA$13)))</f>
        <v>1000000000000</v>
      </c>
      <c r="BB20" s="352" t="n">
        <f aca="true" t="array" ref="BB20:BB20">IF(OR($D20&lt;&gt;"Serviço",AND(AUTOEVENTO="Manual",$M20=$A$15),$M20&gt;(ROW(PLE.lastrow)-ROW(PLE.firstrow))),0,
           IF(OFFSET(PLE!$G$15,$M20-$A$15,BB$13)="",10^12,OFFSET(PLE!$G$15,$M20-$A$15,BB$13)))</f>
        <v>1000000000000</v>
      </c>
      <c r="BC20" s="352" t="n">
        <f aca="true" t="array" ref="BC20:BC20">IF(OR($D20&lt;&gt;"Serviço",AND(AUTOEVENTO="Manual",$M20=$A$15),$M20&gt;(ROW(PLE.lastrow)-ROW(PLE.firstrow))),0,
           IF(OFFSET(PLE!$G$15,$M20-$A$15,BC$13)="",10^12,OFFSET(PLE!$G$15,$M20-$A$15,BC$13)))</f>
        <v>1000000000000</v>
      </c>
      <c r="BD20" s="352" t="n">
        <f aca="true" t="array" ref="BD20:BD20">IF(OR($D20&lt;&gt;"Serviço",AND(AUTOEVENTO="Manual",$M20=$A$15),$M20&gt;(ROW(PLE.lastrow)-ROW(PLE.firstrow))),0,
           IF(OFFSET(PLE!$G$15,$M20-$A$15,BD$13)="",10^12,OFFSET(PLE!$G$15,$M20-$A$15,BD$13)))</f>
        <v>1000000000000</v>
      </c>
      <c r="BE20" s="352" t="n">
        <f aca="true" t="array" ref="BE20:BE20">IF(OR($D20&lt;&gt;"Serviço",AND(AUTOEVENTO="Manual",$M20=$A$15),$M20&gt;(ROW(PLE.lastrow)-ROW(PLE.firstrow))),0,
           IF(OFFSET(PLE!$G$15,$M20-$A$15,BE$13)="",10^12,OFFSET(PLE!$G$15,$M20-$A$15,BE$13)))</f>
        <v>1000000000000</v>
      </c>
      <c r="BF20" s="352" t="n">
        <f aca="true" t="array" ref="BF20:BF20">IF(OR($D20&lt;&gt;"Serviço",AND(AUTOEVENTO="Manual",$M20=$A$15),$M20&gt;(ROW(PLE.lastrow)-ROW(PLE.firstrow))),0,
           IF(OFFSET(PLE!$G$15,$M20-$A$15,BF$13)="",10^12,OFFSET(PLE!$G$15,$M20-$A$15,BF$13)))</f>
        <v>1000000000000</v>
      </c>
      <c r="BG20" s="352" t="n">
        <f aca="true" t="array" ref="BG20:BG20">IF(OR($D20&lt;&gt;"Serviço",AND(AUTOEVENTO="Manual",$M20=$A$15),$M20&gt;(ROW(PLE.lastrow)-ROW(PLE.firstrow))),0,
           IF(OFFSET(PLE!$G$15,$M20-$A$15,BG$13)="",10^12,OFFSET(PLE!$G$15,$M20-$A$15,BG$13)))</f>
        <v>1000000000000</v>
      </c>
    </row>
    <row r="21" customFormat="false" ht="4.5" hidden="false" customHeight="true" outlineLevel="0" collapsed="false">
      <c r="B21" s="48" t="n">
        <f aca="true">OFFSET(ORÇAMENTO!C$15,ROW(B21)-ROW(B$15),0)</f>
        <v>-1</v>
      </c>
      <c r="C21" s="48" t="str">
        <f aca="true">OFFSET(ORÇAMENTO!L$15,ROW(C21)-ROW(C$15),0)</f>
        <v>F</v>
      </c>
      <c r="D21" s="363" t="s">
        <v>760</v>
      </c>
      <c r="E21" s="242"/>
      <c r="F21" s="245"/>
      <c r="G21" s="245"/>
      <c r="H21" s="245"/>
      <c r="I21" s="243"/>
      <c r="K21" s="364"/>
      <c r="L21" s="344" t="n">
        <f aca="true">OFFSET(L21,-1,0)+1</f>
        <v>6</v>
      </c>
      <c r="M21" s="365"/>
      <c r="N21" s="366"/>
      <c r="O21" s="367"/>
      <c r="Q21" s="242"/>
      <c r="R21" s="245"/>
      <c r="S21" s="245"/>
      <c r="T21" s="245"/>
      <c r="U21" s="245"/>
      <c r="V21" s="245"/>
      <c r="W21" s="245"/>
      <c r="X21" s="245"/>
      <c r="Y21" s="245"/>
      <c r="Z21" s="243"/>
      <c r="AB21" s="368"/>
      <c r="AC21" s="369"/>
      <c r="AD21" s="369"/>
      <c r="AE21" s="369"/>
      <c r="AF21" s="369"/>
      <c r="AG21" s="369"/>
      <c r="AH21" s="369"/>
      <c r="AI21" s="369"/>
      <c r="AJ21" s="369"/>
      <c r="AK21" s="370"/>
      <c r="AM21" s="368"/>
      <c r="AN21" s="369"/>
      <c r="AO21" s="369"/>
      <c r="AP21" s="369"/>
      <c r="AQ21" s="369"/>
      <c r="AR21" s="369"/>
      <c r="AS21" s="369"/>
      <c r="AT21" s="369"/>
      <c r="AU21" s="369"/>
      <c r="AV21" s="370"/>
      <c r="AX21" s="368"/>
      <c r="AY21" s="369"/>
      <c r="AZ21" s="369"/>
      <c r="BA21" s="369"/>
      <c r="BB21" s="369"/>
      <c r="BC21" s="369"/>
      <c r="BD21" s="369"/>
      <c r="BE21" s="369"/>
      <c r="BF21" s="369"/>
      <c r="BG21" s="370"/>
    </row>
    <row r="22" customFormat="false" ht="12.75" hidden="false" customHeight="true" outlineLevel="0" collapsed="false"/>
    <row r="23" customFormat="false" ht="12.75" hidden="false" customHeight="true" outlineLevel="0" collapsed="false"/>
    <row r="24" customFormat="false" ht="12.75" hidden="false" customHeight="true" outlineLevel="0" collapsed="false"/>
    <row r="25" customFormat="false" ht="15" hidden="false" customHeight="true" outlineLevel="0" collapsed="false">
      <c r="F25" s="300" t="n">
        <f aca="false">Import.Município</f>
        <v>0</v>
      </c>
      <c r="I25" s="256"/>
      <c r="J25" s="256"/>
      <c r="K25" s="256"/>
      <c r="L25" s="256"/>
      <c r="M25" s="371"/>
      <c r="N25" s="46"/>
      <c r="T25" s="256"/>
      <c r="U25" s="256"/>
      <c r="V25" s="46"/>
      <c r="W25" s="46"/>
      <c r="X25" s="46"/>
      <c r="Y25" s="46"/>
    </row>
    <row r="26" customFormat="false" ht="12.75" hidden="false" customHeight="true" outlineLevel="0" collapsed="false">
      <c r="F26" s="52" t="s">
        <v>753</v>
      </c>
      <c r="I26" s="257" t="s">
        <v>756</v>
      </c>
      <c r="J26" s="257"/>
      <c r="K26" s="257"/>
      <c r="L26" s="257"/>
      <c r="T26" s="257" t="s">
        <v>756</v>
      </c>
      <c r="U26" s="257"/>
    </row>
    <row r="27" customFormat="false" ht="12.75" hidden="false" customHeight="true" outlineLevel="0" collapsed="false">
      <c r="I27" s="302" t="str">
        <f aca="true" t="array" ref="I27:I29">OFFSET(Import.RespOrçamento,0,-1) &amp; " " &amp; Import.RespOrçamento</f>
        <v>Nome: ANA PAULA MESQUITA CICHOWSI</v>
      </c>
      <c r="K27" s="149"/>
      <c r="L27" s="149"/>
      <c r="T27" s="302" t="str">
        <f aca="true" t="array" ref="T27:T29">OFFSET(Import.RespOrçamento,0,-1) &amp; " " &amp; Import.RespOrçamento</f>
        <v>Nome: ANA PAULA MESQUITA CICHOWSI</v>
      </c>
      <c r="U27" s="148"/>
    </row>
    <row r="28" customFormat="false" ht="12.75" hidden="false" customHeight="true" outlineLevel="0" collapsed="false">
      <c r="F28" s="303" t="n">
        <f aca="false">DADOS!$C$25</f>
        <v>45991</v>
      </c>
      <c r="I28" s="302" t="str">
        <v>CREA/CAU: RS 207.916</v>
      </c>
      <c r="K28" s="149"/>
      <c r="L28" s="149"/>
      <c r="T28" s="302" t="str">
        <v>CREA/CAU: RS 207.916</v>
      </c>
      <c r="U28" s="148"/>
    </row>
    <row r="29" customFormat="false" ht="12.75" hidden="false" customHeight="true" outlineLevel="0" collapsed="false">
      <c r="F29" s="259" t="s">
        <v>754</v>
      </c>
      <c r="I29" s="302" t="str">
        <v>ART/RRT: </v>
      </c>
      <c r="K29" s="149"/>
      <c r="L29" s="149"/>
      <c r="T29" s="302" t="str">
        <v>ART/RRT: </v>
      </c>
      <c r="U29" s="148"/>
    </row>
    <row r="30" customFormat="false" ht="12.75" hidden="false" customHeight="true" outlineLevel="0" collapsed="false"/>
    <row r="31" customFormat="false" ht="12.75" hidden="false" customHeight="true" outlineLevel="0" collapsed="false"/>
    <row r="32" customFormat="false" ht="12.75" hidden="false" customHeight="true" outlineLevel="0" collapsed="false"/>
    <row r="33" customFormat="false" ht="12.75" hidden="false" customHeight="true" outlineLevel="0" collapsed="false"/>
    <row r="34" customFormat="false" ht="12.75" hidden="false" customHeight="true" outlineLevel="0" collapsed="false"/>
    <row r="35" customFormat="false" ht="12.75" hidden="false" customHeight="true" outlineLevel="0" collapsed="false"/>
    <row r="36" customFormat="false" ht="12.75" hidden="false" customHeight="true" outlineLevel="0" collapsed="false"/>
    <row r="37" customFormat="false" ht="12.75" hidden="false" customHeight="true" outlineLevel="0" collapsed="false"/>
    <row r="38" customFormat="false" ht="12.75" hidden="false" customHeight="true" outlineLevel="0" collapsed="false"/>
    <row r="39" customFormat="false" ht="12.75" hidden="false" customHeight="true" outlineLevel="0" collapsed="false"/>
    <row r="40" customFormat="false" ht="12.75" hidden="false" customHeight="true" outlineLevel="0" collapsed="false"/>
    <row r="41" customFormat="false" ht="12.75" hidden="false" customHeight="true" outlineLevel="0" collapsed="false"/>
    <row r="42" customFormat="false" ht="12.75" hidden="false" customHeight="true" outlineLevel="0" collapsed="false"/>
    <row r="43" customFormat="false" ht="12.75" hidden="false" customHeight="true" outlineLevel="0" collapsed="false"/>
    <row r="44" customFormat="false" ht="12.75" hidden="false" customHeight="true" outlineLevel="0" collapsed="false"/>
    <row r="45" customFormat="false" ht="12.75" hidden="false" customHeight="true" outlineLevel="0" collapsed="false"/>
    <row r="46" customFormat="false" ht="12.75" hidden="false" customHeight="true" outlineLevel="0" collapsed="false"/>
    <row r="47" customFormat="false" ht="12.75" hidden="false" customHeight="true" outlineLevel="0" collapsed="false"/>
    <row r="48" customFormat="false" ht="12.75" hidden="false" customHeight="true" outlineLevel="0" collapsed="false"/>
    <row r="49" customFormat="false" ht="12.75" hidden="false" customHeight="true" outlineLevel="0" collapsed="false"/>
    <row r="50" customFormat="false" ht="12.75" hidden="false" customHeight="true" outlineLevel="0" collapsed="false"/>
    <row r="51" customFormat="false" ht="12.75" hidden="false" customHeight="true" outlineLevel="0" collapsed="false"/>
    <row r="52" customFormat="false" ht="12.75" hidden="false" customHeight="true" outlineLevel="0" collapsed="false"/>
    <row r="53" customFormat="false" ht="12.75" hidden="false" customHeight="true" outlineLevel="0" collapsed="false"/>
    <row r="54" customFormat="false" ht="12.75" hidden="false" customHeight="true" outlineLevel="0" collapsed="false"/>
    <row r="55" customFormat="false" ht="12.75" hidden="false" customHeight="true" outlineLevel="0" collapsed="false"/>
    <row r="56" customFormat="false" ht="12.75" hidden="false" customHeight="true" outlineLevel="0" collapsed="false"/>
    <row r="57" customFormat="false" ht="12.75" hidden="false" customHeight="true" outlineLevel="0" collapsed="false"/>
    <row r="58" customFormat="false" ht="12.75" hidden="false" customHeight="true" outlineLevel="0" collapsed="false"/>
    <row r="59" customFormat="false" ht="12.75" hidden="false" customHeight="true" outlineLevel="0" collapsed="false"/>
    <row r="60" customFormat="false" ht="12.75" hidden="false" customHeight="true" outlineLevel="0" collapsed="false"/>
    <row r="61" customFormat="false" ht="12.75" hidden="false" customHeight="true" outlineLevel="0" collapsed="false"/>
    <row r="62" customFormat="false" ht="12.75" hidden="false" customHeight="true" outlineLevel="0" collapsed="false"/>
    <row r="63" customFormat="false" ht="12.75" hidden="false" customHeight="true" outlineLevel="0" collapsed="false"/>
    <row r="64" customFormat="false" ht="12.75" hidden="false" customHeight="true" outlineLevel="0" collapsed="false"/>
    <row r="65" customFormat="false" ht="12.75" hidden="false" customHeight="true" outlineLevel="0" collapsed="false"/>
    <row r="66" customFormat="false" ht="12.75" hidden="false" customHeight="true" outlineLevel="0" collapsed="false"/>
    <row r="67" customFormat="false" ht="12.75" hidden="false" customHeight="true" outlineLevel="0" collapsed="false"/>
    <row r="68" customFormat="false" ht="12.75" hidden="false" customHeight="true" outlineLevel="0" collapsed="false"/>
    <row r="69" customFormat="false" ht="12.75" hidden="false" customHeight="true" outlineLevel="0" collapsed="false"/>
    <row r="70" customFormat="false" ht="12.75" hidden="false" customHeight="true" outlineLevel="0" collapsed="false"/>
    <row r="71" customFormat="false" ht="12.75" hidden="false" customHeight="true" outlineLevel="0" collapsed="false"/>
    <row r="72" customFormat="false" ht="12.75" hidden="false" customHeight="true" outlineLevel="0" collapsed="false"/>
    <row r="73" customFormat="false" ht="12.75" hidden="false" customHeight="true" outlineLevel="0" collapsed="false"/>
    <row r="74" customFormat="false" ht="12.75" hidden="false" customHeight="true" outlineLevel="0" collapsed="false"/>
    <row r="75" customFormat="false" ht="12.75" hidden="false" customHeight="true" outlineLevel="0" collapsed="false"/>
    <row r="76" customFormat="false" ht="12.75" hidden="false" customHeight="true" outlineLevel="0" collapsed="false"/>
    <row r="77" customFormat="false" ht="12.75" hidden="false" customHeight="true" outlineLevel="0" collapsed="false"/>
    <row r="78" customFormat="false" ht="12.75" hidden="false" customHeight="true" outlineLevel="0" collapsed="false"/>
    <row r="79" customFormat="false" ht="12.75" hidden="false" customHeight="true" outlineLevel="0" collapsed="false"/>
    <row r="80" customFormat="false" ht="12.75" hidden="false" customHeight="true" outlineLevel="0" collapsed="false"/>
    <row r="81" customFormat="false" ht="12.75" hidden="false" customHeight="true" outlineLevel="0" collapsed="false"/>
    <row r="82" customFormat="false" ht="12.75" hidden="false" customHeight="true" outlineLevel="0" collapsed="false"/>
    <row r="83" customFormat="false" ht="12.75" hidden="false" customHeight="true" outlineLevel="0" collapsed="false"/>
    <row r="84" customFormat="false" ht="12.75" hidden="false" customHeight="true" outlineLevel="0" collapsed="false"/>
    <row r="85" customFormat="false" ht="12.75" hidden="false" customHeight="true" outlineLevel="0" collapsed="false"/>
    <row r="86" customFormat="false" ht="12.75" hidden="false" customHeight="true" outlineLevel="0" collapsed="false"/>
    <row r="87" customFormat="false" ht="12.75" hidden="false" customHeight="true" outlineLevel="0" collapsed="false"/>
    <row r="88" customFormat="false" ht="12.75" hidden="false" customHeight="true" outlineLevel="0" collapsed="false"/>
    <row r="89" customFormat="false" ht="12.75" hidden="false" customHeight="true" outlineLevel="0" collapsed="false"/>
    <row r="90" customFormat="false" ht="12.75" hidden="false" customHeight="true" outlineLevel="0" collapsed="false"/>
    <row r="91" customFormat="false" ht="12.75" hidden="false" customHeight="true" outlineLevel="0" collapsed="false"/>
    <row r="92" customFormat="false" ht="12.75" hidden="false" customHeight="true" outlineLevel="0" collapsed="false"/>
    <row r="93" customFormat="false" ht="12.75" hidden="false" customHeight="true" outlineLevel="0" collapsed="false"/>
    <row r="94" customFormat="false" ht="12.75" hidden="false" customHeight="true" outlineLevel="0" collapsed="false"/>
    <row r="95" customFormat="false" ht="12.75" hidden="false" customHeight="true" outlineLevel="0" collapsed="false"/>
    <row r="96" customFormat="false" ht="12.75" hidden="false" customHeight="true" outlineLevel="0" collapsed="false"/>
    <row r="97" customFormat="false" ht="12.75" hidden="false" customHeight="true" outlineLevel="0" collapsed="false"/>
    <row r="98" customFormat="false" ht="12.75" hidden="false" customHeight="true" outlineLevel="0" collapsed="false"/>
    <row r="99" customFormat="false" ht="12.75" hidden="false" customHeight="true" outlineLevel="0" collapsed="false"/>
    <row r="100" customFormat="false" ht="12.75" hidden="false" customHeight="true" outlineLevel="0" collapsed="false"/>
    <row r="101" customFormat="false" ht="12.75" hidden="false" customHeight="true" outlineLevel="0" collapsed="false"/>
    <row r="102" customFormat="false" ht="12.75" hidden="false" customHeight="true" outlineLevel="0" collapsed="false"/>
    <row r="103" customFormat="false" ht="12.75" hidden="false" customHeight="true" outlineLevel="0" collapsed="false"/>
    <row r="104" customFormat="false" ht="12.75" hidden="false" customHeight="true" outlineLevel="0" collapsed="false"/>
    <row r="105" customFormat="false" ht="12.75" hidden="false" customHeight="true" outlineLevel="0" collapsed="false"/>
    <row r="106" customFormat="false" ht="12.75" hidden="false" customHeight="true" outlineLevel="0" collapsed="false"/>
    <row r="107" customFormat="false" ht="12.75" hidden="false" customHeight="true" outlineLevel="0" collapsed="false"/>
    <row r="108" customFormat="false" ht="12.75" hidden="false" customHeight="true" outlineLevel="0" collapsed="false"/>
    <row r="109" customFormat="false" ht="12.75" hidden="false" customHeight="true" outlineLevel="0" collapsed="false"/>
    <row r="110" customFormat="false" ht="12.75" hidden="false" customHeight="true" outlineLevel="0" collapsed="false"/>
    <row r="111" customFormat="false" ht="12.75" hidden="false" customHeight="true" outlineLevel="0" collapsed="false"/>
    <row r="112" customFormat="false" ht="12.75" hidden="false" customHeight="true" outlineLevel="0" collapsed="false"/>
    <row r="113" customFormat="false" ht="12.75" hidden="false" customHeight="true" outlineLevel="0" collapsed="false"/>
    <row r="114" customFormat="false" ht="12.75" hidden="false" customHeight="true" outlineLevel="0" collapsed="false"/>
    <row r="115" customFormat="false" ht="12.75" hidden="false" customHeight="true" outlineLevel="0" collapsed="false"/>
    <row r="116" customFormat="false" ht="12.75" hidden="false" customHeight="true" outlineLevel="0" collapsed="false"/>
    <row r="117" customFormat="false" ht="12.75" hidden="false" customHeight="true" outlineLevel="0" collapsed="false"/>
    <row r="118" customFormat="false" ht="12.75" hidden="false" customHeight="true" outlineLevel="0" collapsed="false"/>
    <row r="119" customFormat="false" ht="12.75" hidden="false" customHeight="true" outlineLevel="0" collapsed="false"/>
    <row r="120" customFormat="false" ht="12.75" hidden="false" customHeight="true" outlineLevel="0" collapsed="false"/>
    <row r="121" customFormat="false" ht="12.75" hidden="false" customHeight="true" outlineLevel="0" collapsed="false"/>
    <row r="122" customFormat="false" ht="12.75" hidden="false" customHeight="true" outlineLevel="0" collapsed="false"/>
    <row r="123" customFormat="false" ht="12.75" hidden="false" customHeight="true" outlineLevel="0" collapsed="false"/>
    <row r="124" customFormat="false" ht="12.75" hidden="false" customHeight="true" outlineLevel="0" collapsed="false"/>
    <row r="125" customFormat="false" ht="12.75" hidden="false" customHeight="true" outlineLevel="0" collapsed="false"/>
    <row r="126" customFormat="false" ht="12.75" hidden="false" customHeight="true" outlineLevel="0" collapsed="false"/>
    <row r="127" customFormat="false" ht="12.75" hidden="false" customHeight="true" outlineLevel="0" collapsed="false"/>
    <row r="128" customFormat="false" ht="12.75" hidden="false" customHeight="true" outlineLevel="0" collapsed="false"/>
    <row r="129" customFormat="false" ht="12.75" hidden="false" customHeight="true" outlineLevel="0" collapsed="false"/>
    <row r="130" customFormat="false" ht="12.75" hidden="false" customHeight="true" outlineLevel="0" collapsed="false"/>
    <row r="131" customFormat="false" ht="12.75" hidden="false" customHeight="true" outlineLevel="0" collapsed="false"/>
    <row r="132" customFormat="false" ht="12.75" hidden="false" customHeight="true" outlineLevel="0" collapsed="false"/>
    <row r="133" customFormat="false" ht="12.75" hidden="false" customHeight="true" outlineLevel="0" collapsed="false"/>
    <row r="134" customFormat="false" ht="12.75" hidden="false" customHeight="true" outlineLevel="0" collapsed="false"/>
    <row r="135" customFormat="false" ht="12.75" hidden="false" customHeight="true" outlineLevel="0" collapsed="false"/>
    <row r="136" customFormat="false" ht="12.75" hidden="false" customHeight="true" outlineLevel="0" collapsed="false"/>
    <row r="137" customFormat="false" ht="12.75" hidden="false" customHeight="true" outlineLevel="0" collapsed="false"/>
    <row r="138" customFormat="false" ht="12.75" hidden="false" customHeight="true" outlineLevel="0" collapsed="false"/>
    <row r="139" customFormat="false" ht="12.75" hidden="false" customHeight="true" outlineLevel="0" collapsed="false"/>
    <row r="140" customFormat="false" ht="12.75" hidden="false" customHeight="true" outlineLevel="0" collapsed="false"/>
    <row r="141" customFormat="false" ht="12.75" hidden="false" customHeight="true" outlineLevel="0" collapsed="false"/>
    <row r="142" customFormat="false" ht="12.75" hidden="false" customHeight="true" outlineLevel="0" collapsed="false"/>
    <row r="143" customFormat="false" ht="12.75" hidden="false" customHeight="true" outlineLevel="0" collapsed="false"/>
    <row r="144" customFormat="false" ht="12.75" hidden="false" customHeight="true" outlineLevel="0" collapsed="false"/>
    <row r="145" customFormat="false" ht="12.75" hidden="false" customHeight="true" outlineLevel="0" collapsed="false"/>
    <row r="146" customFormat="false" ht="12.75" hidden="false" customHeight="true" outlineLevel="0" collapsed="false"/>
    <row r="147" customFormat="false" ht="12.75" hidden="false" customHeight="true" outlineLevel="0" collapsed="false"/>
    <row r="148" customFormat="false" ht="12.75" hidden="false" customHeight="true" outlineLevel="0" collapsed="false"/>
    <row r="149" customFormat="false" ht="12.75" hidden="false" customHeight="true" outlineLevel="0" collapsed="false"/>
    <row r="150" customFormat="false" ht="12.75" hidden="false" customHeight="true" outlineLevel="0" collapsed="false"/>
    <row r="151" customFormat="false" ht="12.75" hidden="false" customHeight="true" outlineLevel="0" collapsed="false"/>
    <row r="152" customFormat="false" ht="12.75" hidden="false" customHeight="true" outlineLevel="0" collapsed="false"/>
    <row r="153" customFormat="false" ht="12.75" hidden="false" customHeight="true" outlineLevel="0" collapsed="false"/>
    <row r="154" customFormat="false" ht="12.75" hidden="false" customHeight="true" outlineLevel="0" collapsed="false"/>
    <row r="155" customFormat="false" ht="12.75" hidden="false" customHeight="true" outlineLevel="0" collapsed="false"/>
    <row r="156" customFormat="false" ht="12.75" hidden="false" customHeight="true" outlineLevel="0" collapsed="false"/>
    <row r="157" customFormat="false" ht="12.75" hidden="false" customHeight="true" outlineLevel="0" collapsed="false"/>
    <row r="158" customFormat="false" ht="12.75" hidden="false" customHeight="true" outlineLevel="0" collapsed="false"/>
    <row r="159" customFormat="false" ht="12.75" hidden="false" customHeight="true" outlineLevel="0" collapsed="false"/>
    <row r="160" customFormat="false" ht="12.75" hidden="false" customHeight="true" outlineLevel="0" collapsed="false"/>
    <row r="161" customFormat="false" ht="12.75" hidden="false" customHeight="true" outlineLevel="0" collapsed="false"/>
    <row r="162" customFormat="false" ht="12.75" hidden="false" customHeight="true" outlineLevel="0" collapsed="false"/>
    <row r="163" customFormat="false" ht="12.75" hidden="false" customHeight="true" outlineLevel="0" collapsed="false"/>
    <row r="164" customFormat="false" ht="12.75" hidden="false" customHeight="true" outlineLevel="0" collapsed="false"/>
    <row r="165" customFormat="false" ht="12.75" hidden="false" customHeight="true" outlineLevel="0" collapsed="false"/>
    <row r="166" customFormat="false" ht="12.75" hidden="false" customHeight="true" outlineLevel="0" collapsed="false"/>
    <row r="167" customFormat="false" ht="12.75" hidden="false" customHeight="true" outlineLevel="0" collapsed="false"/>
    <row r="168" customFormat="false" ht="12.75" hidden="false" customHeight="true" outlineLevel="0" collapsed="false"/>
    <row r="169" customFormat="false" ht="12.75" hidden="false" customHeight="true" outlineLevel="0" collapsed="false"/>
    <row r="170" customFormat="false" ht="12.75" hidden="false" customHeight="true" outlineLevel="0" collapsed="false"/>
    <row r="171" customFormat="false" ht="12.75" hidden="false" customHeight="true" outlineLevel="0" collapsed="false"/>
    <row r="172" customFormat="false" ht="12.75" hidden="false" customHeight="true" outlineLevel="0" collapsed="false"/>
    <row r="173" customFormat="false" ht="12.75" hidden="false" customHeight="true" outlineLevel="0" collapsed="false"/>
    <row r="174" customFormat="false" ht="12.75" hidden="false" customHeight="true" outlineLevel="0" collapsed="false"/>
    <row r="175" customFormat="false" ht="12.75" hidden="false" customHeight="true" outlineLevel="0" collapsed="false"/>
    <row r="176" customFormat="false" ht="12.75" hidden="false" customHeight="true" outlineLevel="0" collapsed="false"/>
    <row r="177" customFormat="false" ht="12.75" hidden="false" customHeight="true" outlineLevel="0" collapsed="false"/>
    <row r="178" customFormat="false" ht="12.75" hidden="false" customHeight="true" outlineLevel="0" collapsed="false"/>
    <row r="179" customFormat="false" ht="12.75" hidden="false" customHeight="true" outlineLevel="0" collapsed="false"/>
    <row r="180" customFormat="false" ht="12.75" hidden="false" customHeight="true" outlineLevel="0" collapsed="false"/>
    <row r="181" customFormat="false" ht="12.75" hidden="false" customHeight="true" outlineLevel="0" collapsed="false"/>
    <row r="182" customFormat="false" ht="12.75" hidden="false" customHeight="true" outlineLevel="0" collapsed="false"/>
    <row r="183" customFormat="false" ht="12.75" hidden="false" customHeight="true" outlineLevel="0" collapsed="false"/>
    <row r="184" customFormat="false" ht="12.75" hidden="false" customHeight="true" outlineLevel="0" collapsed="false"/>
    <row r="185" customFormat="false" ht="12.75" hidden="false" customHeight="true" outlineLevel="0" collapsed="false"/>
    <row r="186" customFormat="false" ht="12.75" hidden="false" customHeight="true" outlineLevel="0" collapsed="false"/>
    <row r="187" customFormat="false" ht="12.75" hidden="false" customHeight="true" outlineLevel="0" collapsed="false"/>
    <row r="188" customFormat="false" ht="12.75" hidden="false" customHeight="true" outlineLevel="0" collapsed="false"/>
    <row r="189" customFormat="false" ht="12.75" hidden="false" customHeight="true" outlineLevel="0" collapsed="false"/>
    <row r="190" customFormat="false" ht="12.75" hidden="false" customHeight="true" outlineLevel="0" collapsed="false"/>
    <row r="191" customFormat="false" ht="12.75" hidden="false" customHeight="true" outlineLevel="0" collapsed="false"/>
    <row r="192" customFormat="false" ht="12.75" hidden="false" customHeight="true" outlineLevel="0" collapsed="false"/>
    <row r="193" customFormat="false" ht="12.75" hidden="false" customHeight="true" outlineLevel="0" collapsed="false"/>
    <row r="194" customFormat="false" ht="12.75" hidden="false" customHeight="true" outlineLevel="0" collapsed="false"/>
    <row r="195" customFormat="false" ht="12.75" hidden="false" customHeight="true" outlineLevel="0" collapsed="false"/>
    <row r="196" customFormat="false" ht="12.75" hidden="false" customHeight="true" outlineLevel="0" collapsed="false"/>
    <row r="197" customFormat="false" ht="12.75" hidden="false" customHeight="true" outlineLevel="0" collapsed="false"/>
    <row r="198" customFormat="false" ht="12.75" hidden="false" customHeight="true" outlineLevel="0" collapsed="false"/>
    <row r="199" customFormat="false" ht="12.75" hidden="false" customHeight="true" outlineLevel="0" collapsed="false"/>
    <row r="200" customFormat="false" ht="12.75" hidden="false" customHeight="true" outlineLevel="0" collapsed="false"/>
    <row r="201" customFormat="false" ht="12.75" hidden="false" customHeight="true" outlineLevel="0" collapsed="false"/>
    <row r="202" customFormat="false" ht="12.75" hidden="false" customHeight="true" outlineLevel="0" collapsed="false"/>
    <row r="203" customFormat="false" ht="12.75" hidden="false" customHeight="true" outlineLevel="0" collapsed="false"/>
    <row r="204" customFormat="false" ht="12.75" hidden="false" customHeight="true" outlineLevel="0" collapsed="false"/>
    <row r="205" customFormat="false" ht="12.75" hidden="false" customHeight="true" outlineLevel="0" collapsed="false"/>
    <row r="206" customFormat="false" ht="12.75" hidden="false" customHeight="true" outlineLevel="0" collapsed="false"/>
    <row r="207" customFormat="false" ht="12.75" hidden="false" customHeight="true" outlineLevel="0" collapsed="false"/>
    <row r="208" customFormat="false" ht="12.75" hidden="false" customHeight="true" outlineLevel="0" collapsed="false"/>
    <row r="209" customFormat="false" ht="12.75" hidden="false" customHeight="true" outlineLevel="0" collapsed="false"/>
    <row r="210" customFormat="false" ht="12.75" hidden="false" customHeight="true" outlineLevel="0" collapsed="false"/>
    <row r="211" customFormat="false" ht="12.75" hidden="false" customHeight="true" outlineLevel="0" collapsed="false"/>
    <row r="212" customFormat="false" ht="12.75" hidden="false" customHeight="true" outlineLevel="0" collapsed="false"/>
    <row r="213" customFormat="false" ht="12.75" hidden="false" customHeight="true" outlineLevel="0" collapsed="false"/>
    <row r="214" customFormat="false" ht="12.75" hidden="false" customHeight="true" outlineLevel="0" collapsed="false"/>
    <row r="215" customFormat="false" ht="12.75" hidden="false" customHeight="true" outlineLevel="0" collapsed="false"/>
    <row r="216" customFormat="false" ht="12.75" hidden="false" customHeight="true" outlineLevel="0" collapsed="false"/>
    <row r="217" customFormat="false" ht="12.75" hidden="false" customHeight="true" outlineLevel="0" collapsed="false"/>
    <row r="218" customFormat="false" ht="12.75" hidden="false" customHeight="true" outlineLevel="0" collapsed="false"/>
    <row r="219" customFormat="false" ht="12.75" hidden="false" customHeight="true" outlineLevel="0" collapsed="false"/>
    <row r="220" customFormat="false" ht="12.75" hidden="false" customHeight="true" outlineLevel="0" collapsed="false"/>
    <row r="221" customFormat="false" ht="12.75" hidden="false" customHeight="true" outlineLevel="0" collapsed="false"/>
    <row r="222" customFormat="false" ht="12.75" hidden="false" customHeight="true" outlineLevel="0" collapsed="false"/>
    <row r="223" customFormat="false" ht="12.75" hidden="false" customHeight="true" outlineLevel="0" collapsed="false"/>
    <row r="224" customFormat="false" ht="12.75" hidden="false" customHeight="true" outlineLevel="0" collapsed="false"/>
    <row r="225" customFormat="false" ht="12.75" hidden="false" customHeight="true" outlineLevel="0" collapsed="false"/>
    <row r="226" customFormat="false" ht="12.75" hidden="false" customHeight="true" outlineLevel="0" collapsed="false"/>
    <row r="227" customFormat="false" ht="12.75" hidden="false" customHeight="true" outlineLevel="0" collapsed="false"/>
    <row r="228" customFormat="false" ht="12.75" hidden="false" customHeight="true" outlineLevel="0" collapsed="false"/>
    <row r="229" customFormat="false" ht="12.75" hidden="false" customHeight="true" outlineLevel="0" collapsed="false"/>
    <row r="230" customFormat="false" ht="12.75" hidden="false" customHeight="true" outlineLevel="0" collapsed="false"/>
    <row r="231" customFormat="false" ht="12.75" hidden="false" customHeight="true" outlineLevel="0" collapsed="false"/>
    <row r="232" customFormat="false" ht="12.75" hidden="false" customHeight="true" outlineLevel="0" collapsed="false"/>
    <row r="233" customFormat="false" ht="12.75" hidden="false" customHeight="true" outlineLevel="0" collapsed="false"/>
    <row r="234" customFormat="false" ht="12.75" hidden="false" customHeight="true" outlineLevel="0" collapsed="false"/>
    <row r="235" customFormat="false" ht="12.75" hidden="false" customHeight="true" outlineLevel="0" collapsed="false"/>
    <row r="236" customFormat="false" ht="12.75" hidden="false" customHeight="true" outlineLevel="0" collapsed="false"/>
    <row r="237" customFormat="false" ht="12.75" hidden="false" customHeight="true" outlineLevel="0" collapsed="false"/>
    <row r="238" customFormat="false" ht="12.75" hidden="false" customHeight="true" outlineLevel="0" collapsed="false"/>
    <row r="239" customFormat="false" ht="12.75" hidden="false" customHeight="true" outlineLevel="0" collapsed="false"/>
    <row r="240" customFormat="false" ht="12.75" hidden="false" customHeight="true" outlineLevel="0" collapsed="false"/>
    <row r="241" customFormat="false" ht="12.75" hidden="false" customHeight="true" outlineLevel="0" collapsed="false"/>
    <row r="242" customFormat="false" ht="12.75" hidden="false" customHeight="true" outlineLevel="0" collapsed="false"/>
    <row r="243" customFormat="false" ht="12.75" hidden="false" customHeight="true" outlineLevel="0" collapsed="false"/>
    <row r="244" customFormat="false" ht="12.75" hidden="false" customHeight="true" outlineLevel="0" collapsed="false"/>
    <row r="245" customFormat="false" ht="12.75" hidden="false" customHeight="true" outlineLevel="0" collapsed="false"/>
    <row r="246" customFormat="false" ht="12.75" hidden="false" customHeight="true" outlineLevel="0" collapsed="false"/>
    <row r="247" customFormat="false" ht="12.75" hidden="false" customHeight="true" outlineLevel="0" collapsed="false"/>
    <row r="248" customFormat="false" ht="12.75" hidden="false" customHeight="true" outlineLevel="0" collapsed="false"/>
    <row r="249" customFormat="false" ht="12.75" hidden="false" customHeight="true" outlineLevel="0" collapsed="false"/>
    <row r="250" customFormat="false" ht="12.75" hidden="false" customHeight="true" outlineLevel="0" collapsed="false"/>
    <row r="251" customFormat="false" ht="12.75" hidden="false" customHeight="true" outlineLevel="0" collapsed="false"/>
    <row r="252" customFormat="false" ht="12.75" hidden="false" customHeight="true" outlineLevel="0" collapsed="false"/>
    <row r="253" customFormat="false" ht="12.75" hidden="false" customHeight="true" outlineLevel="0" collapsed="false"/>
    <row r="254" customFormat="false" ht="12.75" hidden="false" customHeight="true" outlineLevel="0" collapsed="false"/>
    <row r="255" customFormat="false" ht="12.75" hidden="false" customHeight="true" outlineLevel="0" collapsed="false"/>
    <row r="256" customFormat="false" ht="12.75" hidden="false" customHeight="true" outlineLevel="0" collapsed="false"/>
    <row r="257" customFormat="false" ht="12.75" hidden="false" customHeight="true" outlineLevel="0" collapsed="false"/>
    <row r="258" customFormat="false" ht="12.75" hidden="false" customHeight="true" outlineLevel="0" collapsed="false"/>
    <row r="259" customFormat="false" ht="12.75" hidden="false" customHeight="true" outlineLevel="0" collapsed="false"/>
    <row r="260" customFormat="false" ht="12.75" hidden="false" customHeight="true" outlineLevel="0" collapsed="false"/>
    <row r="261" customFormat="false" ht="12.75" hidden="false" customHeight="true" outlineLevel="0" collapsed="false"/>
    <row r="262" customFormat="false" ht="12.75" hidden="false" customHeight="true" outlineLevel="0" collapsed="false"/>
    <row r="263" customFormat="false" ht="12.75" hidden="false" customHeight="true" outlineLevel="0" collapsed="false"/>
    <row r="264" customFormat="false" ht="12.75" hidden="false" customHeight="true" outlineLevel="0" collapsed="false"/>
    <row r="265" customFormat="false" ht="12.75" hidden="false" customHeight="true" outlineLevel="0" collapsed="false"/>
    <row r="266" customFormat="false" ht="12.75" hidden="false" customHeight="true" outlineLevel="0" collapsed="false"/>
    <row r="267" customFormat="false" ht="12.75" hidden="false" customHeight="true" outlineLevel="0" collapsed="false"/>
    <row r="268" customFormat="false" ht="12.75" hidden="false" customHeight="true" outlineLevel="0" collapsed="false"/>
    <row r="269" customFormat="false" ht="12.75" hidden="false" customHeight="true" outlineLevel="0" collapsed="false"/>
    <row r="270" customFormat="false" ht="12.75" hidden="false" customHeight="true" outlineLevel="0" collapsed="false"/>
    <row r="271" customFormat="false" ht="12.75" hidden="false" customHeight="true" outlineLevel="0" collapsed="false"/>
    <row r="272" customFormat="false" ht="12.75" hidden="false" customHeight="true" outlineLevel="0" collapsed="false"/>
    <row r="273" customFormat="false" ht="12.75" hidden="false" customHeight="true" outlineLevel="0" collapsed="false"/>
    <row r="274" customFormat="false" ht="12.75" hidden="false" customHeight="true" outlineLevel="0" collapsed="false"/>
    <row r="275" customFormat="false" ht="12.75" hidden="false" customHeight="true" outlineLevel="0" collapsed="false"/>
    <row r="276" customFormat="false" ht="12.75" hidden="false" customHeight="true" outlineLevel="0" collapsed="false"/>
    <row r="277" customFormat="false" ht="12.75" hidden="false" customHeight="true" outlineLevel="0" collapsed="false"/>
    <row r="278" customFormat="false" ht="12.75" hidden="false" customHeight="true" outlineLevel="0" collapsed="false"/>
    <row r="279" customFormat="false" ht="12.75" hidden="false" customHeight="true" outlineLevel="0" collapsed="false"/>
    <row r="280" customFormat="false" ht="12.75" hidden="false" customHeight="true" outlineLevel="0" collapsed="false"/>
    <row r="281" customFormat="false" ht="12.75" hidden="false" customHeight="true" outlineLevel="0" collapsed="false"/>
    <row r="282" customFormat="false" ht="12.75" hidden="false" customHeight="true" outlineLevel="0" collapsed="false"/>
    <row r="283" customFormat="false" ht="12.75" hidden="false" customHeight="true" outlineLevel="0" collapsed="false"/>
    <row r="284" customFormat="false" ht="12.75" hidden="false" customHeight="true" outlineLevel="0" collapsed="false"/>
    <row r="285" customFormat="false" ht="12.75" hidden="false" customHeight="true" outlineLevel="0" collapsed="false"/>
    <row r="286" customFormat="false" ht="12.75" hidden="false" customHeight="true" outlineLevel="0" collapsed="false"/>
    <row r="287" customFormat="false" ht="12.75" hidden="false" customHeight="true" outlineLevel="0" collapsed="false"/>
    <row r="288" customFormat="false" ht="12.75" hidden="false" customHeight="true" outlineLevel="0" collapsed="false"/>
    <row r="289" customFormat="false" ht="12.75" hidden="false" customHeight="true" outlineLevel="0" collapsed="false"/>
    <row r="290" customFormat="false" ht="12.75" hidden="false" customHeight="true" outlineLevel="0" collapsed="false"/>
    <row r="291" customFormat="false" ht="12.75" hidden="false" customHeight="true" outlineLevel="0" collapsed="false"/>
    <row r="292" customFormat="false" ht="12.75" hidden="false" customHeight="true" outlineLevel="0" collapsed="false"/>
    <row r="293" customFormat="false" ht="12.75" hidden="false" customHeight="true" outlineLevel="0" collapsed="false"/>
    <row r="294" customFormat="false" ht="12.75" hidden="false" customHeight="true" outlineLevel="0" collapsed="false"/>
    <row r="295" customFormat="false" ht="12.75" hidden="false" customHeight="true" outlineLevel="0" collapsed="false"/>
    <row r="296" customFormat="false" ht="12.75" hidden="false" customHeight="true" outlineLevel="0" collapsed="false"/>
    <row r="297" customFormat="false" ht="12.75" hidden="false" customHeight="true" outlineLevel="0" collapsed="false"/>
    <row r="298" customFormat="false" ht="12.75" hidden="false" customHeight="true" outlineLevel="0" collapsed="false"/>
    <row r="299" customFormat="false" ht="12.75" hidden="false" customHeight="true" outlineLevel="0" collapsed="false"/>
    <row r="300" customFormat="false" ht="12.75" hidden="false" customHeight="true" outlineLevel="0" collapsed="false"/>
    <row r="301" customFormat="false" ht="12.75" hidden="false" customHeight="true" outlineLevel="0" collapsed="false"/>
    <row r="302" customFormat="false" ht="12.75" hidden="false" customHeight="true" outlineLevel="0" collapsed="false"/>
    <row r="303" customFormat="false" ht="12.75" hidden="false" customHeight="true" outlineLevel="0" collapsed="false"/>
    <row r="304" customFormat="false" ht="12.75" hidden="false" customHeight="true" outlineLevel="0" collapsed="false"/>
    <row r="305" customFormat="false" ht="12.75" hidden="false" customHeight="true" outlineLevel="0" collapsed="false"/>
    <row r="306" customFormat="false" ht="12.75" hidden="false" customHeight="true" outlineLevel="0" collapsed="false"/>
    <row r="307" customFormat="false" ht="12.75" hidden="false" customHeight="true" outlineLevel="0" collapsed="false"/>
    <row r="308" customFormat="false" ht="12.75" hidden="false" customHeight="true" outlineLevel="0" collapsed="false"/>
    <row r="309" customFormat="false" ht="12.75" hidden="false" customHeight="true" outlineLevel="0" collapsed="false"/>
    <row r="310" customFormat="false" ht="12.75" hidden="false" customHeight="true" outlineLevel="0" collapsed="false"/>
    <row r="311" customFormat="false" ht="12.75" hidden="false" customHeight="true" outlineLevel="0" collapsed="false"/>
    <row r="312" customFormat="false" ht="12.75" hidden="false" customHeight="true" outlineLevel="0" collapsed="false"/>
    <row r="313" customFormat="false" ht="12.75" hidden="false" customHeight="true" outlineLevel="0" collapsed="false"/>
    <row r="314" customFormat="false" ht="12.75" hidden="false" customHeight="true" outlineLevel="0" collapsed="false"/>
    <row r="315" customFormat="false" ht="12.75" hidden="false" customHeight="true" outlineLevel="0" collapsed="false"/>
    <row r="316" customFormat="false" ht="12.75" hidden="false" customHeight="true" outlineLevel="0" collapsed="false"/>
    <row r="317" customFormat="false" ht="12.75" hidden="false" customHeight="true" outlineLevel="0" collapsed="false"/>
    <row r="318" customFormat="false" ht="12.75" hidden="false" customHeight="true" outlineLevel="0" collapsed="false"/>
    <row r="319" customFormat="false" ht="12.75" hidden="false" customHeight="true" outlineLevel="0" collapsed="false"/>
    <row r="320" customFormat="false" ht="12.75" hidden="false" customHeight="true" outlineLevel="0" collapsed="false"/>
    <row r="321" customFormat="false" ht="12.75" hidden="false" customHeight="true" outlineLevel="0" collapsed="false"/>
    <row r="322" customFormat="false" ht="12.75" hidden="false" customHeight="true" outlineLevel="0" collapsed="false"/>
    <row r="323" customFormat="false" ht="12.75" hidden="false" customHeight="true" outlineLevel="0" collapsed="false"/>
    <row r="324" customFormat="false" ht="12.75" hidden="false" customHeight="true" outlineLevel="0" collapsed="false"/>
    <row r="325" customFormat="false" ht="12.75" hidden="false" customHeight="true" outlineLevel="0" collapsed="false"/>
    <row r="326" customFormat="false" ht="12.75" hidden="false" customHeight="true" outlineLevel="0" collapsed="false"/>
    <row r="327" customFormat="false" ht="12.75" hidden="false" customHeight="true" outlineLevel="0" collapsed="false"/>
    <row r="328" customFormat="false" ht="12.75" hidden="false" customHeight="true" outlineLevel="0" collapsed="false"/>
    <row r="329" customFormat="false" ht="12.75" hidden="false" customHeight="true" outlineLevel="0" collapsed="false"/>
    <row r="330" customFormat="false" ht="12.75" hidden="false" customHeight="true" outlineLevel="0" collapsed="false"/>
    <row r="331" customFormat="false" ht="12.75" hidden="false" customHeight="true" outlineLevel="0" collapsed="false"/>
    <row r="332" customFormat="false" ht="12.75" hidden="false" customHeight="true" outlineLevel="0" collapsed="false"/>
    <row r="333" customFormat="false" ht="12.75" hidden="false" customHeight="true" outlineLevel="0" collapsed="false"/>
    <row r="334" customFormat="false" ht="12.75" hidden="false" customHeight="true" outlineLevel="0" collapsed="false"/>
    <row r="335" customFormat="false" ht="12.75" hidden="false" customHeight="true" outlineLevel="0" collapsed="false"/>
    <row r="336" customFormat="false" ht="12.75" hidden="false" customHeight="true" outlineLevel="0" collapsed="false"/>
    <row r="337" customFormat="false" ht="12.75" hidden="false" customHeight="true" outlineLevel="0" collapsed="false"/>
    <row r="338" customFormat="false" ht="12.75" hidden="false" customHeight="true" outlineLevel="0" collapsed="false"/>
    <row r="339" customFormat="false" ht="12.75" hidden="false" customHeight="true" outlineLevel="0" collapsed="false"/>
    <row r="340" customFormat="false" ht="12.75" hidden="false" customHeight="true" outlineLevel="0" collapsed="false"/>
    <row r="341" customFormat="false" ht="12.75" hidden="false" customHeight="true" outlineLevel="0" collapsed="false"/>
    <row r="342" customFormat="false" ht="12.75" hidden="false" customHeight="true" outlineLevel="0" collapsed="false"/>
    <row r="343" customFormat="false" ht="12.75" hidden="false" customHeight="true" outlineLevel="0" collapsed="false"/>
    <row r="344" customFormat="false" ht="12.75" hidden="false" customHeight="true" outlineLevel="0" collapsed="false"/>
    <row r="345" customFormat="false" ht="12.75" hidden="false" customHeight="true" outlineLevel="0" collapsed="false"/>
    <row r="346" customFormat="false" ht="12.75" hidden="false" customHeight="true" outlineLevel="0" collapsed="false"/>
    <row r="347" customFormat="false" ht="12.75" hidden="false" customHeight="true" outlineLevel="0" collapsed="false"/>
    <row r="348" customFormat="false" ht="12.75" hidden="false" customHeight="true" outlineLevel="0" collapsed="false"/>
    <row r="349" customFormat="false" ht="12.75" hidden="false" customHeight="true" outlineLevel="0" collapsed="false"/>
    <row r="350" customFormat="false" ht="12.75" hidden="false" customHeight="true" outlineLevel="0" collapsed="false"/>
    <row r="351" customFormat="false" ht="12.75" hidden="false" customHeight="true" outlineLevel="0" collapsed="false"/>
    <row r="352" customFormat="false" ht="12.75" hidden="false" customHeight="true" outlineLevel="0" collapsed="false"/>
    <row r="353" customFormat="false" ht="12.75" hidden="false" customHeight="true" outlineLevel="0" collapsed="false"/>
    <row r="354" customFormat="false" ht="12.75" hidden="false" customHeight="true" outlineLevel="0" collapsed="false"/>
    <row r="355" customFormat="false" ht="12.75" hidden="false" customHeight="true" outlineLevel="0" collapsed="false"/>
    <row r="356" customFormat="false" ht="12.75" hidden="false" customHeight="true" outlineLevel="0" collapsed="false"/>
    <row r="357" customFormat="false" ht="12.75" hidden="false" customHeight="true" outlineLevel="0" collapsed="false"/>
    <row r="358" customFormat="false" ht="12.75" hidden="false" customHeight="true" outlineLevel="0" collapsed="false"/>
    <row r="359" customFormat="false" ht="12.75" hidden="false" customHeight="true" outlineLevel="0" collapsed="false"/>
    <row r="360" customFormat="false" ht="12.75" hidden="false" customHeight="true" outlineLevel="0" collapsed="false"/>
    <row r="361" customFormat="false" ht="12.75" hidden="false" customHeight="true" outlineLevel="0" collapsed="false"/>
    <row r="362" customFormat="false" ht="12.75" hidden="false" customHeight="true" outlineLevel="0" collapsed="false"/>
    <row r="363" customFormat="false" ht="12.75" hidden="false" customHeight="true" outlineLevel="0" collapsed="false"/>
    <row r="364" customFormat="false" ht="12.75" hidden="false" customHeight="true" outlineLevel="0" collapsed="false"/>
    <row r="365" customFormat="false" ht="12.75" hidden="false" customHeight="true" outlineLevel="0" collapsed="false"/>
    <row r="366" customFormat="false" ht="12.75" hidden="false" customHeight="true" outlineLevel="0" collapsed="false"/>
    <row r="367" customFormat="false" ht="12.75" hidden="false" customHeight="true" outlineLevel="0" collapsed="false"/>
    <row r="368" customFormat="false" ht="12.75" hidden="false" customHeight="true" outlineLevel="0" collapsed="false"/>
    <row r="369" customFormat="false" ht="12.75" hidden="false" customHeight="true" outlineLevel="0" collapsed="false"/>
    <row r="370" customFormat="false" ht="12.75" hidden="false" customHeight="true" outlineLevel="0" collapsed="false"/>
    <row r="371" customFormat="false" ht="12.75" hidden="false" customHeight="true" outlineLevel="0" collapsed="false"/>
    <row r="372" customFormat="false" ht="12.75" hidden="false" customHeight="true" outlineLevel="0" collapsed="false"/>
    <row r="373" customFormat="false" ht="12.75" hidden="false" customHeight="true" outlineLevel="0" collapsed="false"/>
    <row r="374" customFormat="false" ht="12.75" hidden="false" customHeight="true" outlineLevel="0" collapsed="false"/>
    <row r="375" customFormat="false" ht="12.75" hidden="false" customHeight="true" outlineLevel="0" collapsed="false"/>
    <row r="376" customFormat="false" ht="12.75" hidden="false" customHeight="true" outlineLevel="0" collapsed="false"/>
    <row r="377" customFormat="false" ht="12.75" hidden="false" customHeight="true" outlineLevel="0" collapsed="false"/>
    <row r="378" customFormat="false" ht="12.75" hidden="false" customHeight="true" outlineLevel="0" collapsed="false"/>
    <row r="379" customFormat="false" ht="12.75" hidden="false" customHeight="true" outlineLevel="0" collapsed="false"/>
    <row r="380" customFormat="false" ht="12.75" hidden="false" customHeight="true" outlineLevel="0" collapsed="false"/>
    <row r="381" customFormat="false" ht="12.75" hidden="false" customHeight="true" outlineLevel="0" collapsed="false"/>
    <row r="382" customFormat="false" ht="12.75" hidden="false" customHeight="true" outlineLevel="0" collapsed="false"/>
    <row r="383" customFormat="false" ht="12.75" hidden="false" customHeight="true" outlineLevel="0" collapsed="false"/>
    <row r="384" customFormat="false" ht="12.75" hidden="false" customHeight="true" outlineLevel="0" collapsed="false"/>
    <row r="385" customFormat="false" ht="12.75" hidden="false" customHeight="true" outlineLevel="0" collapsed="false"/>
    <row r="386" customFormat="false" ht="12.75" hidden="false" customHeight="true" outlineLevel="0" collapsed="false"/>
    <row r="387" customFormat="false" ht="12.75" hidden="false" customHeight="true" outlineLevel="0" collapsed="false"/>
    <row r="388" customFormat="false" ht="12.75" hidden="false" customHeight="true" outlineLevel="0" collapsed="false"/>
    <row r="389" customFormat="false" ht="12.75" hidden="false" customHeight="true" outlineLevel="0" collapsed="false"/>
    <row r="390" customFormat="false" ht="12.75" hidden="false" customHeight="true" outlineLevel="0" collapsed="false"/>
    <row r="391" customFormat="false" ht="12.75" hidden="false" customHeight="true" outlineLevel="0" collapsed="false"/>
    <row r="392" customFormat="false" ht="12.75" hidden="false" customHeight="true" outlineLevel="0" collapsed="false"/>
    <row r="393" customFormat="false" ht="12.75" hidden="false" customHeight="true" outlineLevel="0" collapsed="false"/>
    <row r="394" customFormat="false" ht="12.75" hidden="false" customHeight="true" outlineLevel="0" collapsed="false"/>
    <row r="395" customFormat="false" ht="12.75" hidden="false" customHeight="true" outlineLevel="0" collapsed="false"/>
    <row r="396" customFormat="false" ht="12.75" hidden="false" customHeight="true" outlineLevel="0" collapsed="false"/>
    <row r="397" customFormat="false" ht="12.75" hidden="false" customHeight="true" outlineLevel="0" collapsed="false"/>
    <row r="398" customFormat="false" ht="12.75" hidden="false" customHeight="true" outlineLevel="0" collapsed="false"/>
    <row r="399" customFormat="false" ht="12.75" hidden="false" customHeight="true" outlineLevel="0" collapsed="false"/>
    <row r="400" customFormat="false" ht="12.75" hidden="false" customHeight="true" outlineLevel="0" collapsed="false"/>
    <row r="401" customFormat="false" ht="12.75" hidden="false" customHeight="true" outlineLevel="0" collapsed="false"/>
    <row r="402" customFormat="false" ht="12.75" hidden="false" customHeight="true" outlineLevel="0" collapsed="false"/>
    <row r="403" customFormat="false" ht="12.75" hidden="false" customHeight="true" outlineLevel="0" collapsed="false"/>
    <row r="404" customFormat="false" ht="12.75" hidden="false" customHeight="true" outlineLevel="0" collapsed="false"/>
    <row r="405" customFormat="false" ht="12.75" hidden="false" customHeight="true" outlineLevel="0" collapsed="false"/>
    <row r="406" customFormat="false" ht="12.75" hidden="false" customHeight="true" outlineLevel="0" collapsed="false"/>
    <row r="407" customFormat="false" ht="12.75" hidden="false" customHeight="true" outlineLevel="0" collapsed="false"/>
    <row r="408" customFormat="false" ht="12.75" hidden="false" customHeight="true" outlineLevel="0" collapsed="false"/>
    <row r="409" customFormat="false" ht="12.75" hidden="false" customHeight="true" outlineLevel="0" collapsed="false"/>
    <row r="410" customFormat="false" ht="12.75" hidden="false" customHeight="true" outlineLevel="0" collapsed="false"/>
    <row r="411" customFormat="false" ht="12.75" hidden="false" customHeight="true" outlineLevel="0" collapsed="false"/>
    <row r="412" customFormat="false" ht="12.75" hidden="false" customHeight="true" outlineLevel="0" collapsed="false"/>
    <row r="413" customFormat="false" ht="12.75" hidden="false" customHeight="true" outlineLevel="0" collapsed="false"/>
    <row r="414" customFormat="false" ht="12.75" hidden="false" customHeight="true" outlineLevel="0" collapsed="false"/>
    <row r="415" customFormat="false" ht="12.75" hidden="false" customHeight="true" outlineLevel="0" collapsed="false"/>
    <row r="416" customFormat="false" ht="12.75" hidden="false" customHeight="true" outlineLevel="0" collapsed="false"/>
    <row r="417" customFormat="false" ht="12.75" hidden="false" customHeight="true" outlineLevel="0" collapsed="false"/>
    <row r="418" customFormat="false" ht="12.75" hidden="false" customHeight="true" outlineLevel="0" collapsed="false"/>
    <row r="419" customFormat="false" ht="12.75" hidden="false" customHeight="true" outlineLevel="0" collapsed="false"/>
    <row r="420" customFormat="false" ht="12.75" hidden="false" customHeight="true" outlineLevel="0" collapsed="false"/>
    <row r="421" customFormat="false" ht="12.75" hidden="false" customHeight="true" outlineLevel="0" collapsed="false"/>
    <row r="422" customFormat="false" ht="12.75" hidden="false" customHeight="true" outlineLevel="0" collapsed="false"/>
    <row r="423" customFormat="false" ht="12.75" hidden="false" customHeight="true" outlineLevel="0" collapsed="false"/>
    <row r="424" customFormat="false" ht="12.75" hidden="false" customHeight="true" outlineLevel="0" collapsed="false"/>
    <row r="425" customFormat="false" ht="12.75" hidden="false" customHeight="true" outlineLevel="0" collapsed="false"/>
    <row r="426" customFormat="false" ht="12.75" hidden="false" customHeight="true" outlineLevel="0" collapsed="false"/>
    <row r="427" customFormat="false" ht="12.75" hidden="false" customHeight="true" outlineLevel="0" collapsed="false"/>
    <row r="428" customFormat="false" ht="12.75" hidden="false" customHeight="true" outlineLevel="0" collapsed="false"/>
    <row r="429" customFormat="false" ht="12.75" hidden="false" customHeight="true" outlineLevel="0" collapsed="false"/>
    <row r="430" customFormat="false" ht="12.75" hidden="false" customHeight="true" outlineLevel="0" collapsed="false"/>
    <row r="431" customFormat="false" ht="12.75" hidden="false" customHeight="true" outlineLevel="0" collapsed="false"/>
    <row r="432" customFormat="false" ht="12.75" hidden="false" customHeight="true" outlineLevel="0" collapsed="false"/>
    <row r="433" customFormat="false" ht="12.75" hidden="false" customHeight="true" outlineLevel="0" collapsed="false"/>
    <row r="434" customFormat="false" ht="12.75" hidden="false" customHeight="true" outlineLevel="0" collapsed="false"/>
    <row r="435" customFormat="false" ht="12.75" hidden="false" customHeight="true" outlineLevel="0" collapsed="false"/>
    <row r="436" customFormat="false" ht="12.75" hidden="false" customHeight="true" outlineLevel="0" collapsed="false"/>
    <row r="437" customFormat="false" ht="12.75" hidden="false" customHeight="true" outlineLevel="0" collapsed="false"/>
    <row r="438" customFormat="false" ht="12.75" hidden="false" customHeight="true" outlineLevel="0" collapsed="false"/>
    <row r="439" customFormat="false" ht="12.75" hidden="false" customHeight="true" outlineLevel="0" collapsed="false"/>
    <row r="440" customFormat="false" ht="12.75" hidden="false" customHeight="true" outlineLevel="0" collapsed="false"/>
    <row r="441" customFormat="false" ht="12.75" hidden="false" customHeight="true" outlineLevel="0" collapsed="false"/>
    <row r="442" customFormat="false" ht="12.75" hidden="false" customHeight="true" outlineLevel="0" collapsed="false"/>
    <row r="443" customFormat="false" ht="12.75" hidden="false" customHeight="true" outlineLevel="0" collapsed="false"/>
    <row r="444" customFormat="false" ht="12.75" hidden="false" customHeight="true" outlineLevel="0" collapsed="false"/>
    <row r="445" customFormat="false" ht="12.75" hidden="false" customHeight="true" outlineLevel="0" collapsed="false"/>
    <row r="446" customFormat="false" ht="12.75" hidden="false" customHeight="true" outlineLevel="0" collapsed="false"/>
    <row r="447" customFormat="false" ht="12.75" hidden="false" customHeight="true" outlineLevel="0" collapsed="false"/>
    <row r="448" customFormat="false" ht="12.75" hidden="false" customHeight="true" outlineLevel="0" collapsed="false"/>
    <row r="449" customFormat="false" ht="12.75" hidden="false" customHeight="true" outlineLevel="0" collapsed="false"/>
    <row r="450" customFormat="false" ht="12.75" hidden="false" customHeight="true" outlineLevel="0" collapsed="false"/>
    <row r="451" customFormat="false" ht="12.75" hidden="false" customHeight="true" outlineLevel="0" collapsed="false"/>
    <row r="452" customFormat="false" ht="12.75" hidden="false" customHeight="true" outlineLevel="0" collapsed="false"/>
    <row r="453" customFormat="false" ht="12.75" hidden="false" customHeight="true" outlineLevel="0" collapsed="false"/>
    <row r="454" customFormat="false" ht="12.75" hidden="false" customHeight="true" outlineLevel="0" collapsed="false"/>
    <row r="455" customFormat="false" ht="12.75" hidden="false" customHeight="true" outlineLevel="0" collapsed="false"/>
    <row r="456" customFormat="false" ht="12.75" hidden="false" customHeight="true" outlineLevel="0" collapsed="false"/>
    <row r="457" customFormat="false" ht="12.75" hidden="false" customHeight="true" outlineLevel="0" collapsed="false"/>
    <row r="458" customFormat="false" ht="12.75" hidden="false" customHeight="true" outlineLevel="0" collapsed="false"/>
    <row r="459" customFormat="false" ht="12.75" hidden="false" customHeight="true" outlineLevel="0" collapsed="false"/>
    <row r="460" customFormat="false" ht="12.75" hidden="false" customHeight="true" outlineLevel="0" collapsed="false"/>
    <row r="461" customFormat="false" ht="12.75" hidden="false" customHeight="true" outlineLevel="0" collapsed="false"/>
    <row r="462" customFormat="false" ht="12.75" hidden="false" customHeight="true" outlineLevel="0" collapsed="false"/>
    <row r="463" customFormat="false" ht="12.75" hidden="false" customHeight="true" outlineLevel="0" collapsed="false"/>
    <row r="464" customFormat="false" ht="12.75" hidden="false" customHeight="true" outlineLevel="0" collapsed="false"/>
    <row r="465" customFormat="false" ht="12.75" hidden="false" customHeight="true" outlineLevel="0" collapsed="false"/>
    <row r="466" customFormat="false" ht="12.75" hidden="false" customHeight="true" outlineLevel="0" collapsed="false"/>
    <row r="467" customFormat="false" ht="12.75" hidden="false" customHeight="true" outlineLevel="0" collapsed="false"/>
    <row r="468" customFormat="false" ht="12.75" hidden="false" customHeight="true" outlineLevel="0" collapsed="false"/>
    <row r="469" customFormat="false" ht="12.75" hidden="false" customHeight="true" outlineLevel="0" collapsed="false"/>
    <row r="470" customFormat="false" ht="12.75" hidden="false" customHeight="true" outlineLevel="0" collapsed="false"/>
    <row r="471" customFormat="false" ht="12.75" hidden="false" customHeight="true" outlineLevel="0" collapsed="false"/>
    <row r="472" customFormat="false" ht="12.75" hidden="false" customHeight="true" outlineLevel="0" collapsed="false"/>
    <row r="473" customFormat="false" ht="12.75" hidden="false" customHeight="true" outlineLevel="0" collapsed="false"/>
    <row r="474" customFormat="false" ht="12.75" hidden="false" customHeight="true" outlineLevel="0" collapsed="false"/>
    <row r="475" customFormat="false" ht="12.75" hidden="false" customHeight="true" outlineLevel="0" collapsed="false"/>
    <row r="476" customFormat="false" ht="12.75" hidden="false" customHeight="true" outlineLevel="0" collapsed="false"/>
    <row r="477" customFormat="false" ht="12.75" hidden="false" customHeight="true" outlineLevel="0" collapsed="false"/>
    <row r="478" customFormat="false" ht="12.75" hidden="false" customHeight="true" outlineLevel="0" collapsed="false"/>
    <row r="479" customFormat="false" ht="12.75" hidden="false" customHeight="true" outlineLevel="0" collapsed="false"/>
    <row r="480" customFormat="false" ht="12.75" hidden="false" customHeight="true" outlineLevel="0" collapsed="false"/>
    <row r="481" customFormat="false" ht="12.75" hidden="false" customHeight="true" outlineLevel="0" collapsed="false"/>
    <row r="482" customFormat="false" ht="12.75" hidden="false" customHeight="true" outlineLevel="0" collapsed="false"/>
    <row r="483" customFormat="false" ht="12.75" hidden="false" customHeight="true" outlineLevel="0" collapsed="false"/>
    <row r="484" customFormat="false" ht="12.75" hidden="false" customHeight="true" outlineLevel="0" collapsed="false"/>
    <row r="485" customFormat="false" ht="12.75" hidden="false" customHeight="true" outlineLevel="0" collapsed="false"/>
    <row r="486" customFormat="false" ht="12.75" hidden="false" customHeight="true" outlineLevel="0" collapsed="false"/>
    <row r="487" customFormat="false" ht="12.75" hidden="false" customHeight="true" outlineLevel="0" collapsed="false"/>
    <row r="488" customFormat="false" ht="12.75" hidden="false" customHeight="true" outlineLevel="0" collapsed="false"/>
    <row r="489" customFormat="false" ht="12.75" hidden="false" customHeight="true" outlineLevel="0" collapsed="false"/>
    <row r="490" customFormat="false" ht="12.75" hidden="false" customHeight="true" outlineLevel="0" collapsed="false"/>
    <row r="491" customFormat="false" ht="12.75" hidden="false" customHeight="true" outlineLevel="0" collapsed="false"/>
    <row r="492" customFormat="false" ht="12.75" hidden="false" customHeight="true" outlineLevel="0" collapsed="false"/>
    <row r="493" customFormat="false" ht="12.75" hidden="false" customHeight="true" outlineLevel="0" collapsed="false"/>
    <row r="494" customFormat="false" ht="12.75" hidden="false" customHeight="true" outlineLevel="0" collapsed="false"/>
    <row r="495" customFormat="false" ht="12.75" hidden="false" customHeight="true" outlineLevel="0" collapsed="false"/>
    <row r="496" customFormat="false" ht="12.75" hidden="false" customHeight="true" outlineLevel="0" collapsed="false"/>
    <row r="497" customFormat="false" ht="12.75" hidden="false" customHeight="true" outlineLevel="0" collapsed="false"/>
    <row r="498" customFormat="false" ht="12.75" hidden="false" customHeight="true" outlineLevel="0" collapsed="false"/>
    <row r="499" customFormat="false" ht="12.75" hidden="false" customHeight="true" outlineLevel="0" collapsed="false"/>
    <row r="500" customFormat="false" ht="12.75" hidden="false" customHeight="true" outlineLevel="0" collapsed="false"/>
    <row r="501" customFormat="false" ht="12.75" hidden="false" customHeight="true" outlineLevel="0" collapsed="false"/>
    <row r="502" customFormat="false" ht="12.75" hidden="false" customHeight="true" outlineLevel="0" collapsed="false"/>
    <row r="503" customFormat="false" ht="12.75" hidden="false" customHeight="true" outlineLevel="0" collapsed="false"/>
    <row r="504" customFormat="false" ht="12.75" hidden="false" customHeight="true" outlineLevel="0" collapsed="false"/>
    <row r="505" customFormat="false" ht="12.75" hidden="false" customHeight="true" outlineLevel="0" collapsed="false"/>
    <row r="506" customFormat="false" ht="12.75" hidden="false" customHeight="true" outlineLevel="0" collapsed="false"/>
    <row r="507" customFormat="false" ht="12.75" hidden="false" customHeight="true" outlineLevel="0" collapsed="false"/>
    <row r="508" customFormat="false" ht="12.75" hidden="false" customHeight="true" outlineLevel="0" collapsed="false"/>
    <row r="509" customFormat="false" ht="12.75" hidden="false" customHeight="true" outlineLevel="0" collapsed="false"/>
    <row r="510" customFormat="false" ht="12.75" hidden="false" customHeight="true" outlineLevel="0" collapsed="false"/>
    <row r="511" customFormat="false" ht="12.75" hidden="false" customHeight="true" outlineLevel="0" collapsed="false"/>
    <row r="512" customFormat="false" ht="12.75" hidden="false" customHeight="true" outlineLevel="0" collapsed="false"/>
    <row r="513" customFormat="false" ht="12.75" hidden="false" customHeight="true" outlineLevel="0" collapsed="false"/>
    <row r="514" customFormat="false" ht="12.75" hidden="false" customHeight="true" outlineLevel="0" collapsed="false"/>
    <row r="515" customFormat="false" ht="12.75" hidden="false" customHeight="true" outlineLevel="0" collapsed="false"/>
    <row r="516" customFormat="false" ht="12.75" hidden="false" customHeight="true" outlineLevel="0" collapsed="false"/>
    <row r="517" customFormat="false" ht="12.75" hidden="false" customHeight="true" outlineLevel="0" collapsed="false"/>
    <row r="518" customFormat="false" ht="12.75" hidden="false" customHeight="true" outlineLevel="0" collapsed="false"/>
    <row r="519" customFormat="false" ht="12.75" hidden="false" customHeight="true" outlineLevel="0" collapsed="false"/>
    <row r="520" customFormat="false" ht="12.75" hidden="false" customHeight="true" outlineLevel="0" collapsed="false"/>
    <row r="521" customFormat="false" ht="12.75" hidden="false" customHeight="true" outlineLevel="0" collapsed="false"/>
    <row r="522" customFormat="false" ht="12.75" hidden="false" customHeight="true" outlineLevel="0" collapsed="false"/>
    <row r="523" customFormat="false" ht="12.75" hidden="false" customHeight="true" outlineLevel="0" collapsed="false"/>
    <row r="524" customFormat="false" ht="12.75" hidden="false" customHeight="true" outlineLevel="0" collapsed="false"/>
    <row r="525" customFormat="false" ht="12.75" hidden="false" customHeight="true" outlineLevel="0" collapsed="false"/>
    <row r="526" customFormat="false" ht="12.75" hidden="false" customHeight="true" outlineLevel="0" collapsed="false"/>
    <row r="527" customFormat="false" ht="12.75" hidden="false" customHeight="true" outlineLevel="0" collapsed="false"/>
    <row r="528" customFormat="false" ht="12.75" hidden="false" customHeight="true" outlineLevel="0" collapsed="false"/>
    <row r="529" customFormat="false" ht="12.75" hidden="false" customHeight="true" outlineLevel="0" collapsed="false"/>
    <row r="530" customFormat="false" ht="12.75" hidden="false" customHeight="true" outlineLevel="0" collapsed="false"/>
    <row r="531" customFormat="false" ht="12.75" hidden="false" customHeight="true" outlineLevel="0" collapsed="false"/>
    <row r="532" customFormat="false" ht="12.75" hidden="false" customHeight="true" outlineLevel="0" collapsed="false"/>
    <row r="533" customFormat="false" ht="12.75" hidden="false" customHeight="true" outlineLevel="0" collapsed="false"/>
    <row r="534" customFormat="false" ht="12.75" hidden="false" customHeight="true" outlineLevel="0" collapsed="false"/>
    <row r="535" customFormat="false" ht="12.75" hidden="false" customHeight="true" outlineLevel="0" collapsed="false"/>
    <row r="536" customFormat="false" ht="12.75" hidden="false" customHeight="true" outlineLevel="0" collapsed="false"/>
    <row r="537" customFormat="false" ht="12.75" hidden="false" customHeight="true" outlineLevel="0" collapsed="false"/>
    <row r="538" customFormat="false" ht="12.75" hidden="false" customHeight="true" outlineLevel="0" collapsed="false"/>
    <row r="539" customFormat="false" ht="12.75" hidden="false" customHeight="true" outlineLevel="0" collapsed="false"/>
    <row r="540" customFormat="false" ht="12.75" hidden="false" customHeight="true" outlineLevel="0" collapsed="false"/>
    <row r="541" customFormat="false" ht="12.75" hidden="false" customHeight="true" outlineLevel="0" collapsed="false"/>
    <row r="542" customFormat="false" ht="12.75" hidden="false" customHeight="true" outlineLevel="0" collapsed="false"/>
    <row r="543" customFormat="false" ht="12.75" hidden="false" customHeight="true" outlineLevel="0" collapsed="false"/>
    <row r="544" customFormat="false" ht="12.75" hidden="false" customHeight="true" outlineLevel="0" collapsed="false"/>
    <row r="545" customFormat="false" ht="12.75" hidden="false" customHeight="true" outlineLevel="0" collapsed="false"/>
    <row r="546" customFormat="false" ht="12.75" hidden="false" customHeight="true" outlineLevel="0" collapsed="false"/>
    <row r="547" customFormat="false" ht="12.75" hidden="false" customHeight="true" outlineLevel="0" collapsed="false"/>
    <row r="548" customFormat="false" ht="12.75" hidden="false" customHeight="true" outlineLevel="0" collapsed="false"/>
    <row r="549" customFormat="false" ht="12.75" hidden="false" customHeight="true" outlineLevel="0" collapsed="false"/>
    <row r="550" customFormat="false" ht="12.75" hidden="false" customHeight="true" outlineLevel="0" collapsed="false"/>
    <row r="551" customFormat="false" ht="12.75" hidden="false" customHeight="true" outlineLevel="0" collapsed="false"/>
    <row r="552" customFormat="false" ht="12.75" hidden="false" customHeight="true" outlineLevel="0" collapsed="false"/>
    <row r="553" customFormat="false" ht="12.75" hidden="false" customHeight="true" outlineLevel="0" collapsed="false"/>
    <row r="554" customFormat="false" ht="12.75" hidden="false" customHeight="true" outlineLevel="0" collapsed="false"/>
    <row r="555" customFormat="false" ht="12.75" hidden="false" customHeight="true" outlineLevel="0" collapsed="false"/>
    <row r="556" customFormat="false" ht="12.75" hidden="false" customHeight="true" outlineLevel="0" collapsed="false"/>
    <row r="557" customFormat="false" ht="12.75" hidden="false" customHeight="true" outlineLevel="0" collapsed="false"/>
    <row r="558" customFormat="false" ht="12.75" hidden="false" customHeight="true" outlineLevel="0" collapsed="false"/>
    <row r="559" customFormat="false" ht="12.75" hidden="false" customHeight="true" outlineLevel="0" collapsed="false"/>
    <row r="560" customFormat="false" ht="12.75" hidden="false" customHeight="true" outlineLevel="0" collapsed="false"/>
    <row r="561" customFormat="false" ht="12.75" hidden="false" customHeight="true" outlineLevel="0" collapsed="false"/>
    <row r="562" customFormat="false" ht="12.75" hidden="false" customHeight="true" outlineLevel="0" collapsed="false"/>
    <row r="563" customFormat="false" ht="12.75" hidden="false" customHeight="true" outlineLevel="0" collapsed="false"/>
    <row r="564" customFormat="false" ht="12.75" hidden="false" customHeight="true" outlineLevel="0" collapsed="false"/>
    <row r="565" customFormat="false" ht="12.75" hidden="false" customHeight="true" outlineLevel="0" collapsed="false"/>
    <row r="566" customFormat="false" ht="12.75" hidden="false" customHeight="true" outlineLevel="0" collapsed="false"/>
    <row r="567" customFormat="false" ht="12.75" hidden="false" customHeight="true" outlineLevel="0" collapsed="false"/>
    <row r="568" customFormat="false" ht="12.75" hidden="false" customHeight="true" outlineLevel="0" collapsed="false"/>
    <row r="569" customFormat="false" ht="12.75" hidden="false" customHeight="true" outlineLevel="0" collapsed="false"/>
    <row r="570" customFormat="false" ht="12.75" hidden="false" customHeight="true" outlineLevel="0" collapsed="false"/>
    <row r="571" customFormat="false" ht="12.75" hidden="false" customHeight="true" outlineLevel="0" collapsed="false"/>
    <row r="572" customFormat="false" ht="12.75" hidden="false" customHeight="true" outlineLevel="0" collapsed="false"/>
    <row r="573" customFormat="false" ht="12.75" hidden="false" customHeight="true" outlineLevel="0" collapsed="false"/>
    <row r="574" customFormat="false" ht="12.75" hidden="false" customHeight="true" outlineLevel="0" collapsed="false"/>
    <row r="575" customFormat="false" ht="12.75" hidden="false" customHeight="true" outlineLevel="0" collapsed="false"/>
    <row r="576" customFormat="false" ht="12.75" hidden="false" customHeight="true" outlineLevel="0" collapsed="false"/>
    <row r="577" customFormat="false" ht="12.75" hidden="false" customHeight="true" outlineLevel="0" collapsed="false"/>
    <row r="578" customFormat="false" ht="12.75" hidden="false" customHeight="true" outlineLevel="0" collapsed="false"/>
    <row r="579" customFormat="false" ht="12.75" hidden="false" customHeight="true" outlineLevel="0" collapsed="false"/>
    <row r="580" customFormat="false" ht="12.75" hidden="false" customHeight="true" outlineLevel="0" collapsed="false"/>
    <row r="581" customFormat="false" ht="12.75" hidden="false" customHeight="true" outlineLevel="0" collapsed="false"/>
    <row r="582" customFormat="false" ht="12.75" hidden="false" customHeight="true" outlineLevel="0" collapsed="false"/>
    <row r="583" customFormat="false" ht="12.75" hidden="false" customHeight="true" outlineLevel="0" collapsed="false"/>
    <row r="584" customFormat="false" ht="12.75" hidden="false" customHeight="true" outlineLevel="0" collapsed="false"/>
    <row r="585" customFormat="false" ht="12.75" hidden="false" customHeight="true" outlineLevel="0" collapsed="false"/>
    <row r="586" customFormat="false" ht="12.75" hidden="false" customHeight="true" outlineLevel="0" collapsed="false"/>
    <row r="587" customFormat="false" ht="12.75" hidden="false" customHeight="true" outlineLevel="0" collapsed="false"/>
    <row r="588" customFormat="false" ht="12.75" hidden="false" customHeight="true" outlineLevel="0" collapsed="false"/>
    <row r="589" customFormat="false" ht="12.75" hidden="false" customHeight="true" outlineLevel="0" collapsed="false"/>
    <row r="590" customFormat="false" ht="12.75" hidden="false" customHeight="true" outlineLevel="0" collapsed="false"/>
    <row r="591" customFormat="false" ht="12.75" hidden="false" customHeight="true" outlineLevel="0" collapsed="false"/>
    <row r="592" customFormat="false" ht="12.75" hidden="false" customHeight="true" outlineLevel="0" collapsed="false"/>
    <row r="593" customFormat="false" ht="12.75" hidden="false" customHeight="true" outlineLevel="0" collapsed="false"/>
    <row r="594" customFormat="false" ht="12.75" hidden="false" customHeight="true" outlineLevel="0" collapsed="false"/>
    <row r="595" customFormat="false" ht="12.75" hidden="false" customHeight="true" outlineLevel="0" collapsed="false"/>
    <row r="596" customFormat="false" ht="12.75" hidden="false" customHeight="true" outlineLevel="0" collapsed="false"/>
    <row r="597" customFormat="false" ht="12.75" hidden="false" customHeight="true" outlineLevel="0" collapsed="false"/>
    <row r="598" customFormat="false" ht="12.75" hidden="false" customHeight="true" outlineLevel="0" collapsed="false"/>
    <row r="599" customFormat="false" ht="12.75" hidden="false" customHeight="true" outlineLevel="0" collapsed="false"/>
    <row r="600" customFormat="false" ht="12.75" hidden="false" customHeight="true" outlineLevel="0" collapsed="false"/>
    <row r="601" customFormat="false" ht="12.75" hidden="false" customHeight="true" outlineLevel="0" collapsed="false"/>
    <row r="602" customFormat="false" ht="12.75" hidden="false" customHeight="true" outlineLevel="0" collapsed="false"/>
    <row r="603" customFormat="false" ht="12.75" hidden="false" customHeight="true" outlineLevel="0" collapsed="false"/>
    <row r="604" customFormat="false" ht="12.75" hidden="false" customHeight="true" outlineLevel="0" collapsed="false"/>
    <row r="605" customFormat="false" ht="12.75" hidden="false" customHeight="true" outlineLevel="0" collapsed="false"/>
    <row r="606" customFormat="false" ht="12.75" hidden="false" customHeight="true" outlineLevel="0" collapsed="false"/>
    <row r="607" customFormat="false" ht="12.75" hidden="false" customHeight="true" outlineLevel="0" collapsed="false"/>
    <row r="608" customFormat="false" ht="12.75" hidden="false" customHeight="true" outlineLevel="0" collapsed="false"/>
    <row r="609" customFormat="false" ht="12.75" hidden="false" customHeight="true" outlineLevel="0" collapsed="false"/>
    <row r="610" customFormat="false" ht="12.75" hidden="false" customHeight="true" outlineLevel="0" collapsed="false"/>
    <row r="611" customFormat="false" ht="12.75" hidden="false" customHeight="true" outlineLevel="0" collapsed="false"/>
    <row r="612" customFormat="false" ht="12.75" hidden="false" customHeight="true" outlineLevel="0" collapsed="false"/>
    <row r="613" customFormat="false" ht="12.75" hidden="false" customHeight="true" outlineLevel="0" collapsed="false"/>
    <row r="614" customFormat="false" ht="12.75" hidden="false" customHeight="true" outlineLevel="0" collapsed="false"/>
    <row r="615" customFormat="false" ht="12.75" hidden="false" customHeight="true" outlineLevel="0" collapsed="false"/>
    <row r="616" customFormat="false" ht="12.75" hidden="false" customHeight="true" outlineLevel="0" collapsed="false"/>
    <row r="617" customFormat="false" ht="12.75" hidden="false" customHeight="true" outlineLevel="0" collapsed="false"/>
    <row r="618" customFormat="false" ht="12.75" hidden="false" customHeight="true" outlineLevel="0" collapsed="false"/>
    <row r="619" customFormat="false" ht="12.75" hidden="false" customHeight="true" outlineLevel="0" collapsed="false"/>
    <row r="620" customFormat="false" ht="12.75" hidden="false" customHeight="true" outlineLevel="0" collapsed="false"/>
    <row r="621" customFormat="false" ht="12.75" hidden="false" customHeight="true" outlineLevel="0" collapsed="false"/>
    <row r="622" customFormat="false" ht="12.75" hidden="false" customHeight="true" outlineLevel="0" collapsed="false"/>
    <row r="623" customFormat="false" ht="12.75" hidden="false" customHeight="true" outlineLevel="0" collapsed="false"/>
    <row r="624" customFormat="false" ht="12.75" hidden="false" customHeight="true" outlineLevel="0" collapsed="false"/>
    <row r="625" customFormat="false" ht="12.75" hidden="false" customHeight="true" outlineLevel="0" collapsed="false"/>
    <row r="626" customFormat="false" ht="12.75" hidden="false" customHeight="true" outlineLevel="0" collapsed="false"/>
    <row r="627" customFormat="false" ht="12.75" hidden="false" customHeight="true" outlineLevel="0" collapsed="false"/>
    <row r="628" customFormat="false" ht="12.75" hidden="false" customHeight="true" outlineLevel="0" collapsed="false"/>
    <row r="629" customFormat="false" ht="12.75" hidden="false" customHeight="true" outlineLevel="0" collapsed="false"/>
    <row r="630" customFormat="false" ht="12.75" hidden="false" customHeight="true" outlineLevel="0" collapsed="false"/>
    <row r="631" customFormat="false" ht="12.75" hidden="false" customHeight="true" outlineLevel="0" collapsed="false"/>
    <row r="632" customFormat="false" ht="12.75" hidden="false" customHeight="true" outlineLevel="0" collapsed="false"/>
    <row r="633" customFormat="false" ht="12.75" hidden="false" customHeight="true" outlineLevel="0" collapsed="false"/>
    <row r="634" customFormat="false" ht="12.75" hidden="false" customHeight="true" outlineLevel="0" collapsed="false"/>
    <row r="635" customFormat="false" ht="12.75" hidden="false" customHeight="true" outlineLevel="0" collapsed="false"/>
    <row r="636" customFormat="false" ht="12.75" hidden="false" customHeight="true" outlineLevel="0" collapsed="false"/>
    <row r="637" customFormat="false" ht="12.75" hidden="false" customHeight="true" outlineLevel="0" collapsed="false"/>
    <row r="638" customFormat="false" ht="12.75" hidden="false" customHeight="true" outlineLevel="0" collapsed="false"/>
    <row r="639" customFormat="false" ht="12.75" hidden="false" customHeight="true" outlineLevel="0" collapsed="false"/>
    <row r="640" customFormat="false" ht="12.75" hidden="false" customHeight="true" outlineLevel="0" collapsed="false"/>
    <row r="641" customFormat="false" ht="12.75" hidden="false" customHeight="true" outlineLevel="0" collapsed="false"/>
    <row r="642" customFormat="false" ht="12.75" hidden="false" customHeight="true" outlineLevel="0" collapsed="false"/>
    <row r="643" customFormat="false" ht="12.75" hidden="false" customHeight="true" outlineLevel="0" collapsed="false"/>
    <row r="644" customFormat="false" ht="12.75" hidden="false" customHeight="true" outlineLevel="0" collapsed="false"/>
    <row r="645" customFormat="false" ht="12.75" hidden="false" customHeight="true" outlineLevel="0" collapsed="false"/>
    <row r="646" customFormat="false" ht="12.75" hidden="false" customHeight="true" outlineLevel="0" collapsed="false"/>
    <row r="647" customFormat="false" ht="12.75" hidden="false" customHeight="true" outlineLevel="0" collapsed="false"/>
    <row r="648" customFormat="false" ht="12.75" hidden="false" customHeight="true" outlineLevel="0" collapsed="false"/>
    <row r="649" customFormat="false" ht="12.75" hidden="false" customHeight="true" outlineLevel="0" collapsed="false"/>
    <row r="650" customFormat="false" ht="12.75" hidden="false" customHeight="true" outlineLevel="0" collapsed="false"/>
    <row r="651" customFormat="false" ht="12.75" hidden="false" customHeight="true" outlineLevel="0" collapsed="false"/>
    <row r="652" customFormat="false" ht="12.75" hidden="false" customHeight="true" outlineLevel="0" collapsed="false"/>
    <row r="653" customFormat="false" ht="12.75" hidden="false" customHeight="true" outlineLevel="0" collapsed="false"/>
    <row r="654" customFormat="false" ht="12.75" hidden="false" customHeight="true" outlineLevel="0" collapsed="false"/>
    <row r="655" customFormat="false" ht="12.75" hidden="false" customHeight="true" outlineLevel="0" collapsed="false"/>
    <row r="656" customFormat="false" ht="12.75" hidden="false" customHeight="true" outlineLevel="0" collapsed="false"/>
    <row r="657" customFormat="false" ht="12.75" hidden="false" customHeight="true" outlineLevel="0" collapsed="false"/>
    <row r="658" customFormat="false" ht="12.75" hidden="false" customHeight="true" outlineLevel="0" collapsed="false"/>
    <row r="659" customFormat="false" ht="12.75" hidden="false" customHeight="true" outlineLevel="0" collapsed="false"/>
    <row r="660" customFormat="false" ht="12.75" hidden="false" customHeight="true" outlineLevel="0" collapsed="false"/>
    <row r="661" customFormat="false" ht="12.75" hidden="false" customHeight="true" outlineLevel="0" collapsed="false"/>
    <row r="662" customFormat="false" ht="12.75" hidden="false" customHeight="true" outlineLevel="0" collapsed="false"/>
    <row r="663" customFormat="false" ht="12.75" hidden="false" customHeight="true" outlineLevel="0" collapsed="false"/>
    <row r="664" customFormat="false" ht="12.75" hidden="false" customHeight="true" outlineLevel="0" collapsed="false"/>
    <row r="665" customFormat="false" ht="12.75" hidden="false" customHeight="true" outlineLevel="0" collapsed="false"/>
    <row r="666" customFormat="false" ht="12.75" hidden="false" customHeight="true" outlineLevel="0" collapsed="false"/>
    <row r="667" customFormat="false" ht="12.75" hidden="false" customHeight="true" outlineLevel="0" collapsed="false"/>
    <row r="668" customFormat="false" ht="12.75" hidden="false" customHeight="true" outlineLevel="0" collapsed="false"/>
    <row r="669" customFormat="false" ht="12.75" hidden="false" customHeight="true" outlineLevel="0" collapsed="false"/>
    <row r="670" customFormat="false" ht="12.75" hidden="false" customHeight="true" outlineLevel="0" collapsed="false"/>
    <row r="671" customFormat="false" ht="12.75" hidden="false" customHeight="true" outlineLevel="0" collapsed="false"/>
    <row r="672" customFormat="false" ht="12.75" hidden="false" customHeight="true" outlineLevel="0" collapsed="false"/>
    <row r="673" customFormat="false" ht="12.75" hidden="false" customHeight="true" outlineLevel="0" collapsed="false"/>
    <row r="674" customFormat="false" ht="12.75" hidden="false" customHeight="true" outlineLevel="0" collapsed="false"/>
    <row r="675" customFormat="false" ht="12.75" hidden="false" customHeight="true" outlineLevel="0" collapsed="false"/>
    <row r="676" customFormat="false" ht="12.75" hidden="false" customHeight="true" outlineLevel="0" collapsed="false"/>
    <row r="677" customFormat="false" ht="12.75" hidden="false" customHeight="true" outlineLevel="0" collapsed="false"/>
    <row r="678" customFormat="false" ht="12.75" hidden="false" customHeight="true" outlineLevel="0" collapsed="false"/>
    <row r="679" customFormat="false" ht="12.75" hidden="false" customHeight="true" outlineLevel="0" collapsed="false"/>
    <row r="680" customFormat="false" ht="12.75" hidden="false" customHeight="true" outlineLevel="0" collapsed="false"/>
    <row r="681" customFormat="false" ht="12.75" hidden="false" customHeight="true" outlineLevel="0" collapsed="false"/>
    <row r="682" customFormat="false" ht="12.75" hidden="false" customHeight="true" outlineLevel="0" collapsed="false"/>
    <row r="683" customFormat="false" ht="12.75" hidden="false" customHeight="true" outlineLevel="0" collapsed="false"/>
    <row r="684" customFormat="false" ht="12.75" hidden="false" customHeight="true" outlineLevel="0" collapsed="false"/>
    <row r="685" customFormat="false" ht="12.75" hidden="false" customHeight="true" outlineLevel="0" collapsed="false"/>
    <row r="686" customFormat="false" ht="12.75" hidden="false" customHeight="true" outlineLevel="0" collapsed="false"/>
    <row r="687" customFormat="false" ht="12.75" hidden="false" customHeight="true" outlineLevel="0" collapsed="false"/>
    <row r="688" customFormat="false" ht="12.75" hidden="false" customHeight="true" outlineLevel="0" collapsed="false"/>
    <row r="689" customFormat="false" ht="12.75" hidden="false" customHeight="true" outlineLevel="0" collapsed="false"/>
    <row r="690" customFormat="false" ht="12.75" hidden="false" customHeight="true" outlineLevel="0" collapsed="false"/>
    <row r="691" customFormat="false" ht="12.75" hidden="false" customHeight="true" outlineLevel="0" collapsed="false"/>
    <row r="692" customFormat="false" ht="12.75" hidden="false" customHeight="true" outlineLevel="0" collapsed="false"/>
    <row r="693" customFormat="false" ht="12.75" hidden="false" customHeight="true" outlineLevel="0" collapsed="false"/>
    <row r="694" customFormat="false" ht="12.75" hidden="false" customHeight="true" outlineLevel="0" collapsed="false"/>
    <row r="695" customFormat="false" ht="12.75" hidden="false" customHeight="true" outlineLevel="0" collapsed="false"/>
    <row r="696" customFormat="false" ht="12.75" hidden="false" customHeight="true" outlineLevel="0" collapsed="false"/>
    <row r="697" customFormat="false" ht="12.75" hidden="false" customHeight="true" outlineLevel="0" collapsed="false"/>
    <row r="698" customFormat="false" ht="12.75" hidden="false" customHeight="true" outlineLevel="0" collapsed="false"/>
    <row r="699" customFormat="false" ht="12.75" hidden="false" customHeight="true" outlineLevel="0" collapsed="false"/>
    <row r="700" customFormat="false" ht="12.75" hidden="false" customHeight="true" outlineLevel="0" collapsed="false"/>
    <row r="701" customFormat="false" ht="12.75" hidden="false" customHeight="true" outlineLevel="0" collapsed="false"/>
    <row r="702" customFormat="false" ht="12.75" hidden="false" customHeight="true" outlineLevel="0" collapsed="false"/>
    <row r="703" customFormat="false" ht="12.75" hidden="false" customHeight="true" outlineLevel="0" collapsed="false"/>
    <row r="704" customFormat="false" ht="12.75" hidden="false" customHeight="true" outlineLevel="0" collapsed="false"/>
    <row r="705" customFormat="false" ht="12.75" hidden="false" customHeight="true" outlineLevel="0" collapsed="false"/>
    <row r="706" customFormat="false" ht="12.75" hidden="false" customHeight="true" outlineLevel="0" collapsed="false"/>
    <row r="707" customFormat="false" ht="12.75" hidden="false" customHeight="true" outlineLevel="0" collapsed="false"/>
    <row r="708" customFormat="false" ht="12.75" hidden="false" customHeight="true" outlineLevel="0" collapsed="false"/>
    <row r="709" customFormat="false" ht="12.75" hidden="false" customHeight="true" outlineLevel="0" collapsed="false"/>
    <row r="710" customFormat="false" ht="12.75" hidden="false" customHeight="true" outlineLevel="0" collapsed="false"/>
    <row r="711" customFormat="false" ht="12.75" hidden="false" customHeight="true" outlineLevel="0" collapsed="false"/>
    <row r="712" customFormat="false" ht="12.75" hidden="false" customHeight="true" outlineLevel="0" collapsed="false"/>
    <row r="713" customFormat="false" ht="12.75" hidden="false" customHeight="true" outlineLevel="0" collapsed="false"/>
    <row r="714" customFormat="false" ht="12.75" hidden="false" customHeight="true" outlineLevel="0" collapsed="false"/>
    <row r="715" customFormat="false" ht="12.75" hidden="false" customHeight="true" outlineLevel="0" collapsed="false"/>
    <row r="716" customFormat="false" ht="12.75" hidden="false" customHeight="true" outlineLevel="0" collapsed="false"/>
    <row r="717" customFormat="false" ht="12.75" hidden="false" customHeight="true" outlineLevel="0" collapsed="false"/>
    <row r="718" customFormat="false" ht="12.75" hidden="false" customHeight="true" outlineLevel="0" collapsed="false"/>
    <row r="719" customFormat="false" ht="12.75" hidden="false" customHeight="true" outlineLevel="0" collapsed="false"/>
    <row r="720" customFormat="false" ht="12.75" hidden="false" customHeight="true" outlineLevel="0" collapsed="false"/>
    <row r="721" customFormat="false" ht="12.75" hidden="false" customHeight="true" outlineLevel="0" collapsed="false"/>
    <row r="722" customFormat="false" ht="12.75" hidden="false" customHeight="true" outlineLevel="0" collapsed="false"/>
    <row r="723" customFormat="false" ht="12.75" hidden="false" customHeight="true" outlineLevel="0" collapsed="false"/>
    <row r="724" customFormat="false" ht="12.75" hidden="false" customHeight="true" outlineLevel="0" collapsed="false"/>
    <row r="725" customFormat="false" ht="12.75" hidden="false" customHeight="true" outlineLevel="0" collapsed="false"/>
    <row r="726" customFormat="false" ht="12.75" hidden="false" customHeight="true" outlineLevel="0" collapsed="false"/>
    <row r="727" customFormat="false" ht="12.75" hidden="false" customHeight="true" outlineLevel="0" collapsed="false"/>
    <row r="728" customFormat="false" ht="12.75" hidden="false" customHeight="true" outlineLevel="0" collapsed="false"/>
    <row r="729" customFormat="false" ht="12.75" hidden="false" customHeight="true" outlineLevel="0" collapsed="false"/>
    <row r="730" customFormat="false" ht="12.75" hidden="false" customHeight="true" outlineLevel="0" collapsed="false"/>
    <row r="731" customFormat="false" ht="12.75" hidden="false" customHeight="true" outlineLevel="0" collapsed="false"/>
    <row r="732" customFormat="false" ht="12.75" hidden="false" customHeight="true" outlineLevel="0" collapsed="false"/>
    <row r="733" customFormat="false" ht="12.75" hidden="false" customHeight="true" outlineLevel="0" collapsed="false"/>
    <row r="734" customFormat="false" ht="12.75" hidden="false" customHeight="true" outlineLevel="0" collapsed="false"/>
    <row r="735" customFormat="false" ht="12.75" hidden="false" customHeight="true" outlineLevel="0" collapsed="false"/>
    <row r="736" customFormat="false" ht="12.75" hidden="false" customHeight="true" outlineLevel="0" collapsed="false"/>
    <row r="737" customFormat="false" ht="12.75" hidden="false" customHeight="true" outlineLevel="0" collapsed="false"/>
    <row r="738" customFormat="false" ht="12.75" hidden="false" customHeight="true" outlineLevel="0" collapsed="false"/>
    <row r="739" customFormat="false" ht="12.75" hidden="false" customHeight="true" outlineLevel="0" collapsed="false"/>
    <row r="740" customFormat="false" ht="12.75" hidden="false" customHeight="true" outlineLevel="0" collapsed="false"/>
    <row r="741" customFormat="false" ht="12.75" hidden="false" customHeight="true" outlineLevel="0" collapsed="false"/>
    <row r="742" customFormat="false" ht="12.75" hidden="false" customHeight="true" outlineLevel="0" collapsed="false"/>
    <row r="743" customFormat="false" ht="12.75" hidden="false" customHeight="true" outlineLevel="0" collapsed="false"/>
    <row r="744" customFormat="false" ht="12.75" hidden="false" customHeight="true" outlineLevel="0" collapsed="false"/>
    <row r="745" customFormat="false" ht="12.75" hidden="false" customHeight="true" outlineLevel="0" collapsed="false"/>
    <row r="746" customFormat="false" ht="12.75" hidden="false" customHeight="true" outlineLevel="0" collapsed="false"/>
    <row r="747" customFormat="false" ht="12.75" hidden="false" customHeight="true" outlineLevel="0" collapsed="false"/>
    <row r="748" customFormat="false" ht="12.75" hidden="false" customHeight="true" outlineLevel="0" collapsed="false"/>
    <row r="749" customFormat="false" ht="12.75" hidden="false" customHeight="true" outlineLevel="0" collapsed="false"/>
    <row r="750" customFormat="false" ht="12.75" hidden="false" customHeight="true" outlineLevel="0" collapsed="false"/>
    <row r="751" customFormat="false" ht="12.75" hidden="false" customHeight="true" outlineLevel="0" collapsed="false"/>
    <row r="752" customFormat="false" ht="12.75" hidden="false" customHeight="true" outlineLevel="0" collapsed="false"/>
    <row r="753" customFormat="false" ht="12.75" hidden="false" customHeight="true" outlineLevel="0" collapsed="false"/>
    <row r="754" customFormat="false" ht="12.75" hidden="false" customHeight="true" outlineLevel="0" collapsed="false"/>
    <row r="755" customFormat="false" ht="12.75" hidden="false" customHeight="true" outlineLevel="0" collapsed="false"/>
    <row r="756" customFormat="false" ht="12.75" hidden="false" customHeight="true" outlineLevel="0" collapsed="false"/>
    <row r="757" customFormat="false" ht="12.75" hidden="false" customHeight="true" outlineLevel="0" collapsed="false"/>
    <row r="758" customFormat="false" ht="12.75" hidden="false" customHeight="true" outlineLevel="0" collapsed="false"/>
    <row r="759" customFormat="false" ht="12.75" hidden="false" customHeight="true" outlineLevel="0" collapsed="false"/>
    <row r="760" customFormat="false" ht="12.75" hidden="false" customHeight="true" outlineLevel="0" collapsed="false"/>
    <row r="761" customFormat="false" ht="12.75" hidden="false" customHeight="true" outlineLevel="0" collapsed="false"/>
    <row r="762" customFormat="false" ht="12.75" hidden="false" customHeight="true" outlineLevel="0" collapsed="false"/>
    <row r="763" customFormat="false" ht="12.75" hidden="false" customHeight="true" outlineLevel="0" collapsed="false"/>
    <row r="764" customFormat="false" ht="12.75" hidden="false" customHeight="true" outlineLevel="0" collapsed="false"/>
    <row r="765" customFormat="false" ht="12.75" hidden="false" customHeight="true" outlineLevel="0" collapsed="false"/>
    <row r="766" customFormat="false" ht="12.75" hidden="false" customHeight="true" outlineLevel="0" collapsed="false"/>
    <row r="767" customFormat="false" ht="12.75" hidden="false" customHeight="true" outlineLevel="0" collapsed="false"/>
    <row r="768" customFormat="false" ht="12.75" hidden="false" customHeight="true" outlineLevel="0" collapsed="false"/>
    <row r="769" customFormat="false" ht="12.75" hidden="false" customHeight="true" outlineLevel="0" collapsed="false"/>
    <row r="770" customFormat="false" ht="12.75" hidden="false" customHeight="true" outlineLevel="0" collapsed="false"/>
    <row r="771" customFormat="false" ht="12.75" hidden="false" customHeight="true" outlineLevel="0" collapsed="false"/>
    <row r="772" customFormat="false" ht="12.75" hidden="false" customHeight="true" outlineLevel="0" collapsed="false"/>
    <row r="773" customFormat="false" ht="12.75" hidden="false" customHeight="true" outlineLevel="0" collapsed="false"/>
    <row r="774" customFormat="false" ht="12.75" hidden="false" customHeight="true" outlineLevel="0" collapsed="false"/>
    <row r="775" customFormat="false" ht="12.75" hidden="false" customHeight="true" outlineLevel="0" collapsed="false"/>
    <row r="776" customFormat="false" ht="12.75" hidden="false" customHeight="true" outlineLevel="0" collapsed="false"/>
    <row r="777" customFormat="false" ht="12.75" hidden="false" customHeight="true" outlineLevel="0" collapsed="false"/>
    <row r="778" customFormat="false" ht="12.75" hidden="false" customHeight="true" outlineLevel="0" collapsed="false"/>
    <row r="779" customFormat="false" ht="12.75" hidden="false" customHeight="true" outlineLevel="0" collapsed="false"/>
    <row r="780" customFormat="false" ht="12.75" hidden="false" customHeight="true" outlineLevel="0" collapsed="false"/>
    <row r="781" customFormat="false" ht="12.75" hidden="false" customHeight="true" outlineLevel="0" collapsed="false"/>
    <row r="782" customFormat="false" ht="12.75" hidden="false" customHeight="true" outlineLevel="0" collapsed="false"/>
    <row r="783" customFormat="false" ht="12.75" hidden="false" customHeight="true" outlineLevel="0" collapsed="false"/>
    <row r="784" customFormat="false" ht="12.75" hidden="false" customHeight="true" outlineLevel="0" collapsed="false"/>
    <row r="785" customFormat="false" ht="12.75" hidden="false" customHeight="true" outlineLevel="0" collapsed="false"/>
    <row r="786" customFormat="false" ht="12.75" hidden="false" customHeight="true" outlineLevel="0" collapsed="false"/>
    <row r="787" customFormat="false" ht="12.75" hidden="false" customHeight="true" outlineLevel="0" collapsed="false"/>
    <row r="788" customFormat="false" ht="12.75" hidden="false" customHeight="true" outlineLevel="0" collapsed="false"/>
    <row r="789" customFormat="false" ht="12.75" hidden="false" customHeight="true" outlineLevel="0" collapsed="false"/>
    <row r="790" customFormat="false" ht="12.75" hidden="false" customHeight="true" outlineLevel="0" collapsed="false"/>
    <row r="791" customFormat="false" ht="12.75" hidden="false" customHeight="true" outlineLevel="0" collapsed="false"/>
    <row r="792" customFormat="false" ht="12.75" hidden="false" customHeight="true" outlineLevel="0" collapsed="false"/>
    <row r="793" customFormat="false" ht="12.75" hidden="false" customHeight="true" outlineLevel="0" collapsed="false"/>
    <row r="794" customFormat="false" ht="12.75" hidden="false" customHeight="true" outlineLevel="0" collapsed="false"/>
    <row r="795" customFormat="false" ht="12.75" hidden="false" customHeight="true" outlineLevel="0" collapsed="false"/>
    <row r="796" customFormat="false" ht="12.75" hidden="false" customHeight="true" outlineLevel="0" collapsed="false"/>
    <row r="797" customFormat="false" ht="12.75" hidden="false" customHeight="true" outlineLevel="0" collapsed="false"/>
    <row r="798" customFormat="false" ht="12.75" hidden="false" customHeight="true" outlineLevel="0" collapsed="false"/>
    <row r="799" customFormat="false" ht="12.75" hidden="false" customHeight="true" outlineLevel="0" collapsed="false"/>
    <row r="800" customFormat="false" ht="12.75" hidden="false" customHeight="true" outlineLevel="0" collapsed="false"/>
    <row r="801" customFormat="false" ht="12.75" hidden="false" customHeight="true" outlineLevel="0" collapsed="false"/>
    <row r="802" customFormat="false" ht="12.75" hidden="false" customHeight="true" outlineLevel="0" collapsed="false"/>
    <row r="803" customFormat="false" ht="12.75" hidden="false" customHeight="true" outlineLevel="0" collapsed="false"/>
    <row r="804" customFormat="false" ht="12.75" hidden="false" customHeight="true" outlineLevel="0" collapsed="false"/>
    <row r="805" customFormat="false" ht="12.75" hidden="false" customHeight="true" outlineLevel="0" collapsed="false"/>
    <row r="806" customFormat="false" ht="12.75" hidden="false" customHeight="true" outlineLevel="0" collapsed="false"/>
    <row r="807" customFormat="false" ht="12.75" hidden="false" customHeight="true" outlineLevel="0" collapsed="false"/>
    <row r="808" customFormat="false" ht="12.75" hidden="false" customHeight="true" outlineLevel="0" collapsed="false"/>
    <row r="809" customFormat="false" ht="12.75" hidden="false" customHeight="true" outlineLevel="0" collapsed="false"/>
    <row r="810" customFormat="false" ht="12.75" hidden="false" customHeight="true" outlineLevel="0" collapsed="false"/>
    <row r="811" customFormat="false" ht="12.75" hidden="false" customHeight="true" outlineLevel="0" collapsed="false"/>
    <row r="812" customFormat="false" ht="12.75" hidden="false" customHeight="true" outlineLevel="0" collapsed="false"/>
    <row r="813" customFormat="false" ht="12.75" hidden="false" customHeight="true" outlineLevel="0" collapsed="false"/>
    <row r="814" customFormat="false" ht="12.75" hidden="false" customHeight="true" outlineLevel="0" collapsed="false"/>
    <row r="815" customFormat="false" ht="12.75" hidden="false" customHeight="true" outlineLevel="0" collapsed="false"/>
    <row r="816" customFormat="false" ht="12.75" hidden="false" customHeight="true" outlineLevel="0" collapsed="false"/>
    <row r="817" customFormat="false" ht="12.75" hidden="false" customHeight="true" outlineLevel="0" collapsed="false"/>
    <row r="818" customFormat="false" ht="12.75" hidden="false" customHeight="true" outlineLevel="0" collapsed="false"/>
    <row r="819" customFormat="false" ht="12.75" hidden="false" customHeight="true" outlineLevel="0" collapsed="false"/>
    <row r="820" customFormat="false" ht="12.75" hidden="false" customHeight="true" outlineLevel="0" collapsed="false"/>
    <row r="821" customFormat="false" ht="12.75" hidden="false" customHeight="true" outlineLevel="0" collapsed="false"/>
    <row r="822" customFormat="false" ht="12.75" hidden="false" customHeight="true" outlineLevel="0" collapsed="false"/>
    <row r="823" customFormat="false" ht="12.75" hidden="false" customHeight="true" outlineLevel="0" collapsed="false"/>
    <row r="824" customFormat="false" ht="12.75" hidden="false" customHeight="true" outlineLevel="0" collapsed="false"/>
    <row r="825" customFormat="false" ht="12.75" hidden="false" customHeight="true" outlineLevel="0" collapsed="false"/>
    <row r="826" customFormat="false" ht="12.75" hidden="false" customHeight="true" outlineLevel="0" collapsed="false"/>
    <row r="827" customFormat="false" ht="12.75" hidden="false" customHeight="true" outlineLevel="0" collapsed="false"/>
    <row r="828" customFormat="false" ht="12.75" hidden="false" customHeight="true" outlineLevel="0" collapsed="false"/>
    <row r="829" customFormat="false" ht="12.75" hidden="false" customHeight="true" outlineLevel="0" collapsed="false"/>
    <row r="830" customFormat="false" ht="12.75" hidden="false" customHeight="true" outlineLevel="0" collapsed="false"/>
    <row r="831" customFormat="false" ht="12.75" hidden="false" customHeight="true" outlineLevel="0" collapsed="false"/>
    <row r="832" customFormat="false" ht="12.75" hidden="false" customHeight="true" outlineLevel="0" collapsed="false"/>
    <row r="833" customFormat="false" ht="12.75" hidden="false" customHeight="true" outlineLevel="0" collapsed="false"/>
    <row r="834" customFormat="false" ht="12.75" hidden="false" customHeight="true" outlineLevel="0" collapsed="false"/>
    <row r="835" customFormat="false" ht="12.75" hidden="false" customHeight="true" outlineLevel="0" collapsed="false"/>
    <row r="836" customFormat="false" ht="12.75" hidden="false" customHeight="true" outlineLevel="0" collapsed="false"/>
    <row r="837" customFormat="false" ht="12.75" hidden="false" customHeight="true" outlineLevel="0" collapsed="false"/>
    <row r="838" customFormat="false" ht="12.75" hidden="false" customHeight="true" outlineLevel="0" collapsed="false"/>
    <row r="839" customFormat="false" ht="12.75" hidden="false" customHeight="true" outlineLevel="0" collapsed="false"/>
    <row r="840" customFormat="false" ht="12.75" hidden="false" customHeight="true" outlineLevel="0" collapsed="false"/>
    <row r="841" customFormat="false" ht="12.75" hidden="false" customHeight="true" outlineLevel="0" collapsed="false"/>
    <row r="842" customFormat="false" ht="12.75" hidden="false" customHeight="true" outlineLevel="0" collapsed="false"/>
    <row r="843" customFormat="false" ht="12.75" hidden="false" customHeight="true" outlineLevel="0" collapsed="false"/>
    <row r="844" customFormat="false" ht="12.75" hidden="false" customHeight="true" outlineLevel="0" collapsed="false"/>
    <row r="845" customFormat="false" ht="12.75" hidden="false" customHeight="true" outlineLevel="0" collapsed="false"/>
    <row r="846" customFormat="false" ht="12.75" hidden="false" customHeight="true" outlineLevel="0" collapsed="false"/>
    <row r="847" customFormat="false" ht="12.75" hidden="false" customHeight="true" outlineLevel="0" collapsed="false"/>
    <row r="848" customFormat="false" ht="12.75" hidden="false" customHeight="true" outlineLevel="0" collapsed="false"/>
    <row r="849" customFormat="false" ht="12.75" hidden="false" customHeight="true" outlineLevel="0" collapsed="false"/>
    <row r="850" customFormat="false" ht="12.75" hidden="false" customHeight="true" outlineLevel="0" collapsed="false"/>
    <row r="851" customFormat="false" ht="12.75" hidden="false" customHeight="true" outlineLevel="0" collapsed="false"/>
    <row r="852" customFormat="false" ht="12.75" hidden="false" customHeight="true" outlineLevel="0" collapsed="false"/>
    <row r="853" customFormat="false" ht="12.75" hidden="false" customHeight="true" outlineLevel="0" collapsed="false"/>
    <row r="854" customFormat="false" ht="12.75" hidden="false" customHeight="true" outlineLevel="0" collapsed="false"/>
    <row r="855" customFormat="false" ht="12.75" hidden="false" customHeight="true" outlineLevel="0" collapsed="false"/>
    <row r="856" customFormat="false" ht="12.75" hidden="false" customHeight="true" outlineLevel="0" collapsed="false"/>
    <row r="857" customFormat="false" ht="12.75" hidden="false" customHeight="true" outlineLevel="0" collapsed="false"/>
    <row r="858" customFormat="false" ht="12.75" hidden="false" customHeight="true" outlineLevel="0" collapsed="false"/>
    <row r="859" customFormat="false" ht="12.75" hidden="false" customHeight="true" outlineLevel="0" collapsed="false"/>
    <row r="860" customFormat="false" ht="12.75" hidden="false" customHeight="true" outlineLevel="0" collapsed="false"/>
    <row r="861" customFormat="false" ht="12.75" hidden="false" customHeight="true" outlineLevel="0" collapsed="false"/>
    <row r="862" customFormat="false" ht="12.75" hidden="false" customHeight="true" outlineLevel="0" collapsed="false"/>
    <row r="863" customFormat="false" ht="12.75" hidden="false" customHeight="true" outlineLevel="0" collapsed="false"/>
    <row r="864" customFormat="false" ht="12.75" hidden="false" customHeight="true" outlineLevel="0" collapsed="false"/>
    <row r="865" customFormat="false" ht="12.75" hidden="false" customHeight="true" outlineLevel="0" collapsed="false"/>
    <row r="866" customFormat="false" ht="12.75" hidden="false" customHeight="true" outlineLevel="0" collapsed="false"/>
    <row r="867" customFormat="false" ht="12.75" hidden="false" customHeight="true" outlineLevel="0" collapsed="false"/>
    <row r="868" customFormat="false" ht="12.75" hidden="false" customHeight="true" outlineLevel="0" collapsed="false"/>
    <row r="869" customFormat="false" ht="12.75" hidden="false" customHeight="true" outlineLevel="0" collapsed="false"/>
    <row r="870" customFormat="false" ht="12.75" hidden="false" customHeight="true" outlineLevel="0" collapsed="false"/>
    <row r="871" customFormat="false" ht="12.75" hidden="false" customHeight="true" outlineLevel="0" collapsed="false"/>
    <row r="872" customFormat="false" ht="12.75" hidden="false" customHeight="true" outlineLevel="0" collapsed="false"/>
    <row r="873" customFormat="false" ht="12.75" hidden="false" customHeight="true" outlineLevel="0" collapsed="false"/>
    <row r="874" customFormat="false" ht="12.75" hidden="false" customHeight="true" outlineLevel="0" collapsed="false"/>
    <row r="875" customFormat="false" ht="12.75" hidden="false" customHeight="true" outlineLevel="0" collapsed="false"/>
    <row r="876" customFormat="false" ht="12.75" hidden="false" customHeight="true" outlineLevel="0" collapsed="false"/>
    <row r="877" customFormat="false" ht="12.75" hidden="false" customHeight="true" outlineLevel="0" collapsed="false"/>
    <row r="878" customFormat="false" ht="12.75" hidden="false" customHeight="true" outlineLevel="0" collapsed="false"/>
    <row r="879" customFormat="false" ht="12.75" hidden="false" customHeight="true" outlineLevel="0" collapsed="false"/>
    <row r="880" customFormat="false" ht="12.75" hidden="false" customHeight="true" outlineLevel="0" collapsed="false"/>
    <row r="881" customFormat="false" ht="12.75" hidden="false" customHeight="true" outlineLevel="0" collapsed="false"/>
    <row r="882" customFormat="false" ht="12.75" hidden="false" customHeight="true" outlineLevel="0" collapsed="false"/>
    <row r="883" customFormat="false" ht="12.75" hidden="false" customHeight="true" outlineLevel="0" collapsed="false"/>
    <row r="884" customFormat="false" ht="12.75" hidden="false" customHeight="true" outlineLevel="0" collapsed="false"/>
    <row r="885" customFormat="false" ht="12.75" hidden="false" customHeight="true" outlineLevel="0" collapsed="false"/>
    <row r="886" customFormat="false" ht="12.75" hidden="false" customHeight="true" outlineLevel="0" collapsed="false"/>
    <row r="887" customFormat="false" ht="12.75" hidden="false" customHeight="true" outlineLevel="0" collapsed="false"/>
    <row r="888" customFormat="false" ht="12.75" hidden="false" customHeight="true" outlineLevel="0" collapsed="false"/>
    <row r="889" customFormat="false" ht="12.75" hidden="false" customHeight="true" outlineLevel="0" collapsed="false"/>
    <row r="890" customFormat="false" ht="12.75" hidden="false" customHeight="true" outlineLevel="0" collapsed="false"/>
    <row r="891" customFormat="false" ht="12.75" hidden="false" customHeight="true" outlineLevel="0" collapsed="false"/>
    <row r="892" customFormat="false" ht="12.75" hidden="false" customHeight="true" outlineLevel="0" collapsed="false"/>
    <row r="893" customFormat="false" ht="12.75" hidden="false" customHeight="true" outlineLevel="0" collapsed="false"/>
    <row r="894" customFormat="false" ht="12.75" hidden="false" customHeight="true" outlineLevel="0" collapsed="false"/>
    <row r="895" customFormat="false" ht="12.75" hidden="false" customHeight="true" outlineLevel="0" collapsed="false"/>
    <row r="896" customFormat="false" ht="12.75" hidden="false" customHeight="true" outlineLevel="0" collapsed="false"/>
    <row r="897" customFormat="false" ht="12.75" hidden="false" customHeight="true" outlineLevel="0" collapsed="false"/>
    <row r="898" customFormat="false" ht="12.75" hidden="false" customHeight="true" outlineLevel="0" collapsed="false"/>
    <row r="899" customFormat="false" ht="12.75" hidden="false" customHeight="true" outlineLevel="0" collapsed="false"/>
    <row r="900" customFormat="false" ht="12.75" hidden="false" customHeight="true" outlineLevel="0" collapsed="false"/>
    <row r="901" customFormat="false" ht="12.75" hidden="false" customHeight="true" outlineLevel="0" collapsed="false"/>
    <row r="902" customFormat="false" ht="12.75" hidden="false" customHeight="true" outlineLevel="0" collapsed="false"/>
    <row r="903" customFormat="false" ht="12.75" hidden="false" customHeight="true" outlineLevel="0" collapsed="false"/>
    <row r="904" customFormat="false" ht="12.75" hidden="false" customHeight="true" outlineLevel="0" collapsed="false"/>
    <row r="905" customFormat="false" ht="12.75" hidden="false" customHeight="true" outlineLevel="0" collapsed="false"/>
    <row r="906" customFormat="false" ht="12.75" hidden="false" customHeight="true" outlineLevel="0" collapsed="false"/>
    <row r="907" customFormat="false" ht="12.75" hidden="false" customHeight="true" outlineLevel="0" collapsed="false"/>
    <row r="908" customFormat="false" ht="12.75" hidden="false" customHeight="true" outlineLevel="0" collapsed="false"/>
    <row r="909" customFormat="false" ht="12.75" hidden="false" customHeight="true" outlineLevel="0" collapsed="false"/>
    <row r="910" customFormat="false" ht="12.75" hidden="false" customHeight="true" outlineLevel="0" collapsed="false"/>
    <row r="911" customFormat="false" ht="12.75" hidden="false" customHeight="true" outlineLevel="0" collapsed="false"/>
    <row r="912" customFormat="false" ht="12.75" hidden="false" customHeight="true" outlineLevel="0" collapsed="false"/>
    <row r="913" customFormat="false" ht="12.75" hidden="false" customHeight="true" outlineLevel="0" collapsed="false"/>
    <row r="914" customFormat="false" ht="12.75" hidden="false" customHeight="true" outlineLevel="0" collapsed="false"/>
    <row r="915" customFormat="false" ht="12.75" hidden="false" customHeight="true" outlineLevel="0" collapsed="false"/>
    <row r="916" customFormat="false" ht="12.75" hidden="false" customHeight="true" outlineLevel="0" collapsed="false"/>
    <row r="917" customFormat="false" ht="12.75" hidden="false" customHeight="true" outlineLevel="0" collapsed="false"/>
    <row r="918" customFormat="false" ht="12.75" hidden="false" customHeight="true" outlineLevel="0" collapsed="false"/>
    <row r="919" customFormat="false" ht="12.75" hidden="false" customHeight="true" outlineLevel="0" collapsed="false"/>
    <row r="920" customFormat="false" ht="12.75" hidden="false" customHeight="true" outlineLevel="0" collapsed="false"/>
    <row r="921" customFormat="false" ht="12.75" hidden="false" customHeight="true" outlineLevel="0" collapsed="false"/>
    <row r="922" customFormat="false" ht="12.75" hidden="false" customHeight="true" outlineLevel="0" collapsed="false"/>
    <row r="923" customFormat="false" ht="12.75" hidden="false" customHeight="true" outlineLevel="0" collapsed="false"/>
    <row r="924" customFormat="false" ht="12.75" hidden="false" customHeight="true" outlineLevel="0" collapsed="false"/>
    <row r="925" customFormat="false" ht="12.75" hidden="false" customHeight="true" outlineLevel="0" collapsed="false"/>
    <row r="926" customFormat="false" ht="12.75" hidden="false" customHeight="true" outlineLevel="0" collapsed="false"/>
    <row r="927" customFormat="false" ht="12.75" hidden="false" customHeight="true" outlineLevel="0" collapsed="false"/>
    <row r="928" customFormat="false" ht="12.75" hidden="false" customHeight="true" outlineLevel="0" collapsed="false"/>
    <row r="929" customFormat="false" ht="12.75" hidden="false" customHeight="true" outlineLevel="0" collapsed="false"/>
    <row r="930" customFormat="false" ht="12.75" hidden="false" customHeight="true" outlineLevel="0" collapsed="false"/>
    <row r="931" customFormat="false" ht="12.75" hidden="false" customHeight="true" outlineLevel="0" collapsed="false"/>
    <row r="932" customFormat="false" ht="12.75" hidden="false" customHeight="true" outlineLevel="0" collapsed="false"/>
    <row r="933" customFormat="false" ht="12.75" hidden="false" customHeight="true" outlineLevel="0" collapsed="false"/>
    <row r="934" customFormat="false" ht="12.75" hidden="false" customHeight="true" outlineLevel="0" collapsed="false"/>
    <row r="935" customFormat="false" ht="12.75" hidden="false" customHeight="true" outlineLevel="0" collapsed="false"/>
    <row r="936" customFormat="false" ht="12.75" hidden="false" customHeight="true" outlineLevel="0" collapsed="false"/>
    <row r="937" customFormat="false" ht="12.75" hidden="false" customHeight="true" outlineLevel="0" collapsed="false"/>
    <row r="938" customFormat="false" ht="12.75" hidden="false" customHeight="true" outlineLevel="0" collapsed="false"/>
    <row r="939" customFormat="false" ht="12.75" hidden="false" customHeight="true" outlineLevel="0" collapsed="false"/>
    <row r="940" customFormat="false" ht="12.75" hidden="false" customHeight="true" outlineLevel="0" collapsed="false"/>
    <row r="941" customFormat="false" ht="12.75" hidden="false" customHeight="true" outlineLevel="0" collapsed="false"/>
    <row r="942" customFormat="false" ht="12.75" hidden="false" customHeight="true" outlineLevel="0" collapsed="false"/>
    <row r="943" customFormat="false" ht="12.75" hidden="false" customHeight="true" outlineLevel="0" collapsed="false"/>
    <row r="944" customFormat="false" ht="12.75" hidden="false" customHeight="true" outlineLevel="0" collapsed="false"/>
    <row r="945" customFormat="false" ht="12.75" hidden="false" customHeight="true" outlineLevel="0" collapsed="false"/>
    <row r="946" customFormat="false" ht="12.75" hidden="false" customHeight="true" outlineLevel="0" collapsed="false"/>
    <row r="947" customFormat="false" ht="12.75" hidden="false" customHeight="true" outlineLevel="0" collapsed="false"/>
    <row r="948" customFormat="false" ht="12.75" hidden="false" customHeight="true" outlineLevel="0" collapsed="false"/>
    <row r="949" customFormat="false" ht="12.75" hidden="false" customHeight="true" outlineLevel="0" collapsed="false"/>
    <row r="950" customFormat="false" ht="12.75" hidden="false" customHeight="true" outlineLevel="0" collapsed="false"/>
    <row r="951" customFormat="false" ht="12.75" hidden="false" customHeight="true" outlineLevel="0" collapsed="false"/>
    <row r="952" customFormat="false" ht="12.75" hidden="false" customHeight="true" outlineLevel="0" collapsed="false"/>
    <row r="953" customFormat="false" ht="12.75" hidden="false" customHeight="true" outlineLevel="0" collapsed="false"/>
    <row r="954" customFormat="false" ht="12.75" hidden="false" customHeight="true" outlineLevel="0" collapsed="false"/>
    <row r="955" customFormat="false" ht="12.75" hidden="false" customHeight="true" outlineLevel="0" collapsed="false"/>
    <row r="956" customFormat="false" ht="12.75" hidden="false" customHeight="true" outlineLevel="0" collapsed="false"/>
    <row r="957" customFormat="false" ht="12.75" hidden="false" customHeight="true" outlineLevel="0" collapsed="false"/>
    <row r="958" customFormat="false" ht="12.75" hidden="false" customHeight="true" outlineLevel="0" collapsed="false"/>
    <row r="959" customFormat="false" ht="12.75" hidden="false" customHeight="true" outlineLevel="0" collapsed="false"/>
    <row r="960" customFormat="false" ht="12.75" hidden="false" customHeight="true" outlineLevel="0" collapsed="false"/>
    <row r="961" customFormat="false" ht="12.75" hidden="false" customHeight="true" outlineLevel="0" collapsed="false"/>
    <row r="962" customFormat="false" ht="12.75" hidden="false" customHeight="true" outlineLevel="0" collapsed="false"/>
    <row r="963" customFormat="false" ht="12.75" hidden="false" customHeight="true" outlineLevel="0" collapsed="false"/>
    <row r="964" customFormat="false" ht="12.75" hidden="false" customHeight="true" outlineLevel="0" collapsed="false"/>
    <row r="965" customFormat="false" ht="12.75" hidden="false" customHeight="true" outlineLevel="0" collapsed="false"/>
    <row r="966" customFormat="false" ht="12.75" hidden="false" customHeight="true" outlineLevel="0" collapsed="false"/>
    <row r="967" customFormat="false" ht="12.75" hidden="false" customHeight="true" outlineLevel="0" collapsed="false"/>
    <row r="968" customFormat="false" ht="12.75" hidden="false" customHeight="true" outlineLevel="0" collapsed="false"/>
    <row r="969" customFormat="false" ht="12.75" hidden="false" customHeight="true" outlineLevel="0" collapsed="false"/>
    <row r="970" customFormat="false" ht="12.75" hidden="false" customHeight="true" outlineLevel="0" collapsed="false"/>
    <row r="971" customFormat="false" ht="12.75" hidden="false" customHeight="true" outlineLevel="0" collapsed="false"/>
    <row r="972" customFormat="false" ht="12.75" hidden="false" customHeight="true" outlineLevel="0" collapsed="false"/>
    <row r="973" customFormat="false" ht="12.75" hidden="false" customHeight="true" outlineLevel="0" collapsed="false"/>
    <row r="974" customFormat="false" ht="12.75" hidden="false" customHeight="true" outlineLevel="0" collapsed="false"/>
    <row r="975" customFormat="false" ht="12.75" hidden="false" customHeight="true" outlineLevel="0" collapsed="false"/>
    <row r="976" customFormat="false" ht="12.75" hidden="false" customHeight="true" outlineLevel="0" collapsed="false"/>
    <row r="977" customFormat="false" ht="12.75" hidden="false" customHeight="true" outlineLevel="0" collapsed="false"/>
    <row r="978" customFormat="false" ht="12.75" hidden="false" customHeight="true" outlineLevel="0" collapsed="false"/>
    <row r="979" customFormat="false" ht="12.75" hidden="false" customHeight="true" outlineLevel="0" collapsed="false"/>
    <row r="980" customFormat="false" ht="12.75" hidden="false" customHeight="true" outlineLevel="0" collapsed="false"/>
    <row r="981" customFormat="false" ht="12.75" hidden="false" customHeight="true" outlineLevel="0" collapsed="false"/>
    <row r="982" customFormat="false" ht="12.75" hidden="false" customHeight="true" outlineLevel="0" collapsed="false"/>
    <row r="983" customFormat="false" ht="12.75" hidden="false" customHeight="true" outlineLevel="0" collapsed="false"/>
    <row r="984" customFormat="false" ht="12.75" hidden="false" customHeight="true" outlineLevel="0" collapsed="false"/>
    <row r="985" customFormat="false" ht="12.75" hidden="false" customHeight="true" outlineLevel="0" collapsed="false"/>
    <row r="986" customFormat="false" ht="12.75" hidden="false" customHeight="true" outlineLevel="0" collapsed="false"/>
    <row r="987" customFormat="false" ht="12.75" hidden="false" customHeight="true" outlineLevel="0" collapsed="false"/>
    <row r="988" customFormat="false" ht="12.75" hidden="false" customHeight="true" outlineLevel="0" collapsed="false"/>
    <row r="989" customFormat="false" ht="12.75" hidden="false" customHeight="true" outlineLevel="0" collapsed="false"/>
    <row r="990" customFormat="false" ht="12.75" hidden="false" customHeight="true" outlineLevel="0" collapsed="false"/>
    <row r="991" customFormat="false" ht="12.75" hidden="false" customHeight="true" outlineLevel="0" collapsed="false"/>
    <row r="992" customFormat="false" ht="12.75" hidden="false" customHeight="true" outlineLevel="0" collapsed="false"/>
    <row r="993" customFormat="false" ht="12.75" hidden="false" customHeight="true" outlineLevel="0" collapsed="false"/>
    <row r="994" customFormat="false" ht="12.75" hidden="false" customHeight="true" outlineLevel="0" collapsed="false"/>
    <row r="995" customFormat="false" ht="12.75" hidden="false" customHeight="true" outlineLevel="0" collapsed="false"/>
    <row r="996" customFormat="false" ht="12.75" hidden="false" customHeight="true" outlineLevel="0" collapsed="false"/>
    <row r="997" customFormat="false" ht="12.75" hidden="false" customHeight="true" outlineLevel="0" collapsed="false"/>
    <row r="998" customFormat="false" ht="12.75" hidden="false" customHeight="true" outlineLevel="0" collapsed="false"/>
    <row r="999" customFormat="false" ht="12.75" hidden="false" customHeight="true" outlineLevel="0" collapsed="false"/>
    <row r="1000" customFormat="false" ht="12.75" hidden="false" customHeight="true" outlineLevel="0" collapsed="false"/>
    <row r="1001" customFormat="false" ht="12.75" hidden="false" customHeight="true" outlineLevel="0" collapsed="false"/>
    <row r="1002" customFormat="false" ht="12.75" hidden="false" customHeight="true" outlineLevel="0" collapsed="false"/>
    <row r="1003" customFormat="false" ht="12.75" hidden="false" customHeight="true" outlineLevel="0" collapsed="false"/>
    <row r="1004" customFormat="false" ht="12.75" hidden="false" customHeight="true" outlineLevel="0" collapsed="false"/>
    <row r="1005" customFormat="false" ht="12.75" hidden="false" customHeight="true" outlineLevel="0" collapsed="false"/>
    <row r="1006" customFormat="false" ht="12.75" hidden="false" customHeight="true" outlineLevel="0" collapsed="false"/>
    <row r="1007" customFormat="false" ht="12.75" hidden="false" customHeight="true" outlineLevel="0" collapsed="false"/>
    <row r="1008" customFormat="false" ht="12.75" hidden="false" customHeight="true" outlineLevel="0" collapsed="false"/>
    <row r="1009" customFormat="false" ht="12.75" hidden="false" customHeight="true" outlineLevel="0" collapsed="false"/>
    <row r="1010" customFormat="false" ht="12.75" hidden="false" customHeight="true" outlineLevel="0" collapsed="false"/>
    <row r="1011" customFormat="false" ht="12.75" hidden="false" customHeight="true" outlineLevel="0" collapsed="false"/>
    <row r="1012" customFormat="false" ht="12.75" hidden="false" customHeight="true" outlineLevel="0" collapsed="false"/>
    <row r="1013" customFormat="false" ht="12.75" hidden="false" customHeight="true" outlineLevel="0" collapsed="false"/>
    <row r="1014" customFormat="false" ht="12.75" hidden="false" customHeight="true" outlineLevel="0" collapsed="false"/>
    <row r="1015" customFormat="false" ht="12.75" hidden="false" customHeight="true" outlineLevel="0" collapsed="false"/>
    <row r="1016" customFormat="false" ht="12.75" hidden="false" customHeight="true" outlineLevel="0" collapsed="false"/>
    <row r="1017" customFormat="false" ht="12.75" hidden="false" customHeight="true" outlineLevel="0" collapsed="false"/>
    <row r="1018" customFormat="false" ht="12.75" hidden="false" customHeight="true" outlineLevel="0" collapsed="false"/>
    <row r="1019" customFormat="false" ht="12.75" hidden="false" customHeight="true" outlineLevel="0" collapsed="false"/>
    <row r="1020" customFormat="false" ht="12.75" hidden="false" customHeight="true" outlineLevel="0" collapsed="false"/>
    <row r="1021" customFormat="false" ht="12.75" hidden="false" customHeight="true" outlineLevel="0" collapsed="false"/>
    <row r="1022" customFormat="false" ht="12.75" hidden="false" customHeight="true" outlineLevel="0" collapsed="false"/>
    <row r="1023" customFormat="false" ht="12.75" hidden="false" customHeight="true" outlineLevel="0" collapsed="false"/>
    <row r="1024" customFormat="false" ht="12.75" hidden="false" customHeight="true" outlineLevel="0" collapsed="false"/>
    <row r="1025" customFormat="false" ht="12.75" hidden="false" customHeight="true" outlineLevel="0" collapsed="false"/>
    <row r="1026" customFormat="false" ht="12.75" hidden="false" customHeight="true" outlineLevel="0" collapsed="false"/>
    <row r="1027" customFormat="false" ht="12.75" hidden="false" customHeight="true" outlineLevel="0" collapsed="false"/>
    <row r="1028" customFormat="false" ht="12.75" hidden="false" customHeight="true" outlineLevel="0" collapsed="false"/>
    <row r="1029" customFormat="false" ht="12.75" hidden="false" customHeight="true" outlineLevel="0" collapsed="false"/>
    <row r="1030" customFormat="false" ht="12.75" hidden="false" customHeight="true" outlineLevel="0" collapsed="false"/>
    <row r="1031" customFormat="false" ht="12.75" hidden="false" customHeight="true" outlineLevel="0" collapsed="false"/>
    <row r="1032" customFormat="false" ht="12.75" hidden="false" customHeight="true" outlineLevel="0" collapsed="false"/>
    <row r="1033" customFormat="false" ht="12.75" hidden="false" customHeight="true" outlineLevel="0" collapsed="false"/>
    <row r="1034" customFormat="false" ht="12.75" hidden="false" customHeight="true" outlineLevel="0" collapsed="false"/>
    <row r="1035" customFormat="false" ht="12.75" hidden="false" customHeight="true" outlineLevel="0" collapsed="false"/>
    <row r="1036" customFormat="false" ht="12.75" hidden="false" customHeight="true" outlineLevel="0" collapsed="false"/>
    <row r="1037" customFormat="false" ht="12.75" hidden="false" customHeight="true" outlineLevel="0" collapsed="false"/>
    <row r="1038" customFormat="false" ht="12.75" hidden="false" customHeight="true" outlineLevel="0" collapsed="false"/>
    <row r="1039" customFormat="false" ht="12.75" hidden="false" customHeight="true" outlineLevel="0" collapsed="false"/>
    <row r="1040" customFormat="false" ht="12.75" hidden="false" customHeight="true" outlineLevel="0" collapsed="false"/>
    <row r="1041" customFormat="false" ht="12.75" hidden="false" customHeight="true" outlineLevel="0" collapsed="false"/>
    <row r="1042" customFormat="false" ht="12.75" hidden="false" customHeight="true" outlineLevel="0" collapsed="false"/>
    <row r="1043" customFormat="false" ht="12.75" hidden="false" customHeight="true" outlineLevel="0" collapsed="false"/>
    <row r="1044" customFormat="false" ht="12.75" hidden="false" customHeight="true" outlineLevel="0" collapsed="false"/>
    <row r="1045" customFormat="false" ht="12.75" hidden="false" customHeight="true" outlineLevel="0" collapsed="false"/>
    <row r="1046" customFormat="false" ht="12.75" hidden="false" customHeight="true" outlineLevel="0" collapsed="false"/>
    <row r="1047" customFormat="false" ht="12.75" hidden="false" customHeight="true" outlineLevel="0" collapsed="false"/>
    <row r="1048" customFormat="false" ht="12.75" hidden="false" customHeight="true" outlineLevel="0" collapsed="false"/>
    <row r="1049" customFormat="false" ht="12.75" hidden="false" customHeight="true" outlineLevel="0" collapsed="false"/>
    <row r="1050" customFormat="false" ht="12.75" hidden="false" customHeight="true" outlineLevel="0" collapsed="false"/>
    <row r="1051" customFormat="false" ht="12.75" hidden="false" customHeight="true" outlineLevel="0" collapsed="false"/>
    <row r="1052" customFormat="false" ht="12.75" hidden="false" customHeight="true" outlineLevel="0" collapsed="false"/>
    <row r="1053" customFormat="false" ht="12.75" hidden="false" customHeight="true" outlineLevel="0" collapsed="false"/>
    <row r="1054" customFormat="false" ht="12.75" hidden="false" customHeight="true" outlineLevel="0" collapsed="false"/>
    <row r="1055" customFormat="false" ht="12.75" hidden="false" customHeight="true" outlineLevel="0" collapsed="false"/>
    <row r="1056" customFormat="false" ht="12.75" hidden="false" customHeight="true" outlineLevel="0" collapsed="false"/>
    <row r="1057" customFormat="false" ht="12.75" hidden="false" customHeight="true" outlineLevel="0" collapsed="false"/>
    <row r="1058" customFormat="false" ht="12.75" hidden="false" customHeight="true" outlineLevel="0" collapsed="false"/>
    <row r="1059" customFormat="false" ht="12.75" hidden="false" customHeight="true" outlineLevel="0" collapsed="false"/>
    <row r="1060" customFormat="false" ht="12.75" hidden="false" customHeight="true" outlineLevel="0" collapsed="false"/>
    <row r="1061" customFormat="false" ht="12.75" hidden="false" customHeight="true" outlineLevel="0" collapsed="false"/>
    <row r="1062" customFormat="false" ht="12.75" hidden="false" customHeight="true" outlineLevel="0" collapsed="false"/>
    <row r="1063" customFormat="false" ht="12.75" hidden="false" customHeight="true" outlineLevel="0" collapsed="false"/>
    <row r="1064" customFormat="false" ht="12.75" hidden="false" customHeight="true" outlineLevel="0" collapsed="false"/>
    <row r="1065" customFormat="false" ht="12.75" hidden="false" customHeight="true" outlineLevel="0" collapsed="false"/>
    <row r="1066" customFormat="false" ht="12.75" hidden="false" customHeight="true" outlineLevel="0" collapsed="false"/>
    <row r="1067" customFormat="false" ht="12.75" hidden="false" customHeight="true" outlineLevel="0" collapsed="false"/>
    <row r="1068" customFormat="false" ht="12.75" hidden="false" customHeight="true" outlineLevel="0" collapsed="false"/>
    <row r="1069" customFormat="false" ht="12.75" hidden="false" customHeight="true" outlineLevel="0" collapsed="false"/>
    <row r="1070" customFormat="false" ht="12.75" hidden="false" customHeight="true" outlineLevel="0" collapsed="false"/>
    <row r="1071" customFormat="false" ht="12.75" hidden="false" customHeight="true" outlineLevel="0" collapsed="false"/>
    <row r="1072" customFormat="false" ht="12.75" hidden="false" customHeight="true" outlineLevel="0" collapsed="false"/>
    <row r="1073" customFormat="false" ht="12.75" hidden="false" customHeight="true" outlineLevel="0" collapsed="false"/>
    <row r="1074" customFormat="false" ht="12.75" hidden="false" customHeight="true" outlineLevel="0" collapsed="false"/>
    <row r="1075" customFormat="false" ht="12.75" hidden="false" customHeight="true" outlineLevel="0" collapsed="false"/>
    <row r="1076" customFormat="false" ht="12.75" hidden="false" customHeight="true" outlineLevel="0" collapsed="false"/>
    <row r="1077" customFormat="false" ht="12.75" hidden="false" customHeight="true" outlineLevel="0" collapsed="false"/>
    <row r="1078" customFormat="false" ht="12.75" hidden="false" customHeight="true" outlineLevel="0" collapsed="false"/>
    <row r="1079" customFormat="false" ht="12.75" hidden="false" customHeight="true" outlineLevel="0" collapsed="false"/>
    <row r="1080" customFormat="false" ht="12.75" hidden="false" customHeight="true" outlineLevel="0" collapsed="false"/>
    <row r="1081" customFormat="false" ht="12.75" hidden="false" customHeight="true" outlineLevel="0" collapsed="false"/>
    <row r="1082" customFormat="false" ht="12.75" hidden="false" customHeight="true" outlineLevel="0" collapsed="false"/>
    <row r="1083" customFormat="false" ht="12.75" hidden="false" customHeight="true" outlineLevel="0" collapsed="false"/>
    <row r="1084" customFormat="false" ht="12.75" hidden="false" customHeight="true" outlineLevel="0" collapsed="false"/>
    <row r="1085" customFormat="false" ht="12.75" hidden="false" customHeight="true" outlineLevel="0" collapsed="false"/>
    <row r="1086" customFormat="false" ht="12.75" hidden="false" customHeight="true" outlineLevel="0" collapsed="false"/>
    <row r="1087" customFormat="false" ht="12.75" hidden="false" customHeight="true" outlineLevel="0" collapsed="false"/>
    <row r="1088" customFormat="false" ht="12.75" hidden="false" customHeight="true" outlineLevel="0" collapsed="false"/>
    <row r="1089" customFormat="false" ht="12.75" hidden="false" customHeight="true" outlineLevel="0" collapsed="false"/>
    <row r="1090" customFormat="false" ht="12.75" hidden="false" customHeight="true" outlineLevel="0" collapsed="false"/>
    <row r="1091" customFormat="false" ht="12.75" hidden="false" customHeight="true" outlineLevel="0" collapsed="false"/>
    <row r="1092" customFormat="false" ht="12.75" hidden="false" customHeight="true" outlineLevel="0" collapsed="false"/>
    <row r="1093" customFormat="false" ht="12.75" hidden="false" customHeight="true" outlineLevel="0" collapsed="false"/>
    <row r="1094" customFormat="false" ht="12.75" hidden="false" customHeight="true" outlineLevel="0" collapsed="false"/>
    <row r="1095" customFormat="false" ht="12.75" hidden="false" customHeight="true" outlineLevel="0" collapsed="false"/>
    <row r="1096" customFormat="false" ht="12.75" hidden="false" customHeight="true" outlineLevel="0" collapsed="false"/>
    <row r="1097" customFormat="false" ht="12.75" hidden="false" customHeight="true" outlineLevel="0" collapsed="false"/>
    <row r="1098" customFormat="false" ht="12.75" hidden="false" customHeight="true" outlineLevel="0" collapsed="false"/>
    <row r="1099" customFormat="false" ht="12.75" hidden="false" customHeight="true" outlineLevel="0" collapsed="false"/>
    <row r="1100" customFormat="false" ht="12.75" hidden="false" customHeight="true" outlineLevel="0" collapsed="false"/>
    <row r="1101" customFormat="false" ht="12.75" hidden="false" customHeight="true" outlineLevel="0" collapsed="false"/>
    <row r="1102" customFormat="false" ht="12.75" hidden="false" customHeight="true" outlineLevel="0" collapsed="false"/>
    <row r="1103" customFormat="false" ht="12.75" hidden="false" customHeight="true" outlineLevel="0" collapsed="false"/>
    <row r="1104" customFormat="false" ht="12.75" hidden="false" customHeight="true" outlineLevel="0" collapsed="false"/>
    <row r="1105" customFormat="false" ht="12.75" hidden="false" customHeight="true" outlineLevel="0" collapsed="false"/>
    <row r="1106" customFormat="false" ht="12.75" hidden="false" customHeight="true" outlineLevel="0" collapsed="false"/>
    <row r="1107" customFormat="false" ht="12.75" hidden="false" customHeight="true" outlineLevel="0" collapsed="false"/>
    <row r="1108" customFormat="false" ht="12.75" hidden="false" customHeight="true" outlineLevel="0" collapsed="false"/>
    <row r="1109" customFormat="false" ht="12.75" hidden="false" customHeight="true" outlineLevel="0" collapsed="false"/>
    <row r="1110" customFormat="false" ht="12.75" hidden="false" customHeight="true" outlineLevel="0" collapsed="false"/>
    <row r="1111" customFormat="false" ht="12.75" hidden="false" customHeight="true" outlineLevel="0" collapsed="false"/>
    <row r="1112" customFormat="false" ht="12.75" hidden="false" customHeight="true" outlineLevel="0" collapsed="false"/>
    <row r="1113" customFormat="false" ht="12.75" hidden="false" customHeight="true" outlineLevel="0" collapsed="false"/>
    <row r="1114" customFormat="false" ht="12.75" hidden="false" customHeight="true" outlineLevel="0" collapsed="false"/>
    <row r="1115" customFormat="false" ht="12.75" hidden="false" customHeight="true" outlineLevel="0" collapsed="false"/>
    <row r="1116" customFormat="false" ht="12.75" hidden="false" customHeight="true" outlineLevel="0" collapsed="false"/>
    <row r="1117" customFormat="false" ht="12.75" hidden="false" customHeight="true" outlineLevel="0" collapsed="false"/>
    <row r="1118" customFormat="false" ht="12.75" hidden="false" customHeight="true" outlineLevel="0" collapsed="false"/>
    <row r="1119" customFormat="false" ht="12.75" hidden="false" customHeight="true" outlineLevel="0" collapsed="false"/>
    <row r="1120" customFormat="false" ht="12.75" hidden="false" customHeight="true" outlineLevel="0" collapsed="false"/>
    <row r="1121" customFormat="false" ht="12.75" hidden="false" customHeight="true" outlineLevel="0" collapsed="false"/>
    <row r="1122" customFormat="false" ht="12.75" hidden="false" customHeight="true" outlineLevel="0" collapsed="false"/>
    <row r="1123" customFormat="false" ht="12.75" hidden="false" customHeight="true" outlineLevel="0" collapsed="false"/>
    <row r="1124" customFormat="false" ht="12.75" hidden="false" customHeight="true" outlineLevel="0" collapsed="false"/>
    <row r="1125" customFormat="false" ht="12.75" hidden="false" customHeight="true" outlineLevel="0" collapsed="false"/>
    <row r="1126" customFormat="false" ht="12.75" hidden="false" customHeight="true" outlineLevel="0" collapsed="false"/>
    <row r="1127" customFormat="false" ht="12.75" hidden="false" customHeight="true" outlineLevel="0" collapsed="false"/>
    <row r="1128" customFormat="false" ht="12.75" hidden="false" customHeight="true" outlineLevel="0" collapsed="false"/>
    <row r="1129" customFormat="false" ht="12.75" hidden="false" customHeight="true" outlineLevel="0" collapsed="false"/>
    <row r="1130" customFormat="false" ht="12.75" hidden="false" customHeight="true" outlineLevel="0" collapsed="false"/>
    <row r="1131" customFormat="false" ht="12.75" hidden="false" customHeight="true" outlineLevel="0" collapsed="false"/>
    <row r="1132" customFormat="false" ht="12.75" hidden="false" customHeight="true" outlineLevel="0" collapsed="false"/>
    <row r="1133" customFormat="false" ht="12.75" hidden="false" customHeight="true" outlineLevel="0" collapsed="false"/>
    <row r="1134" customFormat="false" ht="12.75" hidden="false" customHeight="true" outlineLevel="0" collapsed="false"/>
    <row r="1135" customFormat="false" ht="12.75" hidden="false" customHeight="true" outlineLevel="0" collapsed="false"/>
    <row r="1136" customFormat="false" ht="12.75" hidden="false" customHeight="true" outlineLevel="0" collapsed="false"/>
    <row r="1137" customFormat="false" ht="12.75" hidden="false" customHeight="true" outlineLevel="0" collapsed="false"/>
    <row r="1138" customFormat="false" ht="12.75" hidden="false" customHeight="true" outlineLevel="0" collapsed="false"/>
    <row r="1139" customFormat="false" ht="12.75" hidden="false" customHeight="true" outlineLevel="0" collapsed="false"/>
    <row r="1140" customFormat="false" ht="12.75" hidden="false" customHeight="true" outlineLevel="0" collapsed="false"/>
    <row r="1141" customFormat="false" ht="12.75" hidden="false" customHeight="true" outlineLevel="0" collapsed="false"/>
    <row r="1142" customFormat="false" ht="12.75" hidden="false" customHeight="true" outlineLevel="0" collapsed="false"/>
    <row r="1143" customFormat="false" ht="12.75" hidden="false" customHeight="true" outlineLevel="0" collapsed="false"/>
    <row r="1144" customFormat="false" ht="12.75" hidden="false" customHeight="true" outlineLevel="0" collapsed="false"/>
    <row r="1145" customFormat="false" ht="12.75" hidden="false" customHeight="true" outlineLevel="0" collapsed="false"/>
    <row r="1146" customFormat="false" ht="12.75" hidden="false" customHeight="true" outlineLevel="0" collapsed="false"/>
    <row r="1147" customFormat="false" ht="12.75" hidden="false" customHeight="true" outlineLevel="0" collapsed="false"/>
    <row r="1148" customFormat="false" ht="12.75" hidden="false" customHeight="true" outlineLevel="0" collapsed="false"/>
    <row r="1149" customFormat="false" ht="12.75" hidden="false" customHeight="true" outlineLevel="0" collapsed="false"/>
    <row r="1150" customFormat="false" ht="12.75" hidden="false" customHeight="true" outlineLevel="0" collapsed="false"/>
    <row r="1151" customFormat="false" ht="12.75" hidden="false" customHeight="true" outlineLevel="0" collapsed="false"/>
    <row r="1152" customFormat="false" ht="12.75" hidden="false" customHeight="true" outlineLevel="0" collapsed="false"/>
    <row r="1153" customFormat="false" ht="12.75" hidden="false" customHeight="true" outlineLevel="0" collapsed="false"/>
    <row r="1154" customFormat="false" ht="12.75" hidden="false" customHeight="true" outlineLevel="0" collapsed="false"/>
    <row r="1155" customFormat="false" ht="12.75" hidden="false" customHeight="true" outlineLevel="0" collapsed="false"/>
    <row r="1156" customFormat="false" ht="12.75" hidden="false" customHeight="true" outlineLevel="0" collapsed="false"/>
    <row r="1157" customFormat="false" ht="12.75" hidden="false" customHeight="true" outlineLevel="0" collapsed="false"/>
    <row r="1158" customFormat="false" ht="12.75" hidden="false" customHeight="true" outlineLevel="0" collapsed="false"/>
    <row r="1159" customFormat="false" ht="12.75" hidden="false" customHeight="true" outlineLevel="0" collapsed="false"/>
    <row r="1160" customFormat="false" ht="12.75" hidden="false" customHeight="true" outlineLevel="0" collapsed="false"/>
    <row r="1161" customFormat="false" ht="12.75" hidden="false" customHeight="true" outlineLevel="0" collapsed="false"/>
    <row r="1162" customFormat="false" ht="12.75" hidden="false" customHeight="true" outlineLevel="0" collapsed="false"/>
    <row r="1163" customFormat="false" ht="12.75" hidden="false" customHeight="true" outlineLevel="0" collapsed="false"/>
    <row r="1164" customFormat="false" ht="12.75" hidden="false" customHeight="true" outlineLevel="0" collapsed="false"/>
    <row r="1165" customFormat="false" ht="12.75" hidden="false" customHeight="true" outlineLevel="0" collapsed="false"/>
    <row r="1166" customFormat="false" ht="12.75" hidden="false" customHeight="true" outlineLevel="0" collapsed="false"/>
    <row r="1167" customFormat="false" ht="12.75" hidden="false" customHeight="true" outlineLevel="0" collapsed="false"/>
    <row r="1168" customFormat="false" ht="12.75" hidden="false" customHeight="true" outlineLevel="0" collapsed="false"/>
    <row r="1169" customFormat="false" ht="12.75" hidden="false" customHeight="true" outlineLevel="0" collapsed="false"/>
    <row r="1170" customFormat="false" ht="12.75" hidden="false" customHeight="true" outlineLevel="0" collapsed="false"/>
    <row r="1171" customFormat="false" ht="12.75" hidden="false" customHeight="true" outlineLevel="0" collapsed="false"/>
    <row r="1172" customFormat="false" ht="12.75" hidden="false" customHeight="true" outlineLevel="0" collapsed="false"/>
    <row r="1173" customFormat="false" ht="12.75" hidden="false" customHeight="true" outlineLevel="0" collapsed="false"/>
    <row r="1174" customFormat="false" ht="12.75" hidden="false" customHeight="true" outlineLevel="0" collapsed="false"/>
    <row r="1175" customFormat="false" ht="12.75" hidden="false" customHeight="true" outlineLevel="0" collapsed="false"/>
    <row r="1176" customFormat="false" ht="12.75" hidden="false" customHeight="true" outlineLevel="0" collapsed="false"/>
    <row r="1177" customFormat="false" ht="12.75" hidden="false" customHeight="true" outlineLevel="0" collapsed="false"/>
    <row r="1178" customFormat="false" ht="12.75" hidden="false" customHeight="true" outlineLevel="0" collapsed="false"/>
    <row r="1179" customFormat="false" ht="12.75" hidden="false" customHeight="true" outlineLevel="0" collapsed="false"/>
    <row r="1180" customFormat="false" ht="12.75" hidden="false" customHeight="true" outlineLevel="0" collapsed="false"/>
    <row r="1181" customFormat="false" ht="12.75" hidden="false" customHeight="true" outlineLevel="0" collapsed="false"/>
    <row r="1182" customFormat="false" ht="12.75" hidden="false" customHeight="true" outlineLevel="0" collapsed="false"/>
    <row r="1183" customFormat="false" ht="12.75" hidden="false" customHeight="true" outlineLevel="0" collapsed="false"/>
    <row r="1184" customFormat="false" ht="12.75" hidden="false" customHeight="true" outlineLevel="0" collapsed="false"/>
    <row r="1185" customFormat="false" ht="12.75" hidden="false" customHeight="true" outlineLevel="0" collapsed="false"/>
    <row r="1186" customFormat="false" ht="12.75" hidden="false" customHeight="true" outlineLevel="0" collapsed="false"/>
    <row r="1187" customFormat="false" ht="12.75" hidden="false" customHeight="true" outlineLevel="0" collapsed="false"/>
    <row r="1188" customFormat="false" ht="12.75" hidden="false" customHeight="true" outlineLevel="0" collapsed="false"/>
    <row r="1189" customFormat="false" ht="12.75" hidden="false" customHeight="true" outlineLevel="0" collapsed="false"/>
    <row r="1190" customFormat="false" ht="12.75" hidden="false" customHeight="true" outlineLevel="0" collapsed="false"/>
    <row r="1191" customFormat="false" ht="12.75" hidden="false" customHeight="true" outlineLevel="0" collapsed="false"/>
    <row r="1192" customFormat="false" ht="12.75" hidden="false" customHeight="true" outlineLevel="0" collapsed="false"/>
    <row r="1193" customFormat="false" ht="12.75" hidden="false" customHeight="true" outlineLevel="0" collapsed="false"/>
    <row r="1194" customFormat="false" ht="12.75" hidden="false" customHeight="true" outlineLevel="0" collapsed="false"/>
    <row r="1195" customFormat="false" ht="12.75" hidden="false" customHeight="true" outlineLevel="0" collapsed="false"/>
    <row r="1196" customFormat="false" ht="12.75" hidden="false" customHeight="true" outlineLevel="0" collapsed="false"/>
    <row r="1197" customFormat="false" ht="12.75" hidden="false" customHeight="true" outlineLevel="0" collapsed="false"/>
    <row r="1198" customFormat="false" ht="12.75" hidden="false" customHeight="true" outlineLevel="0" collapsed="false"/>
    <row r="1199" customFormat="false" ht="12.75" hidden="false" customHeight="true" outlineLevel="0" collapsed="false"/>
    <row r="1200" customFormat="false" ht="12.75" hidden="false" customHeight="true" outlineLevel="0" collapsed="false"/>
    <row r="1201" customFormat="false" ht="12.75" hidden="false" customHeight="true" outlineLevel="0" collapsed="false"/>
    <row r="1202" customFormat="false" ht="12.75" hidden="false" customHeight="true" outlineLevel="0" collapsed="false"/>
    <row r="1203" customFormat="false" ht="12.75" hidden="false" customHeight="true" outlineLevel="0" collapsed="false"/>
    <row r="1204" customFormat="false" ht="12.75" hidden="false" customHeight="true" outlineLevel="0" collapsed="false"/>
    <row r="1205" customFormat="false" ht="12.75" hidden="false" customHeight="true" outlineLevel="0" collapsed="false"/>
    <row r="1206" customFormat="false" ht="12.75" hidden="false" customHeight="true" outlineLevel="0" collapsed="false"/>
    <row r="1207" customFormat="false" ht="12.75" hidden="false" customHeight="true" outlineLevel="0" collapsed="false"/>
    <row r="1208" customFormat="false" ht="12.75" hidden="false" customHeight="true" outlineLevel="0" collapsed="false"/>
    <row r="1209" customFormat="false" ht="12.75" hidden="false" customHeight="true" outlineLevel="0" collapsed="false"/>
    <row r="1210" customFormat="false" ht="12.75" hidden="false" customHeight="true" outlineLevel="0" collapsed="false"/>
    <row r="1211" customFormat="false" ht="12.75" hidden="false" customHeight="true" outlineLevel="0" collapsed="false"/>
    <row r="1212" customFormat="false" ht="12.75" hidden="false" customHeight="true" outlineLevel="0" collapsed="false"/>
    <row r="1213" customFormat="false" ht="12.75" hidden="false" customHeight="true" outlineLevel="0" collapsed="false"/>
    <row r="1214" customFormat="false" ht="12.75" hidden="false" customHeight="true" outlineLevel="0" collapsed="false"/>
    <row r="1215" customFormat="false" ht="12.75" hidden="false" customHeight="true" outlineLevel="0" collapsed="false"/>
    <row r="1216" customFormat="false" ht="12.75" hidden="false" customHeight="true" outlineLevel="0" collapsed="false"/>
    <row r="1217" customFormat="false" ht="12.75" hidden="false" customHeight="true" outlineLevel="0" collapsed="false"/>
    <row r="1218" customFormat="false" ht="12.75" hidden="false" customHeight="true" outlineLevel="0" collapsed="false"/>
    <row r="1219" customFormat="false" ht="12.75" hidden="false" customHeight="true" outlineLevel="0" collapsed="false"/>
    <row r="1220" customFormat="false" ht="12.75" hidden="false" customHeight="true" outlineLevel="0" collapsed="false"/>
    <row r="1221" customFormat="false" ht="12.75" hidden="false" customHeight="true" outlineLevel="0" collapsed="false"/>
    <row r="1222" customFormat="false" ht="12.75" hidden="false" customHeight="true" outlineLevel="0" collapsed="false"/>
    <row r="1223" customFormat="false" ht="12.75" hidden="false" customHeight="true" outlineLevel="0" collapsed="false"/>
    <row r="1224" customFormat="false" ht="12.75" hidden="false" customHeight="true" outlineLevel="0" collapsed="false"/>
    <row r="1225" customFormat="false" ht="12.75" hidden="false" customHeight="true" outlineLevel="0" collapsed="false"/>
    <row r="1226" customFormat="false" ht="12.75" hidden="false" customHeight="true" outlineLevel="0" collapsed="false"/>
    <row r="1227" customFormat="false" ht="12.75" hidden="false" customHeight="true" outlineLevel="0" collapsed="false"/>
    <row r="1228" customFormat="false" ht="12.75" hidden="false" customHeight="true" outlineLevel="0" collapsed="false"/>
    <row r="1229" customFormat="false" ht="12.75" hidden="false" customHeight="true" outlineLevel="0" collapsed="false"/>
    <row r="1230" customFormat="false" ht="12.75" hidden="false" customHeight="true" outlineLevel="0" collapsed="false"/>
    <row r="1231" customFormat="false" ht="12.75" hidden="false" customHeight="true" outlineLevel="0" collapsed="false"/>
    <row r="1232" customFormat="false" ht="12.75" hidden="false" customHeight="true" outlineLevel="0" collapsed="false"/>
    <row r="1233" customFormat="false" ht="12.75" hidden="false" customHeight="true" outlineLevel="0" collapsed="false"/>
    <row r="1234" customFormat="false" ht="12.75" hidden="false" customHeight="true" outlineLevel="0" collapsed="false"/>
    <row r="1235" customFormat="false" ht="12.75" hidden="false" customHeight="true" outlineLevel="0" collapsed="false"/>
    <row r="1236" customFormat="false" ht="12.75" hidden="false" customHeight="true" outlineLevel="0" collapsed="false"/>
    <row r="1237" customFormat="false" ht="12.75" hidden="false" customHeight="true" outlineLevel="0" collapsed="false"/>
    <row r="1238" customFormat="false" ht="12.75" hidden="false" customHeight="true" outlineLevel="0" collapsed="false"/>
    <row r="1239" customFormat="false" ht="12.75" hidden="false" customHeight="true" outlineLevel="0" collapsed="false"/>
    <row r="1240" customFormat="false" ht="12.75" hidden="false" customHeight="true" outlineLevel="0" collapsed="false"/>
    <row r="1241" customFormat="false" ht="12.75" hidden="false" customHeight="true" outlineLevel="0" collapsed="false"/>
    <row r="1242" customFormat="false" ht="12.75" hidden="false" customHeight="true" outlineLevel="0" collapsed="false"/>
    <row r="1243" customFormat="false" ht="12.75" hidden="false" customHeight="true" outlineLevel="0" collapsed="false"/>
    <row r="1244" customFormat="false" ht="12.75" hidden="false" customHeight="true" outlineLevel="0" collapsed="false"/>
    <row r="1245" customFormat="false" ht="12.75" hidden="false" customHeight="true" outlineLevel="0" collapsed="false"/>
    <row r="1246" customFormat="false" ht="12.75" hidden="false" customHeight="true" outlineLevel="0" collapsed="false"/>
    <row r="1247" customFormat="false" ht="12.75" hidden="false" customHeight="true" outlineLevel="0" collapsed="false"/>
    <row r="1248" customFormat="false" ht="12.75" hidden="false" customHeight="true" outlineLevel="0" collapsed="false"/>
    <row r="1249" customFormat="false" ht="12.75" hidden="false" customHeight="true" outlineLevel="0" collapsed="false"/>
    <row r="1250" customFormat="false" ht="12.75" hidden="false" customHeight="true" outlineLevel="0" collapsed="false"/>
    <row r="1251" customFormat="false" ht="12.75" hidden="false" customHeight="true" outlineLevel="0" collapsed="false"/>
    <row r="1252" customFormat="false" ht="12.75" hidden="false" customHeight="true" outlineLevel="0" collapsed="false"/>
    <row r="1253" customFormat="false" ht="12.75" hidden="false" customHeight="true" outlineLevel="0" collapsed="false"/>
    <row r="1254" customFormat="false" ht="12.75" hidden="false" customHeight="true" outlineLevel="0" collapsed="false"/>
    <row r="1255" customFormat="false" ht="12.75" hidden="false" customHeight="true" outlineLevel="0" collapsed="false"/>
    <row r="1256" customFormat="false" ht="12.75" hidden="false" customHeight="true" outlineLevel="0" collapsed="false"/>
    <row r="1257" customFormat="false" ht="12.75" hidden="false" customHeight="true" outlineLevel="0" collapsed="false"/>
    <row r="1258" customFormat="false" ht="12.75" hidden="false" customHeight="true" outlineLevel="0" collapsed="false"/>
    <row r="1259" customFormat="false" ht="12.75" hidden="false" customHeight="true" outlineLevel="0" collapsed="false"/>
    <row r="1260" customFormat="false" ht="12.75" hidden="false" customHeight="true" outlineLevel="0" collapsed="false"/>
    <row r="1261" customFormat="false" ht="12.75" hidden="false" customHeight="true" outlineLevel="0" collapsed="false"/>
    <row r="1262" customFormat="false" ht="12.75" hidden="false" customHeight="true" outlineLevel="0" collapsed="false"/>
    <row r="1263" customFormat="false" ht="12.75" hidden="false" customHeight="true" outlineLevel="0" collapsed="false"/>
    <row r="1264" customFormat="false" ht="12.75" hidden="false" customHeight="true" outlineLevel="0" collapsed="false"/>
    <row r="1265" customFormat="false" ht="12.75" hidden="false" customHeight="true" outlineLevel="0" collapsed="false"/>
    <row r="1266" customFormat="false" ht="12.75" hidden="false" customHeight="true" outlineLevel="0" collapsed="false"/>
    <row r="1267" customFormat="false" ht="12.75" hidden="false" customHeight="true" outlineLevel="0" collapsed="false"/>
    <row r="1268" customFormat="false" ht="12.75" hidden="false" customHeight="true" outlineLevel="0" collapsed="false"/>
    <row r="1269" customFormat="false" ht="12.75" hidden="false" customHeight="true" outlineLevel="0" collapsed="false"/>
    <row r="1270" customFormat="false" ht="12.75" hidden="false" customHeight="true" outlineLevel="0" collapsed="false"/>
    <row r="1271" customFormat="false" ht="12.75" hidden="false" customHeight="true" outlineLevel="0" collapsed="false"/>
    <row r="1272" customFormat="false" ht="12.75" hidden="false" customHeight="true" outlineLevel="0" collapsed="false"/>
    <row r="1273" customFormat="false" ht="12.75" hidden="false" customHeight="true" outlineLevel="0" collapsed="false"/>
    <row r="1274" customFormat="false" ht="12.75" hidden="false" customHeight="true" outlineLevel="0" collapsed="false"/>
    <row r="1275" customFormat="false" ht="12.75" hidden="false" customHeight="true" outlineLevel="0" collapsed="false"/>
    <row r="1276" customFormat="false" ht="12.75" hidden="false" customHeight="true" outlineLevel="0" collapsed="false"/>
    <row r="1277" customFormat="false" ht="12.75" hidden="false" customHeight="true" outlineLevel="0" collapsed="false"/>
    <row r="1278" customFormat="false" ht="12.75" hidden="false" customHeight="true" outlineLevel="0" collapsed="false"/>
    <row r="1279" customFormat="false" ht="12.75" hidden="false" customHeight="true" outlineLevel="0" collapsed="false"/>
    <row r="1280" customFormat="false" ht="12.75" hidden="false" customHeight="true" outlineLevel="0" collapsed="false"/>
    <row r="1281" customFormat="false" ht="12.75" hidden="false" customHeight="true" outlineLevel="0" collapsed="false"/>
    <row r="1282" customFormat="false" ht="12.75" hidden="false" customHeight="true" outlineLevel="0" collapsed="false"/>
    <row r="1283" customFormat="false" ht="12.75" hidden="false" customHeight="true" outlineLevel="0" collapsed="false"/>
    <row r="1284" customFormat="false" ht="12.75" hidden="false" customHeight="true" outlineLevel="0" collapsed="false"/>
    <row r="1285" customFormat="false" ht="12.75" hidden="false" customHeight="true" outlineLevel="0" collapsed="false"/>
    <row r="1286" customFormat="false" ht="12.75" hidden="false" customHeight="true" outlineLevel="0" collapsed="false"/>
    <row r="1287" customFormat="false" ht="12.75" hidden="false" customHeight="true" outlineLevel="0" collapsed="false"/>
    <row r="1288" customFormat="false" ht="12.75" hidden="false" customHeight="true" outlineLevel="0" collapsed="false"/>
    <row r="1289" customFormat="false" ht="12.75" hidden="false" customHeight="true" outlineLevel="0" collapsed="false"/>
    <row r="1290" customFormat="false" ht="12.75" hidden="false" customHeight="true" outlineLevel="0" collapsed="false"/>
    <row r="1291" customFormat="false" ht="12.75" hidden="false" customHeight="true" outlineLevel="0" collapsed="false"/>
    <row r="1292" customFormat="false" ht="12.75" hidden="false" customHeight="true" outlineLevel="0" collapsed="false"/>
    <row r="1293" customFormat="false" ht="12.75" hidden="false" customHeight="true" outlineLevel="0" collapsed="false"/>
    <row r="1294" customFormat="false" ht="12.75" hidden="false" customHeight="true" outlineLevel="0" collapsed="false"/>
    <row r="1295" customFormat="false" ht="12.75" hidden="false" customHeight="true" outlineLevel="0" collapsed="false"/>
    <row r="1296" customFormat="false" ht="12.75" hidden="false" customHeight="true" outlineLevel="0" collapsed="false"/>
    <row r="1297" customFormat="false" ht="12.75" hidden="false" customHeight="true" outlineLevel="0" collapsed="false"/>
    <row r="1298" customFormat="false" ht="12.75" hidden="false" customHeight="true" outlineLevel="0" collapsed="false"/>
    <row r="1299" customFormat="false" ht="12.75" hidden="false" customHeight="true" outlineLevel="0" collapsed="false"/>
    <row r="1300" customFormat="false" ht="12.75" hidden="false" customHeight="true" outlineLevel="0" collapsed="false"/>
    <row r="1301" customFormat="false" ht="12.75" hidden="false" customHeight="true" outlineLevel="0" collapsed="false"/>
    <row r="1302" customFormat="false" ht="12.75" hidden="false" customHeight="true" outlineLevel="0" collapsed="false"/>
    <row r="1303" customFormat="false" ht="12.75" hidden="false" customHeight="true" outlineLevel="0" collapsed="false"/>
    <row r="1304" customFormat="false" ht="12.75" hidden="false" customHeight="true" outlineLevel="0" collapsed="false"/>
    <row r="1305" customFormat="false" ht="12.75" hidden="false" customHeight="true" outlineLevel="0" collapsed="false"/>
    <row r="1306" customFormat="false" ht="12.75" hidden="false" customHeight="true" outlineLevel="0" collapsed="false"/>
    <row r="1307" customFormat="false" ht="12.75" hidden="false" customHeight="true" outlineLevel="0" collapsed="false"/>
    <row r="1308" customFormat="false" ht="12.75" hidden="false" customHeight="true" outlineLevel="0" collapsed="false"/>
    <row r="1309" customFormat="false" ht="12.75" hidden="false" customHeight="true" outlineLevel="0" collapsed="false"/>
    <row r="1310" customFormat="false" ht="12.75" hidden="false" customHeight="true" outlineLevel="0" collapsed="false"/>
    <row r="1311" customFormat="false" ht="12.75" hidden="false" customHeight="true" outlineLevel="0" collapsed="false"/>
    <row r="1312" customFormat="false" ht="12.75" hidden="false" customHeight="true" outlineLevel="0" collapsed="false"/>
    <row r="1313" customFormat="false" ht="12.75" hidden="false" customHeight="true" outlineLevel="0" collapsed="false"/>
    <row r="1314" customFormat="false" ht="12.75" hidden="false" customHeight="true" outlineLevel="0" collapsed="false"/>
    <row r="1315" customFormat="false" ht="12.75" hidden="false" customHeight="true" outlineLevel="0" collapsed="false"/>
    <row r="1316" customFormat="false" ht="12.75" hidden="false" customHeight="true" outlineLevel="0" collapsed="false"/>
    <row r="1317" customFormat="false" ht="12.75" hidden="false" customHeight="true" outlineLevel="0" collapsed="false"/>
    <row r="1318" customFormat="false" ht="12.75" hidden="false" customHeight="true" outlineLevel="0" collapsed="false"/>
    <row r="1319" customFormat="false" ht="12.75" hidden="false" customHeight="true" outlineLevel="0" collapsed="false"/>
    <row r="1320" customFormat="false" ht="12.75" hidden="false" customHeight="true" outlineLevel="0" collapsed="false"/>
    <row r="1321" customFormat="false" ht="12.75" hidden="false" customHeight="true" outlineLevel="0" collapsed="false"/>
    <row r="1322" customFormat="false" ht="12.75" hidden="false" customHeight="true" outlineLevel="0" collapsed="false"/>
    <row r="1323" customFormat="false" ht="12.75" hidden="false" customHeight="true" outlineLevel="0" collapsed="false"/>
    <row r="1324" customFormat="false" ht="12.75" hidden="false" customHeight="true" outlineLevel="0" collapsed="false"/>
    <row r="1325" customFormat="false" ht="12.75" hidden="false" customHeight="true" outlineLevel="0" collapsed="false"/>
    <row r="1326" customFormat="false" ht="12.75" hidden="false" customHeight="true" outlineLevel="0" collapsed="false"/>
    <row r="1327" customFormat="false" ht="12.75" hidden="false" customHeight="true" outlineLevel="0" collapsed="false"/>
    <row r="1328" customFormat="false" ht="12.75" hidden="false" customHeight="true" outlineLevel="0" collapsed="false"/>
    <row r="1329" customFormat="false" ht="12.75" hidden="false" customHeight="true" outlineLevel="0" collapsed="false"/>
    <row r="1330" customFormat="false" ht="12.75" hidden="false" customHeight="true" outlineLevel="0" collapsed="false"/>
    <row r="1331" customFormat="false" ht="12.75" hidden="false" customHeight="true" outlineLevel="0" collapsed="false"/>
    <row r="1332" customFormat="false" ht="12.75" hidden="false" customHeight="true" outlineLevel="0" collapsed="false"/>
    <row r="1333" customFormat="false" ht="12.75" hidden="false" customHeight="true" outlineLevel="0" collapsed="false"/>
    <row r="1334" customFormat="false" ht="12.75" hidden="false" customHeight="true" outlineLevel="0" collapsed="false"/>
    <row r="1335" customFormat="false" ht="12.75" hidden="false" customHeight="true" outlineLevel="0" collapsed="false"/>
    <row r="1336" customFormat="false" ht="12.75" hidden="false" customHeight="true" outlineLevel="0" collapsed="false"/>
    <row r="1337" customFormat="false" ht="12.75" hidden="false" customHeight="true" outlineLevel="0" collapsed="false"/>
    <row r="1338" customFormat="false" ht="12.75" hidden="false" customHeight="true" outlineLevel="0" collapsed="false"/>
    <row r="1339" customFormat="false" ht="12.75" hidden="false" customHeight="true" outlineLevel="0" collapsed="false"/>
    <row r="1340" customFormat="false" ht="12.75" hidden="false" customHeight="true" outlineLevel="0" collapsed="false"/>
    <row r="1341" customFormat="false" ht="12.75" hidden="false" customHeight="true" outlineLevel="0" collapsed="false"/>
    <row r="1342" customFormat="false" ht="12.75" hidden="false" customHeight="true" outlineLevel="0" collapsed="false"/>
    <row r="1343" customFormat="false" ht="12.75" hidden="false" customHeight="true" outlineLevel="0" collapsed="false"/>
    <row r="1344" customFormat="false" ht="12.75" hidden="false" customHeight="true" outlineLevel="0" collapsed="false"/>
    <row r="1345" customFormat="false" ht="12.75" hidden="false" customHeight="true" outlineLevel="0" collapsed="false"/>
    <row r="1346" customFormat="false" ht="12.75" hidden="false" customHeight="true" outlineLevel="0" collapsed="false"/>
    <row r="1347" customFormat="false" ht="12.75" hidden="false" customHeight="true" outlineLevel="0" collapsed="false"/>
    <row r="1348" customFormat="false" ht="12.75" hidden="false" customHeight="true" outlineLevel="0" collapsed="false"/>
    <row r="1349" customFormat="false" ht="12.75" hidden="false" customHeight="true" outlineLevel="0" collapsed="false"/>
    <row r="1350" customFormat="false" ht="12.75" hidden="false" customHeight="true" outlineLevel="0" collapsed="false"/>
    <row r="1351" customFormat="false" ht="12.75" hidden="false" customHeight="true" outlineLevel="0" collapsed="false"/>
    <row r="1352" customFormat="false" ht="12.75" hidden="false" customHeight="true" outlineLevel="0" collapsed="false"/>
    <row r="1353" customFormat="false" ht="12.75" hidden="false" customHeight="true" outlineLevel="0" collapsed="false"/>
    <row r="1354" customFormat="false" ht="12.75" hidden="false" customHeight="true" outlineLevel="0" collapsed="false"/>
    <row r="1355" customFormat="false" ht="12.75" hidden="false" customHeight="true" outlineLevel="0" collapsed="false"/>
    <row r="1356" customFormat="false" ht="12.75" hidden="false" customHeight="true" outlineLevel="0" collapsed="false"/>
    <row r="1357" customFormat="false" ht="12.75" hidden="false" customHeight="true" outlineLevel="0" collapsed="false"/>
    <row r="1358" customFormat="false" ht="12.75" hidden="false" customHeight="true" outlineLevel="0" collapsed="false"/>
    <row r="1359" customFormat="false" ht="12.75" hidden="false" customHeight="true" outlineLevel="0" collapsed="false"/>
    <row r="1360" customFormat="false" ht="12.75" hidden="false" customHeight="true" outlineLevel="0" collapsed="false"/>
    <row r="1361" customFormat="false" ht="12.75" hidden="false" customHeight="true" outlineLevel="0" collapsed="false"/>
    <row r="1362" customFormat="false" ht="12.75" hidden="false" customHeight="true" outlineLevel="0" collapsed="false"/>
    <row r="1363" customFormat="false" ht="12.75" hidden="false" customHeight="true" outlineLevel="0" collapsed="false"/>
    <row r="1364" customFormat="false" ht="12.75" hidden="false" customHeight="true" outlineLevel="0" collapsed="false"/>
    <row r="1365" customFormat="false" ht="12.75" hidden="false" customHeight="true" outlineLevel="0" collapsed="false"/>
    <row r="1366" customFormat="false" ht="12.75" hidden="false" customHeight="true" outlineLevel="0" collapsed="false"/>
    <row r="1367" customFormat="false" ht="12.75" hidden="false" customHeight="true" outlineLevel="0" collapsed="false"/>
    <row r="1368" customFormat="false" ht="12.75" hidden="false" customHeight="true" outlineLevel="0" collapsed="false"/>
    <row r="1369" customFormat="false" ht="12.75" hidden="false" customHeight="true" outlineLevel="0" collapsed="false"/>
    <row r="1370" customFormat="false" ht="12.75" hidden="false" customHeight="true" outlineLevel="0" collapsed="false"/>
    <row r="1371" customFormat="false" ht="12.75" hidden="false" customHeight="true" outlineLevel="0" collapsed="false"/>
    <row r="1372" customFormat="false" ht="12.75" hidden="false" customHeight="true" outlineLevel="0" collapsed="false"/>
    <row r="1373" customFormat="false" ht="12.75" hidden="false" customHeight="true" outlineLevel="0" collapsed="false"/>
    <row r="1374" customFormat="false" ht="12.75" hidden="false" customHeight="true" outlineLevel="0" collapsed="false"/>
    <row r="1375" customFormat="false" ht="12.75" hidden="false" customHeight="true" outlineLevel="0" collapsed="false"/>
    <row r="1376" customFormat="false" ht="12.75" hidden="false" customHeight="true" outlineLevel="0" collapsed="false"/>
    <row r="1377" customFormat="false" ht="12.75" hidden="false" customHeight="true" outlineLevel="0" collapsed="false"/>
    <row r="1378" customFormat="false" ht="12.75" hidden="false" customHeight="true" outlineLevel="0" collapsed="false"/>
    <row r="1379" customFormat="false" ht="12.75" hidden="false" customHeight="true" outlineLevel="0" collapsed="false"/>
    <row r="1380" customFormat="false" ht="12.75" hidden="false" customHeight="true" outlineLevel="0" collapsed="false"/>
    <row r="1381" customFormat="false" ht="12.75" hidden="false" customHeight="true" outlineLevel="0" collapsed="false"/>
    <row r="1382" customFormat="false" ht="12.75" hidden="false" customHeight="true" outlineLevel="0" collapsed="false"/>
    <row r="1383" customFormat="false" ht="12.75" hidden="false" customHeight="true" outlineLevel="0" collapsed="false"/>
    <row r="1384" customFormat="false" ht="12.75" hidden="false" customHeight="true" outlineLevel="0" collapsed="false"/>
    <row r="1385" customFormat="false" ht="12.75" hidden="false" customHeight="true" outlineLevel="0" collapsed="false"/>
    <row r="1386" customFormat="false" ht="12.75" hidden="false" customHeight="true" outlineLevel="0" collapsed="false"/>
    <row r="1387" customFormat="false" ht="12.75" hidden="false" customHeight="true" outlineLevel="0" collapsed="false"/>
    <row r="1388" customFormat="false" ht="12.75" hidden="false" customHeight="true" outlineLevel="0" collapsed="false"/>
    <row r="1389" customFormat="false" ht="12.75" hidden="false" customHeight="true" outlineLevel="0" collapsed="false"/>
    <row r="1390" customFormat="false" ht="12.75" hidden="false" customHeight="true" outlineLevel="0" collapsed="false"/>
    <row r="1391" customFormat="false" ht="12.75" hidden="false" customHeight="true" outlineLevel="0" collapsed="false"/>
    <row r="1392" customFormat="false" ht="12.75" hidden="false" customHeight="true" outlineLevel="0" collapsed="false"/>
    <row r="1393" customFormat="false" ht="12.75" hidden="false" customHeight="true" outlineLevel="0" collapsed="false"/>
    <row r="1394" customFormat="false" ht="12.75" hidden="false" customHeight="true" outlineLevel="0" collapsed="false"/>
    <row r="1395" customFormat="false" ht="12.75" hidden="false" customHeight="true" outlineLevel="0" collapsed="false"/>
    <row r="1396" customFormat="false" ht="12.75" hidden="false" customHeight="true" outlineLevel="0" collapsed="false"/>
    <row r="1397" customFormat="false" ht="12.75" hidden="false" customHeight="true" outlineLevel="0" collapsed="false"/>
    <row r="1398" customFormat="false" ht="12.75" hidden="false" customHeight="true" outlineLevel="0" collapsed="false"/>
    <row r="1399" customFormat="false" ht="12.75" hidden="false" customHeight="true" outlineLevel="0" collapsed="false"/>
    <row r="1400" customFormat="false" ht="12.75" hidden="false" customHeight="true" outlineLevel="0" collapsed="false"/>
    <row r="1401" customFormat="false" ht="12.75" hidden="false" customHeight="true" outlineLevel="0" collapsed="false"/>
    <row r="1402" customFormat="false" ht="12.75" hidden="false" customHeight="true" outlineLevel="0" collapsed="false"/>
    <row r="1403" customFormat="false" ht="12.75" hidden="false" customHeight="true" outlineLevel="0" collapsed="false"/>
    <row r="1404" customFormat="false" ht="12.75" hidden="false" customHeight="true" outlineLevel="0" collapsed="false"/>
    <row r="1405" customFormat="false" ht="12.75" hidden="false" customHeight="true" outlineLevel="0" collapsed="false"/>
    <row r="1406" customFormat="false" ht="12.75" hidden="false" customHeight="true" outlineLevel="0" collapsed="false"/>
    <row r="1407" customFormat="false" ht="12.75" hidden="false" customHeight="true" outlineLevel="0" collapsed="false"/>
    <row r="1408" customFormat="false" ht="12.75" hidden="false" customHeight="true" outlineLevel="0" collapsed="false"/>
    <row r="1409" customFormat="false" ht="12.75" hidden="false" customHeight="true" outlineLevel="0" collapsed="false"/>
    <row r="1410" customFormat="false" ht="12.75" hidden="false" customHeight="true" outlineLevel="0" collapsed="false"/>
    <row r="1411" customFormat="false" ht="12.75" hidden="false" customHeight="true" outlineLevel="0" collapsed="false"/>
    <row r="1412" customFormat="false" ht="12.75" hidden="false" customHeight="true" outlineLevel="0" collapsed="false"/>
    <row r="1413" customFormat="false" ht="12.75" hidden="false" customHeight="true" outlineLevel="0" collapsed="false"/>
    <row r="1414" customFormat="false" ht="12.75" hidden="false" customHeight="true" outlineLevel="0" collapsed="false"/>
    <row r="1415" customFormat="false" ht="12.75" hidden="false" customHeight="true" outlineLevel="0" collapsed="false"/>
    <row r="1416" customFormat="false" ht="12.75" hidden="false" customHeight="true" outlineLevel="0" collapsed="false"/>
    <row r="1417" customFormat="false" ht="12.75" hidden="false" customHeight="true" outlineLevel="0" collapsed="false"/>
    <row r="1418" customFormat="false" ht="12.75" hidden="false" customHeight="true" outlineLevel="0" collapsed="false"/>
    <row r="1419" customFormat="false" ht="12.75" hidden="false" customHeight="true" outlineLevel="0" collapsed="false"/>
    <row r="1420" customFormat="false" ht="12.75" hidden="false" customHeight="true" outlineLevel="0" collapsed="false"/>
    <row r="1421" customFormat="false" ht="12.75" hidden="false" customHeight="true" outlineLevel="0" collapsed="false"/>
    <row r="1422" customFormat="false" ht="12.75" hidden="false" customHeight="true" outlineLevel="0" collapsed="false"/>
    <row r="1423" customFormat="false" ht="12.75" hidden="false" customHeight="true" outlineLevel="0" collapsed="false"/>
    <row r="1424" customFormat="false" ht="12.75" hidden="false" customHeight="true" outlineLevel="0" collapsed="false"/>
    <row r="1425" customFormat="false" ht="12.75" hidden="false" customHeight="true" outlineLevel="0" collapsed="false"/>
    <row r="1426" customFormat="false" ht="12.75" hidden="false" customHeight="true" outlineLevel="0" collapsed="false"/>
    <row r="1427" customFormat="false" ht="12.75" hidden="false" customHeight="true" outlineLevel="0" collapsed="false"/>
    <row r="1428" customFormat="false" ht="12.75" hidden="false" customHeight="true" outlineLevel="0" collapsed="false"/>
    <row r="1429" customFormat="false" ht="12.75" hidden="false" customHeight="true" outlineLevel="0" collapsed="false"/>
    <row r="1430" customFormat="false" ht="12.75" hidden="false" customHeight="true" outlineLevel="0" collapsed="false"/>
    <row r="1431" customFormat="false" ht="12.75" hidden="false" customHeight="true" outlineLevel="0" collapsed="false"/>
    <row r="1432" customFormat="false" ht="12.75" hidden="false" customHeight="true" outlineLevel="0" collapsed="false"/>
    <row r="1433" customFormat="false" ht="12.75" hidden="false" customHeight="true" outlineLevel="0" collapsed="false"/>
    <row r="1434" customFormat="false" ht="12.75" hidden="false" customHeight="true" outlineLevel="0" collapsed="false"/>
    <row r="1435" customFormat="false" ht="12.75" hidden="false" customHeight="true" outlineLevel="0" collapsed="false"/>
    <row r="1436" customFormat="false" ht="12.75" hidden="false" customHeight="true" outlineLevel="0" collapsed="false"/>
    <row r="1437" customFormat="false" ht="12.75" hidden="false" customHeight="true" outlineLevel="0" collapsed="false"/>
    <row r="1438" customFormat="false" ht="12.75" hidden="false" customHeight="true" outlineLevel="0" collapsed="false"/>
    <row r="1439" customFormat="false" ht="12.75" hidden="false" customHeight="true" outlineLevel="0" collapsed="false"/>
    <row r="1440" customFormat="false" ht="12.75" hidden="false" customHeight="true" outlineLevel="0" collapsed="false"/>
    <row r="1441" customFormat="false" ht="12.75" hidden="false" customHeight="true" outlineLevel="0" collapsed="false"/>
    <row r="1442" customFormat="false" ht="12.75" hidden="false" customHeight="true" outlineLevel="0" collapsed="false"/>
    <row r="1443" customFormat="false" ht="12.75" hidden="false" customHeight="true" outlineLevel="0" collapsed="false"/>
    <row r="1444" customFormat="false" ht="12.75" hidden="false" customHeight="true" outlineLevel="0" collapsed="false"/>
    <row r="1445" customFormat="false" ht="12.75" hidden="false" customHeight="true" outlineLevel="0" collapsed="false"/>
    <row r="1446" customFormat="false" ht="12.75" hidden="false" customHeight="true" outlineLevel="0" collapsed="false"/>
    <row r="1447" customFormat="false" ht="12.75" hidden="false" customHeight="true" outlineLevel="0" collapsed="false"/>
    <row r="1448" customFormat="false" ht="12.75" hidden="false" customHeight="true" outlineLevel="0" collapsed="false"/>
    <row r="1449" customFormat="false" ht="12.75" hidden="false" customHeight="true" outlineLevel="0" collapsed="false"/>
    <row r="1450" customFormat="false" ht="12.75" hidden="false" customHeight="true" outlineLevel="0" collapsed="false"/>
    <row r="1451" customFormat="false" ht="12.75" hidden="false" customHeight="true" outlineLevel="0" collapsed="false"/>
    <row r="1452" customFormat="false" ht="12.75" hidden="false" customHeight="true" outlineLevel="0" collapsed="false"/>
    <row r="1453" customFormat="false" ht="12.75" hidden="false" customHeight="true" outlineLevel="0" collapsed="false"/>
    <row r="1454" customFormat="false" ht="12.75" hidden="false" customHeight="true" outlineLevel="0" collapsed="false"/>
    <row r="1455" customFormat="false" ht="12.75" hidden="false" customHeight="true" outlineLevel="0" collapsed="false"/>
    <row r="1456" customFormat="false" ht="12.75" hidden="false" customHeight="true" outlineLevel="0" collapsed="false"/>
    <row r="1457" customFormat="false" ht="12.75" hidden="false" customHeight="true" outlineLevel="0" collapsed="false"/>
    <row r="1458" customFormat="false" ht="12.75" hidden="false" customHeight="true" outlineLevel="0" collapsed="false"/>
    <row r="1459" customFormat="false" ht="12.75" hidden="false" customHeight="true" outlineLevel="0" collapsed="false"/>
    <row r="1460" customFormat="false" ht="12.75" hidden="false" customHeight="true" outlineLevel="0" collapsed="false"/>
    <row r="1461" customFormat="false" ht="12.75" hidden="false" customHeight="true" outlineLevel="0" collapsed="false"/>
    <row r="1462" customFormat="false" ht="12.75" hidden="false" customHeight="true" outlineLevel="0" collapsed="false"/>
    <row r="1463" customFormat="false" ht="12.75" hidden="false" customHeight="true" outlineLevel="0" collapsed="false"/>
    <row r="1464" customFormat="false" ht="12.75" hidden="false" customHeight="true" outlineLevel="0" collapsed="false"/>
    <row r="1465" customFormat="false" ht="12.75" hidden="false" customHeight="true" outlineLevel="0" collapsed="false"/>
    <row r="1466" customFormat="false" ht="12.75" hidden="false" customHeight="true" outlineLevel="0" collapsed="false"/>
    <row r="1467" customFormat="false" ht="12.75" hidden="false" customHeight="true" outlineLevel="0" collapsed="false"/>
    <row r="1468" customFormat="false" ht="12.75" hidden="false" customHeight="true" outlineLevel="0" collapsed="false"/>
    <row r="1469" customFormat="false" ht="12.75" hidden="false" customHeight="true" outlineLevel="0" collapsed="false"/>
    <row r="1470" customFormat="false" ht="12.75" hidden="false" customHeight="true" outlineLevel="0" collapsed="false"/>
    <row r="1471" customFormat="false" ht="12.75" hidden="false" customHeight="true" outlineLevel="0" collapsed="false"/>
    <row r="1472" customFormat="false" ht="12.75" hidden="false" customHeight="true" outlineLevel="0" collapsed="false"/>
    <row r="1473" customFormat="false" ht="12.75" hidden="false" customHeight="true" outlineLevel="0" collapsed="false"/>
    <row r="1474" customFormat="false" ht="12.75" hidden="false" customHeight="true" outlineLevel="0" collapsed="false"/>
    <row r="1475" customFormat="false" ht="12.75" hidden="false" customHeight="true" outlineLevel="0" collapsed="false"/>
    <row r="1476" customFormat="false" ht="12.75" hidden="false" customHeight="true" outlineLevel="0" collapsed="false"/>
    <row r="1477" customFormat="false" ht="12.75" hidden="false" customHeight="true" outlineLevel="0" collapsed="false"/>
    <row r="1478" customFormat="false" ht="12.75" hidden="false" customHeight="true" outlineLevel="0" collapsed="false"/>
    <row r="1479" customFormat="false" ht="12.75" hidden="false" customHeight="true" outlineLevel="0" collapsed="false"/>
    <row r="1480" customFormat="false" ht="12.75" hidden="false" customHeight="true" outlineLevel="0" collapsed="false"/>
    <row r="1481" customFormat="false" ht="12.75" hidden="false" customHeight="true" outlineLevel="0" collapsed="false"/>
    <row r="1482" customFormat="false" ht="12.75" hidden="false" customHeight="true" outlineLevel="0" collapsed="false"/>
    <row r="1483" customFormat="false" ht="12.75" hidden="false" customHeight="true" outlineLevel="0" collapsed="false"/>
    <row r="1484" customFormat="false" ht="12.75" hidden="false" customHeight="true" outlineLevel="0" collapsed="false"/>
    <row r="1485" customFormat="false" ht="12.75" hidden="false" customHeight="true" outlineLevel="0" collapsed="false"/>
    <row r="1486" customFormat="false" ht="12.75" hidden="false" customHeight="true" outlineLevel="0" collapsed="false"/>
    <row r="1487" customFormat="false" ht="12.75" hidden="false" customHeight="true" outlineLevel="0" collapsed="false"/>
    <row r="1488" customFormat="false" ht="12.75" hidden="false" customHeight="true" outlineLevel="0" collapsed="false"/>
    <row r="1489" customFormat="false" ht="12.75" hidden="false" customHeight="true" outlineLevel="0" collapsed="false"/>
    <row r="1490" customFormat="false" ht="12.75" hidden="false" customHeight="true" outlineLevel="0" collapsed="false"/>
    <row r="1491" customFormat="false" ht="12.75" hidden="false" customHeight="true" outlineLevel="0" collapsed="false"/>
    <row r="1492" customFormat="false" ht="12.75" hidden="false" customHeight="true" outlineLevel="0" collapsed="false"/>
    <row r="1493" customFormat="false" ht="12.75" hidden="false" customHeight="true" outlineLevel="0" collapsed="false"/>
    <row r="1494" customFormat="false" ht="12.75" hidden="false" customHeight="true" outlineLevel="0" collapsed="false"/>
    <row r="1495" customFormat="false" ht="12.75" hidden="false" customHeight="true" outlineLevel="0" collapsed="false"/>
    <row r="1496" customFormat="false" ht="12.75" hidden="false" customHeight="true" outlineLevel="0" collapsed="false"/>
    <row r="1497" customFormat="false" ht="12.75" hidden="false" customHeight="true" outlineLevel="0" collapsed="false"/>
    <row r="1498" customFormat="false" ht="12.75" hidden="false" customHeight="true" outlineLevel="0" collapsed="false"/>
    <row r="1499" customFormat="false" ht="12.75" hidden="false" customHeight="true" outlineLevel="0" collapsed="false"/>
    <row r="1500" customFormat="false" ht="12.75" hidden="false" customHeight="true" outlineLevel="0" collapsed="false"/>
    <row r="1501" customFormat="false" ht="12.75" hidden="false" customHeight="true" outlineLevel="0" collapsed="false"/>
    <row r="1502" customFormat="false" ht="12.75" hidden="false" customHeight="true" outlineLevel="0" collapsed="false"/>
    <row r="1503" customFormat="false" ht="12.75" hidden="false" customHeight="true" outlineLevel="0" collapsed="false"/>
    <row r="1504" customFormat="false" ht="12.75" hidden="false" customHeight="true" outlineLevel="0" collapsed="false"/>
    <row r="1505" customFormat="false" ht="12.75" hidden="false" customHeight="true" outlineLevel="0" collapsed="false"/>
    <row r="1506" customFormat="false" ht="12.75" hidden="false" customHeight="true" outlineLevel="0" collapsed="false"/>
    <row r="1507" customFormat="false" ht="12.75" hidden="false" customHeight="true" outlineLevel="0" collapsed="false"/>
    <row r="1508" customFormat="false" ht="12.75" hidden="false" customHeight="true" outlineLevel="0" collapsed="false"/>
    <row r="1509" customFormat="false" ht="12.75" hidden="false" customHeight="true" outlineLevel="0" collapsed="false"/>
    <row r="1510" customFormat="false" ht="12.75" hidden="false" customHeight="true" outlineLevel="0" collapsed="false"/>
    <row r="1511" customFormat="false" ht="12.75" hidden="false" customHeight="true" outlineLevel="0" collapsed="false"/>
    <row r="1512" customFormat="false" ht="12.75" hidden="false" customHeight="true" outlineLevel="0" collapsed="false"/>
    <row r="1513" customFormat="false" ht="12.75" hidden="false" customHeight="true" outlineLevel="0" collapsed="false"/>
    <row r="1514" customFormat="false" ht="12.75" hidden="false" customHeight="true" outlineLevel="0" collapsed="false"/>
    <row r="1515" customFormat="false" ht="12.75" hidden="false" customHeight="true" outlineLevel="0" collapsed="false"/>
    <row r="1516" customFormat="false" ht="12.75" hidden="false" customHeight="true" outlineLevel="0" collapsed="false"/>
    <row r="1517" customFormat="false" ht="12.75" hidden="false" customHeight="true" outlineLevel="0" collapsed="false"/>
    <row r="1518" customFormat="false" ht="12.75" hidden="false" customHeight="true" outlineLevel="0" collapsed="false"/>
    <row r="1519" customFormat="false" ht="12.75" hidden="false" customHeight="true" outlineLevel="0" collapsed="false"/>
    <row r="1520" customFormat="false" ht="12.75" hidden="false" customHeight="true" outlineLevel="0" collapsed="false"/>
    <row r="1521" customFormat="false" ht="12.75" hidden="false" customHeight="true" outlineLevel="0" collapsed="false"/>
    <row r="1522" customFormat="false" ht="12.75" hidden="false" customHeight="true" outlineLevel="0" collapsed="false"/>
    <row r="1523" customFormat="false" ht="12.75" hidden="false" customHeight="true" outlineLevel="0" collapsed="false"/>
    <row r="1524" customFormat="false" ht="12.75" hidden="false" customHeight="true" outlineLevel="0" collapsed="false"/>
    <row r="1525" customFormat="false" ht="12.75" hidden="false" customHeight="true" outlineLevel="0" collapsed="false"/>
    <row r="1526" customFormat="false" ht="12.75" hidden="false" customHeight="true" outlineLevel="0" collapsed="false"/>
    <row r="1527" customFormat="false" ht="12.75" hidden="false" customHeight="true" outlineLevel="0" collapsed="false"/>
    <row r="1528" customFormat="false" ht="12.75" hidden="false" customHeight="true" outlineLevel="0" collapsed="false"/>
    <row r="1529" customFormat="false" ht="12.75" hidden="false" customHeight="true" outlineLevel="0" collapsed="false"/>
    <row r="1530" customFormat="false" ht="12.75" hidden="false" customHeight="true" outlineLevel="0" collapsed="false"/>
    <row r="1531" customFormat="false" ht="12.75" hidden="false" customHeight="true" outlineLevel="0" collapsed="false"/>
    <row r="1532" customFormat="false" ht="12.75" hidden="false" customHeight="true" outlineLevel="0" collapsed="false"/>
    <row r="1533" customFormat="false" ht="12.75" hidden="false" customHeight="true" outlineLevel="0" collapsed="false"/>
    <row r="1534" customFormat="false" ht="12.75" hidden="false" customHeight="true" outlineLevel="0" collapsed="false"/>
    <row r="1535" customFormat="false" ht="12.75" hidden="false" customHeight="true" outlineLevel="0" collapsed="false"/>
    <row r="1536" customFormat="false" ht="12.75" hidden="false" customHeight="true" outlineLevel="0" collapsed="false"/>
    <row r="1537" customFormat="false" ht="12.75" hidden="false" customHeight="true" outlineLevel="0" collapsed="false"/>
    <row r="1538" customFormat="false" ht="12.75" hidden="false" customHeight="true" outlineLevel="0" collapsed="false"/>
    <row r="1539" customFormat="false" ht="12.75" hidden="false" customHeight="true" outlineLevel="0" collapsed="false"/>
    <row r="1540" customFormat="false" ht="12.75" hidden="false" customHeight="true" outlineLevel="0" collapsed="false"/>
    <row r="1541" customFormat="false" ht="12.75" hidden="false" customHeight="true" outlineLevel="0" collapsed="false"/>
    <row r="1542" customFormat="false" ht="12.75" hidden="false" customHeight="true" outlineLevel="0" collapsed="false"/>
    <row r="1543" customFormat="false" ht="12.75" hidden="false" customHeight="true" outlineLevel="0" collapsed="false"/>
    <row r="1544" customFormat="false" ht="12.75" hidden="false" customHeight="true" outlineLevel="0" collapsed="false"/>
    <row r="1545" customFormat="false" ht="12.75" hidden="false" customHeight="true" outlineLevel="0" collapsed="false"/>
    <row r="1546" customFormat="false" ht="12.75" hidden="false" customHeight="true" outlineLevel="0" collapsed="false"/>
    <row r="1547" customFormat="false" ht="12.75" hidden="false" customHeight="true" outlineLevel="0" collapsed="false"/>
    <row r="1548" customFormat="false" ht="12.75" hidden="false" customHeight="true" outlineLevel="0" collapsed="false"/>
    <row r="1549" customFormat="false" ht="12.75" hidden="false" customHeight="true" outlineLevel="0" collapsed="false"/>
    <row r="1550" customFormat="false" ht="12.75" hidden="false" customHeight="true" outlineLevel="0" collapsed="false"/>
    <row r="1551" customFormat="false" ht="12.75" hidden="false" customHeight="true" outlineLevel="0" collapsed="false"/>
    <row r="1552" customFormat="false" ht="12.75" hidden="false" customHeight="true" outlineLevel="0" collapsed="false"/>
    <row r="1553" customFormat="false" ht="12.75" hidden="false" customHeight="true" outlineLevel="0" collapsed="false"/>
    <row r="1554" customFormat="false" ht="12.75" hidden="false" customHeight="true" outlineLevel="0" collapsed="false"/>
    <row r="1555" customFormat="false" ht="12.75" hidden="false" customHeight="true" outlineLevel="0" collapsed="false"/>
    <row r="1556" customFormat="false" ht="12.75" hidden="false" customHeight="true" outlineLevel="0" collapsed="false"/>
    <row r="1557" customFormat="false" ht="12.75" hidden="false" customHeight="true" outlineLevel="0" collapsed="false"/>
    <row r="1558" customFormat="false" ht="12.75" hidden="false" customHeight="true" outlineLevel="0" collapsed="false"/>
    <row r="1559" customFormat="false" ht="12.75" hidden="false" customHeight="true" outlineLevel="0" collapsed="false"/>
    <row r="1560" customFormat="false" ht="12.75" hidden="false" customHeight="true" outlineLevel="0" collapsed="false"/>
    <row r="1561" customFormat="false" ht="12.75" hidden="false" customHeight="true" outlineLevel="0" collapsed="false"/>
    <row r="1562" customFormat="false" ht="12.75" hidden="false" customHeight="true" outlineLevel="0" collapsed="false"/>
    <row r="1563" customFormat="false" ht="12.75" hidden="false" customHeight="true" outlineLevel="0" collapsed="false"/>
    <row r="1564" customFormat="false" ht="12.75" hidden="false" customHeight="true" outlineLevel="0" collapsed="false"/>
    <row r="1565" customFormat="false" ht="12.75" hidden="false" customHeight="true" outlineLevel="0" collapsed="false"/>
    <row r="1566" customFormat="false" ht="12.75" hidden="false" customHeight="true" outlineLevel="0" collapsed="false"/>
    <row r="1567" customFormat="false" ht="12.75" hidden="false" customHeight="true" outlineLevel="0" collapsed="false"/>
    <row r="1568" customFormat="false" ht="12.75" hidden="false" customHeight="true" outlineLevel="0" collapsed="false"/>
    <row r="1569" customFormat="false" ht="12.75" hidden="false" customHeight="true" outlineLevel="0" collapsed="false"/>
    <row r="1570" customFormat="false" ht="12.75" hidden="false" customHeight="true" outlineLevel="0" collapsed="false"/>
    <row r="1571" customFormat="false" ht="12.75" hidden="false" customHeight="true" outlineLevel="0" collapsed="false"/>
    <row r="1572" customFormat="false" ht="12.75" hidden="false" customHeight="true" outlineLevel="0" collapsed="false"/>
    <row r="1573" customFormat="false" ht="12.75" hidden="false" customHeight="true" outlineLevel="0" collapsed="false"/>
    <row r="1574" customFormat="false" ht="12.75" hidden="false" customHeight="true" outlineLevel="0" collapsed="false"/>
    <row r="1575" customFormat="false" ht="12.75" hidden="false" customHeight="true" outlineLevel="0" collapsed="false"/>
    <row r="1576" customFormat="false" ht="12.75" hidden="false" customHeight="true" outlineLevel="0" collapsed="false"/>
    <row r="1577" customFormat="false" ht="12.75" hidden="false" customHeight="true" outlineLevel="0" collapsed="false"/>
    <row r="1578" customFormat="false" ht="12.75" hidden="false" customHeight="true" outlineLevel="0" collapsed="false"/>
    <row r="1579" customFormat="false" ht="12.75" hidden="false" customHeight="true" outlineLevel="0" collapsed="false"/>
    <row r="1580" customFormat="false" ht="12.75" hidden="false" customHeight="true" outlineLevel="0" collapsed="false"/>
    <row r="1581" customFormat="false" ht="12.75" hidden="false" customHeight="true" outlineLevel="0" collapsed="false"/>
    <row r="1582" customFormat="false" ht="12.75" hidden="false" customHeight="true" outlineLevel="0" collapsed="false"/>
    <row r="1583" customFormat="false" ht="12.75" hidden="false" customHeight="true" outlineLevel="0" collapsed="false"/>
    <row r="1584" customFormat="false" ht="12.75" hidden="false" customHeight="true" outlineLevel="0" collapsed="false"/>
    <row r="1585" customFormat="false" ht="12.75" hidden="false" customHeight="true" outlineLevel="0" collapsed="false"/>
    <row r="1586" customFormat="false" ht="12.75" hidden="false" customHeight="true" outlineLevel="0" collapsed="false"/>
    <row r="1587" customFormat="false" ht="12.75" hidden="false" customHeight="true" outlineLevel="0" collapsed="false"/>
    <row r="1588" customFormat="false" ht="12.75" hidden="false" customHeight="true" outlineLevel="0" collapsed="false"/>
    <row r="1589" customFormat="false" ht="12.75" hidden="false" customHeight="true" outlineLevel="0" collapsed="false"/>
    <row r="1590" customFormat="false" ht="12.75" hidden="false" customHeight="true" outlineLevel="0" collapsed="false"/>
    <row r="1591" customFormat="false" ht="12.75" hidden="false" customHeight="true" outlineLevel="0" collapsed="false"/>
    <row r="1592" customFormat="false" ht="12.75" hidden="false" customHeight="true" outlineLevel="0" collapsed="false"/>
    <row r="1593" customFormat="false" ht="12.75" hidden="false" customHeight="true" outlineLevel="0" collapsed="false"/>
    <row r="1594" customFormat="false" ht="12.75" hidden="false" customHeight="true" outlineLevel="0" collapsed="false"/>
    <row r="1595" customFormat="false" ht="12.75" hidden="false" customHeight="true" outlineLevel="0" collapsed="false"/>
    <row r="1596" customFormat="false" ht="12.75" hidden="false" customHeight="true" outlineLevel="0" collapsed="false"/>
    <row r="1597" customFormat="false" ht="12.75" hidden="false" customHeight="true" outlineLevel="0" collapsed="false"/>
    <row r="1598" customFormat="false" ht="12.75" hidden="false" customHeight="true" outlineLevel="0" collapsed="false"/>
    <row r="1599" customFormat="false" ht="12.75" hidden="false" customHeight="true" outlineLevel="0" collapsed="false"/>
    <row r="1600" customFormat="false" ht="12.75" hidden="false" customHeight="true" outlineLevel="0" collapsed="false"/>
    <row r="1601" customFormat="false" ht="12.75" hidden="false" customHeight="true" outlineLevel="0" collapsed="false"/>
    <row r="1602" customFormat="false" ht="12.75" hidden="false" customHeight="true" outlineLevel="0" collapsed="false"/>
    <row r="1603" customFormat="false" ht="12.75" hidden="false" customHeight="true" outlineLevel="0" collapsed="false"/>
    <row r="1604" customFormat="false" ht="12.75" hidden="false" customHeight="true" outlineLevel="0" collapsed="false"/>
    <row r="1605" customFormat="false" ht="12.75" hidden="false" customHeight="true" outlineLevel="0" collapsed="false"/>
    <row r="1606" customFormat="false" ht="12.75" hidden="false" customHeight="true" outlineLevel="0" collapsed="false"/>
    <row r="1607" customFormat="false" ht="12.75" hidden="false" customHeight="true" outlineLevel="0" collapsed="false"/>
    <row r="1608" customFormat="false" ht="12.75" hidden="false" customHeight="true" outlineLevel="0" collapsed="false"/>
    <row r="1609" customFormat="false" ht="12.75" hidden="false" customHeight="true" outlineLevel="0" collapsed="false"/>
    <row r="1610" customFormat="false" ht="12.75" hidden="false" customHeight="true" outlineLevel="0" collapsed="false"/>
    <row r="1611" customFormat="false" ht="12.75" hidden="false" customHeight="true" outlineLevel="0" collapsed="false"/>
    <row r="1612" customFormat="false" ht="12.75" hidden="false" customHeight="true" outlineLevel="0" collapsed="false"/>
    <row r="1613" customFormat="false" ht="12.75" hidden="false" customHeight="true" outlineLevel="0" collapsed="false"/>
    <row r="1614" customFormat="false" ht="12.75" hidden="false" customHeight="true" outlineLevel="0" collapsed="false"/>
    <row r="1615" customFormat="false" ht="12.75" hidden="false" customHeight="true" outlineLevel="0" collapsed="false"/>
    <row r="1616" customFormat="false" ht="12.75" hidden="false" customHeight="true" outlineLevel="0" collapsed="false"/>
    <row r="1617" customFormat="false" ht="12.75" hidden="false" customHeight="true" outlineLevel="0" collapsed="false"/>
    <row r="1618" customFormat="false" ht="12.75" hidden="false" customHeight="true" outlineLevel="0" collapsed="false"/>
    <row r="1619" customFormat="false" ht="12.75" hidden="false" customHeight="true" outlineLevel="0" collapsed="false"/>
    <row r="1620" customFormat="false" ht="12.75" hidden="false" customHeight="true" outlineLevel="0" collapsed="false"/>
    <row r="1621" customFormat="false" ht="12.75" hidden="false" customHeight="true" outlineLevel="0" collapsed="false"/>
    <row r="1622" customFormat="false" ht="12.75" hidden="false" customHeight="true" outlineLevel="0" collapsed="false"/>
    <row r="1623" customFormat="false" ht="12.75" hidden="false" customHeight="true" outlineLevel="0" collapsed="false"/>
    <row r="1624" customFormat="false" ht="12.75" hidden="false" customHeight="true" outlineLevel="0" collapsed="false"/>
    <row r="1625" customFormat="false" ht="12.75" hidden="false" customHeight="true" outlineLevel="0" collapsed="false"/>
    <row r="1626" customFormat="false" ht="12.75" hidden="false" customHeight="true" outlineLevel="0" collapsed="false"/>
    <row r="1627" customFormat="false" ht="12.75" hidden="false" customHeight="true" outlineLevel="0" collapsed="false"/>
    <row r="1628" customFormat="false" ht="12.75" hidden="false" customHeight="true" outlineLevel="0" collapsed="false"/>
    <row r="1629" customFormat="false" ht="12.75" hidden="false" customHeight="true" outlineLevel="0" collapsed="false"/>
    <row r="1630" customFormat="false" ht="12.75" hidden="false" customHeight="true" outlineLevel="0" collapsed="false"/>
    <row r="1631" customFormat="false" ht="12.75" hidden="false" customHeight="true" outlineLevel="0" collapsed="false"/>
    <row r="1632" customFormat="false" ht="12.75" hidden="false" customHeight="true" outlineLevel="0" collapsed="false"/>
    <row r="1633" customFormat="false" ht="12.75" hidden="false" customHeight="true" outlineLevel="0" collapsed="false"/>
    <row r="1634" customFormat="false" ht="12.75" hidden="false" customHeight="true" outlineLevel="0" collapsed="false"/>
    <row r="1635" customFormat="false" ht="12.75" hidden="false" customHeight="true" outlineLevel="0" collapsed="false"/>
    <row r="1636" customFormat="false" ht="12.75" hidden="false" customHeight="true" outlineLevel="0" collapsed="false"/>
    <row r="1637" customFormat="false" ht="12.75" hidden="false" customHeight="true" outlineLevel="0" collapsed="false"/>
    <row r="1638" customFormat="false" ht="12.75" hidden="false" customHeight="true" outlineLevel="0" collapsed="false"/>
    <row r="1639" customFormat="false" ht="12.75" hidden="false" customHeight="true" outlineLevel="0" collapsed="false"/>
    <row r="1640" customFormat="false" ht="12.75" hidden="false" customHeight="true" outlineLevel="0" collapsed="false"/>
    <row r="1641" customFormat="false" ht="12.75" hidden="false" customHeight="true" outlineLevel="0" collapsed="false"/>
    <row r="1642" customFormat="false" ht="12.75" hidden="false" customHeight="true" outlineLevel="0" collapsed="false"/>
    <row r="1643" customFormat="false" ht="12.75" hidden="false" customHeight="true" outlineLevel="0" collapsed="false"/>
    <row r="1644" customFormat="false" ht="12.75" hidden="false" customHeight="true" outlineLevel="0" collapsed="false"/>
    <row r="1645" customFormat="false" ht="12.75" hidden="false" customHeight="true" outlineLevel="0" collapsed="false"/>
    <row r="1646" customFormat="false" ht="12.75" hidden="false" customHeight="true" outlineLevel="0" collapsed="false"/>
    <row r="1647" customFormat="false" ht="12.75" hidden="false" customHeight="true" outlineLevel="0" collapsed="false"/>
    <row r="1648" customFormat="false" ht="12.75" hidden="false" customHeight="true" outlineLevel="0" collapsed="false"/>
    <row r="1649" customFormat="false" ht="12.75" hidden="false" customHeight="true" outlineLevel="0" collapsed="false"/>
    <row r="1650" customFormat="false" ht="12.75" hidden="false" customHeight="true" outlineLevel="0" collapsed="false"/>
    <row r="1651" customFormat="false" ht="12.75" hidden="false" customHeight="true" outlineLevel="0" collapsed="false"/>
    <row r="1652" customFormat="false" ht="12.75" hidden="false" customHeight="true" outlineLevel="0" collapsed="false"/>
    <row r="1653" customFormat="false" ht="12.75" hidden="false" customHeight="true" outlineLevel="0" collapsed="false"/>
    <row r="1654" customFormat="false" ht="12.75" hidden="false" customHeight="true" outlineLevel="0" collapsed="false"/>
    <row r="1655" customFormat="false" ht="12.75" hidden="false" customHeight="true" outlineLevel="0" collapsed="false"/>
    <row r="1656" customFormat="false" ht="12.75" hidden="false" customHeight="true" outlineLevel="0" collapsed="false"/>
    <row r="1657" customFormat="false" ht="12.75" hidden="false" customHeight="true" outlineLevel="0" collapsed="false"/>
    <row r="1658" customFormat="false" ht="12.75" hidden="false" customHeight="true" outlineLevel="0" collapsed="false"/>
    <row r="1659" customFormat="false" ht="12.75" hidden="false" customHeight="true" outlineLevel="0" collapsed="false"/>
    <row r="1660" customFormat="false" ht="12.75" hidden="false" customHeight="true" outlineLevel="0" collapsed="false"/>
    <row r="1661" customFormat="false" ht="12.75" hidden="false" customHeight="true" outlineLevel="0" collapsed="false"/>
    <row r="1662" customFormat="false" ht="12.75" hidden="false" customHeight="true" outlineLevel="0" collapsed="false"/>
    <row r="1663" customFormat="false" ht="12.75" hidden="false" customHeight="true" outlineLevel="0" collapsed="false"/>
    <row r="1664" customFormat="false" ht="12.75" hidden="false" customHeight="true" outlineLevel="0" collapsed="false"/>
    <row r="1665" customFormat="false" ht="12.75" hidden="false" customHeight="true" outlineLevel="0" collapsed="false"/>
    <row r="1666" customFormat="false" ht="12.75" hidden="false" customHeight="true" outlineLevel="0" collapsed="false"/>
    <row r="1667" customFormat="false" ht="12.75" hidden="false" customHeight="true" outlineLevel="0" collapsed="false"/>
    <row r="1668" customFormat="false" ht="12.75" hidden="false" customHeight="true" outlineLevel="0" collapsed="false"/>
    <row r="1669" customFormat="false" ht="12.75" hidden="false" customHeight="true" outlineLevel="0" collapsed="false"/>
    <row r="1670" customFormat="false" ht="12.75" hidden="false" customHeight="true" outlineLevel="0" collapsed="false"/>
    <row r="1671" customFormat="false" ht="12.75" hidden="false" customHeight="true" outlineLevel="0" collapsed="false"/>
    <row r="1672" customFormat="false" ht="12.75" hidden="false" customHeight="true" outlineLevel="0" collapsed="false"/>
    <row r="1673" customFormat="false" ht="12.75" hidden="false" customHeight="true" outlineLevel="0" collapsed="false"/>
    <row r="1674" customFormat="false" ht="12.75" hidden="false" customHeight="true" outlineLevel="0" collapsed="false"/>
    <row r="1675" customFormat="false" ht="12.75" hidden="false" customHeight="true" outlineLevel="0" collapsed="false"/>
    <row r="1676" customFormat="false" ht="12.75" hidden="false" customHeight="true" outlineLevel="0" collapsed="false"/>
    <row r="1677" customFormat="false" ht="12.75" hidden="false" customHeight="true" outlineLevel="0" collapsed="false"/>
    <row r="1678" customFormat="false" ht="12.75" hidden="false" customHeight="true" outlineLevel="0" collapsed="false"/>
    <row r="1679" customFormat="false" ht="12.75" hidden="false" customHeight="true" outlineLevel="0" collapsed="false"/>
    <row r="1680" customFormat="false" ht="12.75" hidden="false" customHeight="true" outlineLevel="0" collapsed="false"/>
    <row r="1681" customFormat="false" ht="12.75" hidden="false" customHeight="true" outlineLevel="0" collapsed="false"/>
    <row r="1682" customFormat="false" ht="12.75" hidden="false" customHeight="true" outlineLevel="0" collapsed="false"/>
    <row r="1683" customFormat="false" ht="12.75" hidden="false" customHeight="true" outlineLevel="0" collapsed="false"/>
    <row r="1684" customFormat="false" ht="12.75" hidden="false" customHeight="true" outlineLevel="0" collapsed="false"/>
    <row r="1685" customFormat="false" ht="12.75" hidden="false" customHeight="true" outlineLevel="0" collapsed="false"/>
    <row r="1686" customFormat="false" ht="12.75" hidden="false" customHeight="true" outlineLevel="0" collapsed="false"/>
    <row r="1687" customFormat="false" ht="12.75" hidden="false" customHeight="true" outlineLevel="0" collapsed="false"/>
    <row r="1688" customFormat="false" ht="12.75" hidden="false" customHeight="true" outlineLevel="0" collapsed="false"/>
    <row r="1689" customFormat="false" ht="12.75" hidden="false" customHeight="true" outlineLevel="0" collapsed="false"/>
    <row r="1690" customFormat="false" ht="12.75" hidden="false" customHeight="true" outlineLevel="0" collapsed="false"/>
    <row r="1691" customFormat="false" ht="12.75" hidden="false" customHeight="true" outlineLevel="0" collapsed="false"/>
    <row r="1692" customFormat="false" ht="12.75" hidden="false" customHeight="true" outlineLevel="0" collapsed="false"/>
    <row r="1693" customFormat="false" ht="12.75" hidden="false" customHeight="true" outlineLevel="0" collapsed="false"/>
    <row r="1694" customFormat="false" ht="12.75" hidden="false" customHeight="true" outlineLevel="0" collapsed="false"/>
    <row r="1695" customFormat="false" ht="12.75" hidden="false" customHeight="true" outlineLevel="0" collapsed="false"/>
    <row r="1696" customFormat="false" ht="12.75" hidden="false" customHeight="true" outlineLevel="0" collapsed="false"/>
    <row r="1697" customFormat="false" ht="12.75" hidden="false" customHeight="true" outlineLevel="0" collapsed="false"/>
    <row r="1698" customFormat="false" ht="12.75" hidden="false" customHeight="true" outlineLevel="0" collapsed="false"/>
    <row r="1699" customFormat="false" ht="12.75" hidden="false" customHeight="true" outlineLevel="0" collapsed="false"/>
    <row r="1700" customFormat="false" ht="12.75" hidden="false" customHeight="true" outlineLevel="0" collapsed="false"/>
    <row r="1701" customFormat="false" ht="12.75" hidden="false" customHeight="true" outlineLevel="0" collapsed="false"/>
    <row r="1702" customFormat="false" ht="12.75" hidden="false" customHeight="true" outlineLevel="0" collapsed="false"/>
    <row r="1703" customFormat="false" ht="12.75" hidden="false" customHeight="true" outlineLevel="0" collapsed="false"/>
    <row r="1704" customFormat="false" ht="12.75" hidden="false" customHeight="true" outlineLevel="0" collapsed="false"/>
    <row r="1705" customFormat="false" ht="12.75" hidden="false" customHeight="true" outlineLevel="0" collapsed="false"/>
    <row r="1706" customFormat="false" ht="12.75" hidden="false" customHeight="true" outlineLevel="0" collapsed="false"/>
    <row r="1707" customFormat="false" ht="12.75" hidden="false" customHeight="true" outlineLevel="0" collapsed="false"/>
    <row r="1708" customFormat="false" ht="12.75" hidden="false" customHeight="true" outlineLevel="0" collapsed="false"/>
    <row r="1709" customFormat="false" ht="12.75" hidden="false" customHeight="true" outlineLevel="0" collapsed="false"/>
    <row r="1710" customFormat="false" ht="12.75" hidden="false" customHeight="true" outlineLevel="0" collapsed="false"/>
    <row r="1711" customFormat="false" ht="12.75" hidden="false" customHeight="true" outlineLevel="0" collapsed="false"/>
    <row r="1712" customFormat="false" ht="12.75" hidden="false" customHeight="true" outlineLevel="0" collapsed="false"/>
    <row r="1713" customFormat="false" ht="12.75" hidden="false" customHeight="true" outlineLevel="0" collapsed="false"/>
    <row r="1714" customFormat="false" ht="12.75" hidden="false" customHeight="true" outlineLevel="0" collapsed="false"/>
    <row r="1715" customFormat="false" ht="12.75" hidden="false" customHeight="true" outlineLevel="0" collapsed="false"/>
    <row r="1716" customFormat="false" ht="12.75" hidden="false" customHeight="true" outlineLevel="0" collapsed="false"/>
    <row r="1717" customFormat="false" ht="12.75" hidden="false" customHeight="true" outlineLevel="0" collapsed="false"/>
    <row r="1718" customFormat="false" ht="12.75" hidden="false" customHeight="true" outlineLevel="0" collapsed="false"/>
    <row r="1719" customFormat="false" ht="12.75" hidden="false" customHeight="true" outlineLevel="0" collapsed="false"/>
    <row r="1720" customFormat="false" ht="12.75" hidden="false" customHeight="true" outlineLevel="0" collapsed="false"/>
    <row r="1721" customFormat="false" ht="12.75" hidden="false" customHeight="true" outlineLevel="0" collapsed="false"/>
    <row r="1722" customFormat="false" ht="12.75" hidden="false" customHeight="true" outlineLevel="0" collapsed="false"/>
    <row r="1723" customFormat="false" ht="12.75" hidden="false" customHeight="true" outlineLevel="0" collapsed="false"/>
    <row r="1724" customFormat="false" ht="12.75" hidden="false" customHeight="true" outlineLevel="0" collapsed="false"/>
    <row r="1725" customFormat="false" ht="12.75" hidden="false" customHeight="true" outlineLevel="0" collapsed="false"/>
    <row r="1726" customFormat="false" ht="12.75" hidden="false" customHeight="true" outlineLevel="0" collapsed="false"/>
    <row r="1727" customFormat="false" ht="12.75" hidden="false" customHeight="true" outlineLevel="0" collapsed="false"/>
    <row r="1728" customFormat="false" ht="12.75" hidden="false" customHeight="true" outlineLevel="0" collapsed="false"/>
    <row r="1729" customFormat="false" ht="12.75" hidden="false" customHeight="true" outlineLevel="0" collapsed="false"/>
    <row r="1730" customFormat="false" ht="12.75" hidden="false" customHeight="true" outlineLevel="0" collapsed="false"/>
    <row r="1731" customFormat="false" ht="12.75" hidden="false" customHeight="true" outlineLevel="0" collapsed="false"/>
    <row r="1732" customFormat="false" ht="12.75" hidden="false" customHeight="true" outlineLevel="0" collapsed="false"/>
    <row r="1733" customFormat="false" ht="12.75" hidden="false" customHeight="true" outlineLevel="0" collapsed="false"/>
    <row r="1734" customFormat="false" ht="12.75" hidden="false" customHeight="true" outlineLevel="0" collapsed="false"/>
    <row r="1735" customFormat="false" ht="12.75" hidden="false" customHeight="true" outlineLevel="0" collapsed="false"/>
    <row r="1736" customFormat="false" ht="12.75" hidden="false" customHeight="true" outlineLevel="0" collapsed="false"/>
    <row r="1737" customFormat="false" ht="12.75" hidden="false" customHeight="true" outlineLevel="0" collapsed="false"/>
    <row r="1738" customFormat="false" ht="12.75" hidden="false" customHeight="true" outlineLevel="0" collapsed="false"/>
    <row r="1739" customFormat="false" ht="12.75" hidden="false" customHeight="true" outlineLevel="0" collapsed="false"/>
    <row r="1740" customFormat="false" ht="12.75" hidden="false" customHeight="true" outlineLevel="0" collapsed="false"/>
    <row r="1741" customFormat="false" ht="12.75" hidden="false" customHeight="true" outlineLevel="0" collapsed="false"/>
    <row r="1742" customFormat="false" ht="12.75" hidden="false" customHeight="true" outlineLevel="0" collapsed="false"/>
    <row r="1743" customFormat="false" ht="12.75" hidden="false" customHeight="true" outlineLevel="0" collapsed="false"/>
    <row r="1744" customFormat="false" ht="12.75" hidden="false" customHeight="true" outlineLevel="0" collapsed="false"/>
    <row r="1745" customFormat="false" ht="12.75" hidden="false" customHeight="true" outlineLevel="0" collapsed="false"/>
    <row r="1746" customFormat="false" ht="12.75" hidden="false" customHeight="true" outlineLevel="0" collapsed="false"/>
    <row r="1747" customFormat="false" ht="12.75" hidden="false" customHeight="true" outlineLevel="0" collapsed="false"/>
    <row r="1748" customFormat="false" ht="12.75" hidden="false" customHeight="true" outlineLevel="0" collapsed="false"/>
    <row r="1749" customFormat="false" ht="12.75" hidden="false" customHeight="true" outlineLevel="0" collapsed="false"/>
    <row r="1750" customFormat="false" ht="12.75" hidden="false" customHeight="true" outlineLevel="0" collapsed="false"/>
    <row r="1751" customFormat="false" ht="12.75" hidden="false" customHeight="true" outlineLevel="0" collapsed="false"/>
    <row r="1752" customFormat="false" ht="12.75" hidden="false" customHeight="true" outlineLevel="0" collapsed="false"/>
    <row r="1753" customFormat="false" ht="12.75" hidden="false" customHeight="true" outlineLevel="0" collapsed="false"/>
    <row r="1754" customFormat="false" ht="12.75" hidden="false" customHeight="true" outlineLevel="0" collapsed="false"/>
    <row r="1755" customFormat="false" ht="12.75" hidden="false" customHeight="true" outlineLevel="0" collapsed="false"/>
    <row r="1756" customFormat="false" ht="12.75" hidden="false" customHeight="true" outlineLevel="0" collapsed="false"/>
    <row r="1757" customFormat="false" ht="12.75" hidden="false" customHeight="true" outlineLevel="0" collapsed="false"/>
    <row r="1758" customFormat="false" ht="12.75" hidden="false" customHeight="true" outlineLevel="0" collapsed="false"/>
    <row r="1759" customFormat="false" ht="12.75" hidden="false" customHeight="true" outlineLevel="0" collapsed="false"/>
    <row r="1760" customFormat="false" ht="12.75" hidden="false" customHeight="true" outlineLevel="0" collapsed="false"/>
    <row r="1761" customFormat="false" ht="12.75" hidden="false" customHeight="true" outlineLevel="0" collapsed="false"/>
    <row r="1762" customFormat="false" ht="12.75" hidden="false" customHeight="true" outlineLevel="0" collapsed="false"/>
    <row r="1763" customFormat="false" ht="12.75" hidden="false" customHeight="true" outlineLevel="0" collapsed="false"/>
    <row r="1764" customFormat="false" ht="12.75" hidden="false" customHeight="true" outlineLevel="0" collapsed="false"/>
    <row r="1765" customFormat="false" ht="12.75" hidden="false" customHeight="true" outlineLevel="0" collapsed="false"/>
    <row r="1766" customFormat="false" ht="12.75" hidden="false" customHeight="true" outlineLevel="0" collapsed="false"/>
    <row r="1767" customFormat="false" ht="12.75" hidden="false" customHeight="true" outlineLevel="0" collapsed="false"/>
    <row r="1768" customFormat="false" ht="12.75" hidden="false" customHeight="true" outlineLevel="0" collapsed="false"/>
    <row r="1769" customFormat="false" ht="12.75" hidden="false" customHeight="true" outlineLevel="0" collapsed="false"/>
    <row r="1770" customFormat="false" ht="12.75" hidden="false" customHeight="true" outlineLevel="0" collapsed="false"/>
    <row r="1771" customFormat="false" ht="12.75" hidden="false" customHeight="true" outlineLevel="0" collapsed="false"/>
    <row r="1772" customFormat="false" ht="12.75" hidden="false" customHeight="true" outlineLevel="0" collapsed="false"/>
    <row r="1773" customFormat="false" ht="12.75" hidden="false" customHeight="true" outlineLevel="0" collapsed="false"/>
    <row r="1774" customFormat="false" ht="12.75" hidden="false" customHeight="true" outlineLevel="0" collapsed="false"/>
    <row r="1775" customFormat="false" ht="12.75" hidden="false" customHeight="true" outlineLevel="0" collapsed="false"/>
    <row r="1776" customFormat="false" ht="12.75" hidden="false" customHeight="true" outlineLevel="0" collapsed="false"/>
    <row r="1777" customFormat="false" ht="12.75" hidden="false" customHeight="true" outlineLevel="0" collapsed="false"/>
    <row r="1778" customFormat="false" ht="12.75" hidden="false" customHeight="true" outlineLevel="0" collapsed="false"/>
    <row r="1779" customFormat="false" ht="12.75" hidden="false" customHeight="true" outlineLevel="0" collapsed="false"/>
    <row r="1780" customFormat="false" ht="12.75" hidden="false" customHeight="true" outlineLevel="0" collapsed="false"/>
    <row r="1781" customFormat="false" ht="12.75" hidden="false" customHeight="true" outlineLevel="0" collapsed="false"/>
    <row r="1782" customFormat="false" ht="12.75" hidden="false" customHeight="true" outlineLevel="0" collapsed="false"/>
    <row r="1783" customFormat="false" ht="12.75" hidden="false" customHeight="true" outlineLevel="0" collapsed="false"/>
    <row r="1784" customFormat="false" ht="12.75" hidden="false" customHeight="true" outlineLevel="0" collapsed="false"/>
    <row r="1785" customFormat="false" ht="12.75" hidden="false" customHeight="true" outlineLevel="0" collapsed="false"/>
    <row r="1786" customFormat="false" ht="12.75" hidden="false" customHeight="true" outlineLevel="0" collapsed="false"/>
    <row r="1787" customFormat="false" ht="12.75" hidden="false" customHeight="true" outlineLevel="0" collapsed="false"/>
    <row r="1788" customFormat="false" ht="12.75" hidden="false" customHeight="true" outlineLevel="0" collapsed="false"/>
    <row r="1789" customFormat="false" ht="12.75" hidden="false" customHeight="true" outlineLevel="0" collapsed="false"/>
    <row r="1790" customFormat="false" ht="12.75" hidden="false" customHeight="true" outlineLevel="0" collapsed="false"/>
    <row r="1791" customFormat="false" ht="12.75" hidden="false" customHeight="true" outlineLevel="0" collapsed="false"/>
    <row r="1792" customFormat="false" ht="12.75" hidden="false" customHeight="true" outlineLevel="0" collapsed="false"/>
    <row r="1793" customFormat="false" ht="12.75" hidden="false" customHeight="true" outlineLevel="0" collapsed="false"/>
    <row r="1794" customFormat="false" ht="12.75" hidden="false" customHeight="true" outlineLevel="0" collapsed="false"/>
    <row r="1795" customFormat="false" ht="12.75" hidden="false" customHeight="true" outlineLevel="0" collapsed="false"/>
    <row r="1796" customFormat="false" ht="12.75" hidden="false" customHeight="true" outlineLevel="0" collapsed="false"/>
    <row r="1797" customFormat="false" ht="12.75" hidden="false" customHeight="true" outlineLevel="0" collapsed="false"/>
    <row r="1798" customFormat="false" ht="12.75" hidden="false" customHeight="true" outlineLevel="0" collapsed="false"/>
    <row r="1799" customFormat="false" ht="12.75" hidden="false" customHeight="true" outlineLevel="0" collapsed="false"/>
    <row r="1800" customFormat="false" ht="12.75" hidden="false" customHeight="true" outlineLevel="0" collapsed="false"/>
    <row r="1801" customFormat="false" ht="12.75" hidden="false" customHeight="true" outlineLevel="0" collapsed="false"/>
    <row r="1802" customFormat="false" ht="12.75" hidden="false" customHeight="true" outlineLevel="0" collapsed="false"/>
    <row r="1803" customFormat="false" ht="12.75" hidden="false" customHeight="true" outlineLevel="0" collapsed="false"/>
    <row r="1804" customFormat="false" ht="12.75" hidden="false" customHeight="true" outlineLevel="0" collapsed="false"/>
    <row r="1805" customFormat="false" ht="12.75" hidden="false" customHeight="true" outlineLevel="0" collapsed="false"/>
    <row r="1806" customFormat="false" ht="12.75" hidden="false" customHeight="true" outlineLevel="0" collapsed="false"/>
    <row r="1807" customFormat="false" ht="12.75" hidden="false" customHeight="true" outlineLevel="0" collapsed="false"/>
    <row r="1808" customFormat="false" ht="12.75" hidden="false" customHeight="true" outlineLevel="0" collapsed="false"/>
    <row r="1809" customFormat="false" ht="12.75" hidden="false" customHeight="true" outlineLevel="0" collapsed="false"/>
    <row r="1810" customFormat="false" ht="12.75" hidden="false" customHeight="true" outlineLevel="0" collapsed="false"/>
    <row r="1811" customFormat="false" ht="12.75" hidden="false" customHeight="true" outlineLevel="0" collapsed="false"/>
    <row r="1812" customFormat="false" ht="12.75" hidden="false" customHeight="true" outlineLevel="0" collapsed="false"/>
    <row r="1813" customFormat="false" ht="12.75" hidden="false" customHeight="true" outlineLevel="0" collapsed="false"/>
    <row r="1814" customFormat="false" ht="12.75" hidden="false" customHeight="true" outlineLevel="0" collapsed="false"/>
    <row r="1815" customFormat="false" ht="12.75" hidden="false" customHeight="true" outlineLevel="0" collapsed="false"/>
    <row r="1816" customFormat="false" ht="12.75" hidden="false" customHeight="true" outlineLevel="0" collapsed="false"/>
    <row r="1817" customFormat="false" ht="12.75" hidden="false" customHeight="true" outlineLevel="0" collapsed="false"/>
    <row r="1818" customFormat="false" ht="12.75" hidden="false" customHeight="true" outlineLevel="0" collapsed="false"/>
    <row r="1819" customFormat="false" ht="12.75" hidden="false" customHeight="true" outlineLevel="0" collapsed="false"/>
    <row r="1820" customFormat="false" ht="12.75" hidden="false" customHeight="true" outlineLevel="0" collapsed="false"/>
    <row r="1821" customFormat="false" ht="12.75" hidden="false" customHeight="true" outlineLevel="0" collapsed="false"/>
    <row r="1822" customFormat="false" ht="12.75" hidden="false" customHeight="true" outlineLevel="0" collapsed="false"/>
    <row r="1823" customFormat="false" ht="12.75" hidden="false" customHeight="true" outlineLevel="0" collapsed="false"/>
    <row r="1824" customFormat="false" ht="12.75" hidden="false" customHeight="true" outlineLevel="0" collapsed="false"/>
    <row r="1825" customFormat="false" ht="12.75" hidden="false" customHeight="true" outlineLevel="0" collapsed="false"/>
    <row r="1826" customFormat="false" ht="12.75" hidden="false" customHeight="true" outlineLevel="0" collapsed="false"/>
    <row r="1827" customFormat="false" ht="12.75" hidden="false" customHeight="true" outlineLevel="0" collapsed="false"/>
    <row r="1828" customFormat="false" ht="12.75" hidden="false" customHeight="true" outlineLevel="0" collapsed="false"/>
    <row r="1829" customFormat="false" ht="12.75" hidden="false" customHeight="true" outlineLevel="0" collapsed="false"/>
    <row r="1830" customFormat="false" ht="12.75" hidden="false" customHeight="true" outlineLevel="0" collapsed="false"/>
    <row r="1831" customFormat="false" ht="12.75" hidden="false" customHeight="true" outlineLevel="0" collapsed="false"/>
    <row r="1832" customFormat="false" ht="12.75" hidden="false" customHeight="true" outlineLevel="0" collapsed="false"/>
    <row r="1833" customFormat="false" ht="12.75" hidden="false" customHeight="true" outlineLevel="0" collapsed="false"/>
    <row r="1834" customFormat="false" ht="12.75" hidden="false" customHeight="true" outlineLevel="0" collapsed="false"/>
    <row r="1835" customFormat="false" ht="12.75" hidden="false" customHeight="true" outlineLevel="0" collapsed="false"/>
    <row r="1836" customFormat="false" ht="12.75" hidden="false" customHeight="true" outlineLevel="0" collapsed="false"/>
    <row r="1837" customFormat="false" ht="12.75" hidden="false" customHeight="true" outlineLevel="0" collapsed="false"/>
    <row r="1838" customFormat="false" ht="12.75" hidden="false" customHeight="true" outlineLevel="0" collapsed="false"/>
    <row r="1839" customFormat="false" ht="12.75" hidden="false" customHeight="true" outlineLevel="0" collapsed="false"/>
    <row r="1840" customFormat="false" ht="12.75" hidden="false" customHeight="true" outlineLevel="0" collapsed="false"/>
    <row r="1841" customFormat="false" ht="12.75" hidden="false" customHeight="true" outlineLevel="0" collapsed="false"/>
    <row r="1842" customFormat="false" ht="12.75" hidden="false" customHeight="true" outlineLevel="0" collapsed="false"/>
    <row r="1843" customFormat="false" ht="12.75" hidden="false" customHeight="true" outlineLevel="0" collapsed="false"/>
    <row r="1844" customFormat="false" ht="12.75" hidden="false" customHeight="true" outlineLevel="0" collapsed="false"/>
    <row r="1845" customFormat="false" ht="12.75" hidden="false" customHeight="true" outlineLevel="0" collapsed="false"/>
    <row r="1846" customFormat="false" ht="12.75" hidden="false" customHeight="true" outlineLevel="0" collapsed="false"/>
    <row r="1847" customFormat="false" ht="12.75" hidden="false" customHeight="true" outlineLevel="0" collapsed="false"/>
    <row r="1848" customFormat="false" ht="12.75" hidden="false" customHeight="true" outlineLevel="0" collapsed="false"/>
    <row r="1849" customFormat="false" ht="12.75" hidden="false" customHeight="true" outlineLevel="0" collapsed="false"/>
    <row r="1850" customFormat="false" ht="12.75" hidden="false" customHeight="true" outlineLevel="0" collapsed="false"/>
    <row r="1851" customFormat="false" ht="12.75" hidden="false" customHeight="true" outlineLevel="0" collapsed="false"/>
    <row r="1852" customFormat="false" ht="12.75" hidden="false" customHeight="true" outlineLevel="0" collapsed="false"/>
    <row r="1853" customFormat="false" ht="12.75" hidden="false" customHeight="true" outlineLevel="0" collapsed="false"/>
    <row r="1854" customFormat="false" ht="12.75" hidden="false" customHeight="true" outlineLevel="0" collapsed="false"/>
    <row r="1855" customFormat="false" ht="12.75" hidden="false" customHeight="true" outlineLevel="0" collapsed="false"/>
    <row r="1856" customFormat="false" ht="12.75" hidden="false" customHeight="true" outlineLevel="0" collapsed="false"/>
    <row r="1857" customFormat="false" ht="12.75" hidden="false" customHeight="true" outlineLevel="0" collapsed="false"/>
    <row r="1858" customFormat="false" ht="12.75" hidden="false" customHeight="true" outlineLevel="0" collapsed="false"/>
    <row r="1859" customFormat="false" ht="12.75" hidden="false" customHeight="true" outlineLevel="0" collapsed="false"/>
    <row r="1860" customFormat="false" ht="12.75" hidden="false" customHeight="true" outlineLevel="0" collapsed="false"/>
    <row r="1861" customFormat="false" ht="12.75" hidden="false" customHeight="true" outlineLevel="0" collapsed="false"/>
    <row r="1862" customFormat="false" ht="12.75" hidden="false" customHeight="true" outlineLevel="0" collapsed="false"/>
    <row r="1863" customFormat="false" ht="12.75" hidden="false" customHeight="true" outlineLevel="0" collapsed="false"/>
    <row r="1864" customFormat="false" ht="12.75" hidden="false" customHeight="true" outlineLevel="0" collapsed="false"/>
    <row r="1865" customFormat="false" ht="12.75" hidden="false" customHeight="true" outlineLevel="0" collapsed="false"/>
    <row r="1866" customFormat="false" ht="12.75" hidden="false" customHeight="true" outlineLevel="0" collapsed="false"/>
    <row r="1867" customFormat="false" ht="12.75" hidden="false" customHeight="true" outlineLevel="0" collapsed="false"/>
    <row r="1868" customFormat="false" ht="12.75" hidden="false" customHeight="true" outlineLevel="0" collapsed="false"/>
    <row r="1869" customFormat="false" ht="12.75" hidden="false" customHeight="true" outlineLevel="0" collapsed="false"/>
    <row r="1870" customFormat="false" ht="12.75" hidden="false" customHeight="true" outlineLevel="0" collapsed="false"/>
    <row r="1871" customFormat="false" ht="12.75" hidden="false" customHeight="true" outlineLevel="0" collapsed="false"/>
    <row r="1872" customFormat="false" ht="12.75" hidden="false" customHeight="true" outlineLevel="0" collapsed="false"/>
    <row r="1873" customFormat="false" ht="12.75" hidden="false" customHeight="true" outlineLevel="0" collapsed="false"/>
    <row r="1874" customFormat="false" ht="12.75" hidden="false" customHeight="true" outlineLevel="0" collapsed="false"/>
    <row r="1875" customFormat="false" ht="12.75" hidden="false" customHeight="true" outlineLevel="0" collapsed="false"/>
    <row r="1876" customFormat="false" ht="12.75" hidden="false" customHeight="true" outlineLevel="0" collapsed="false"/>
    <row r="1877" customFormat="false" ht="12.75" hidden="false" customHeight="true" outlineLevel="0" collapsed="false"/>
    <row r="1878" customFormat="false" ht="12.75" hidden="false" customHeight="true" outlineLevel="0" collapsed="false"/>
    <row r="1879" customFormat="false" ht="12.75" hidden="false" customHeight="true" outlineLevel="0" collapsed="false"/>
    <row r="1880" customFormat="false" ht="12.75" hidden="false" customHeight="true" outlineLevel="0" collapsed="false"/>
    <row r="1881" customFormat="false" ht="12.75" hidden="false" customHeight="true" outlineLevel="0" collapsed="false"/>
    <row r="1882" customFormat="false" ht="12.75" hidden="false" customHeight="true" outlineLevel="0" collapsed="false"/>
    <row r="1883" customFormat="false" ht="12.75" hidden="false" customHeight="true" outlineLevel="0" collapsed="false"/>
    <row r="1884" customFormat="false" ht="12.75" hidden="false" customHeight="true" outlineLevel="0" collapsed="false"/>
    <row r="1885" customFormat="false" ht="12.75" hidden="false" customHeight="true" outlineLevel="0" collapsed="false"/>
    <row r="1886" customFormat="false" ht="12.75" hidden="false" customHeight="true" outlineLevel="0" collapsed="false"/>
    <row r="1887" customFormat="false" ht="12.75" hidden="false" customHeight="true" outlineLevel="0" collapsed="false"/>
    <row r="1888" customFormat="false" ht="12.75" hidden="false" customHeight="true" outlineLevel="0" collapsed="false"/>
    <row r="1889" customFormat="false" ht="12.75" hidden="false" customHeight="true" outlineLevel="0" collapsed="false"/>
    <row r="1890" customFormat="false" ht="12.75" hidden="false" customHeight="true" outlineLevel="0" collapsed="false"/>
    <row r="1891" customFormat="false" ht="12.75" hidden="false" customHeight="true" outlineLevel="0" collapsed="false"/>
    <row r="1892" customFormat="false" ht="12.75" hidden="false" customHeight="true" outlineLevel="0" collapsed="false"/>
    <row r="1893" customFormat="false" ht="12.75" hidden="false" customHeight="true" outlineLevel="0" collapsed="false"/>
    <row r="1894" customFormat="false" ht="12.75" hidden="false" customHeight="true" outlineLevel="0" collapsed="false"/>
    <row r="1895" customFormat="false" ht="12.75" hidden="false" customHeight="true" outlineLevel="0" collapsed="false"/>
    <row r="1896" customFormat="false" ht="12.75" hidden="false" customHeight="true" outlineLevel="0" collapsed="false"/>
    <row r="1897" customFormat="false" ht="12.75" hidden="false" customHeight="true" outlineLevel="0" collapsed="false"/>
    <row r="1898" customFormat="false" ht="12.75" hidden="false" customHeight="true" outlineLevel="0" collapsed="false"/>
    <row r="1899" customFormat="false" ht="12.75" hidden="false" customHeight="true" outlineLevel="0" collapsed="false"/>
    <row r="1900" customFormat="false" ht="12.75" hidden="false" customHeight="true" outlineLevel="0" collapsed="false"/>
    <row r="1901" customFormat="false" ht="12.75" hidden="false" customHeight="true" outlineLevel="0" collapsed="false"/>
    <row r="1902" customFormat="false" ht="12.75" hidden="false" customHeight="true" outlineLevel="0" collapsed="false"/>
    <row r="1903" customFormat="false" ht="12.75" hidden="false" customHeight="true" outlineLevel="0" collapsed="false"/>
    <row r="1904" customFormat="false" ht="12.75" hidden="false" customHeight="true" outlineLevel="0" collapsed="false"/>
    <row r="1905" customFormat="false" ht="12.75" hidden="false" customHeight="true" outlineLevel="0" collapsed="false"/>
    <row r="1906" customFormat="false" ht="12.75" hidden="false" customHeight="true" outlineLevel="0" collapsed="false"/>
    <row r="1907" customFormat="false" ht="12.75" hidden="false" customHeight="true" outlineLevel="0" collapsed="false"/>
    <row r="1908" customFormat="false" ht="12.75" hidden="false" customHeight="true" outlineLevel="0" collapsed="false"/>
    <row r="1909" customFormat="false" ht="12.75" hidden="false" customHeight="true" outlineLevel="0" collapsed="false"/>
    <row r="1910" customFormat="false" ht="12.75" hidden="false" customHeight="true" outlineLevel="0" collapsed="false"/>
    <row r="1911" customFormat="false" ht="12.75" hidden="false" customHeight="true" outlineLevel="0" collapsed="false"/>
    <row r="1912" customFormat="false" ht="12.75" hidden="false" customHeight="true" outlineLevel="0" collapsed="false"/>
    <row r="1913" customFormat="false" ht="12.75" hidden="false" customHeight="true" outlineLevel="0" collapsed="false"/>
    <row r="1914" customFormat="false" ht="12.75" hidden="false" customHeight="true" outlineLevel="0" collapsed="false"/>
    <row r="1915" customFormat="false" ht="12.75" hidden="false" customHeight="true" outlineLevel="0" collapsed="false"/>
    <row r="1916" customFormat="false" ht="12.75" hidden="false" customHeight="true" outlineLevel="0" collapsed="false"/>
    <row r="1917" customFormat="false" ht="12.75" hidden="false" customHeight="true" outlineLevel="0" collapsed="false"/>
    <row r="1918" customFormat="false" ht="12.75" hidden="false" customHeight="true" outlineLevel="0" collapsed="false"/>
    <row r="1919" customFormat="false" ht="12.75" hidden="false" customHeight="true" outlineLevel="0" collapsed="false"/>
    <row r="1920" customFormat="false" ht="12.75" hidden="false" customHeight="true" outlineLevel="0" collapsed="false"/>
    <row r="1921" customFormat="false" ht="12.75" hidden="false" customHeight="true" outlineLevel="0" collapsed="false"/>
    <row r="1922" customFormat="false" ht="12.75" hidden="false" customHeight="true" outlineLevel="0" collapsed="false"/>
    <row r="1923" customFormat="false" ht="12.75" hidden="false" customHeight="true" outlineLevel="0" collapsed="false"/>
    <row r="1924" customFormat="false" ht="12.75" hidden="false" customHeight="true" outlineLevel="0" collapsed="false"/>
    <row r="1925" customFormat="false" ht="12.75" hidden="false" customHeight="true" outlineLevel="0" collapsed="false"/>
    <row r="1926" customFormat="false" ht="12.75" hidden="false" customHeight="true" outlineLevel="0" collapsed="false"/>
    <row r="1927" customFormat="false" ht="12.75" hidden="false" customHeight="true" outlineLevel="0" collapsed="false"/>
    <row r="1928" customFormat="false" ht="12.75" hidden="false" customHeight="true" outlineLevel="0" collapsed="false"/>
    <row r="1929" customFormat="false" ht="12.75" hidden="false" customHeight="true" outlineLevel="0" collapsed="false"/>
    <row r="1930" customFormat="false" ht="12.75" hidden="false" customHeight="true" outlineLevel="0" collapsed="false"/>
    <row r="1931" customFormat="false" ht="12.75" hidden="false" customHeight="true" outlineLevel="0" collapsed="false"/>
    <row r="1932" customFormat="false" ht="12.75" hidden="false" customHeight="true" outlineLevel="0" collapsed="false"/>
    <row r="1933" customFormat="false" ht="12.75" hidden="false" customHeight="true" outlineLevel="0" collapsed="false"/>
    <row r="1934" customFormat="false" ht="12.75" hidden="false" customHeight="true" outlineLevel="0" collapsed="false"/>
    <row r="1935" customFormat="false" ht="12.75" hidden="false" customHeight="true" outlineLevel="0" collapsed="false"/>
    <row r="1936" customFormat="false" ht="12.75" hidden="false" customHeight="true" outlineLevel="0" collapsed="false"/>
    <row r="1937" customFormat="false" ht="12.75" hidden="false" customHeight="true" outlineLevel="0" collapsed="false"/>
    <row r="1938" customFormat="false" ht="12.75" hidden="false" customHeight="true" outlineLevel="0" collapsed="false"/>
    <row r="1939" customFormat="false" ht="12.75" hidden="false" customHeight="true" outlineLevel="0" collapsed="false"/>
    <row r="1940" customFormat="false" ht="12.75" hidden="false" customHeight="true" outlineLevel="0" collapsed="false"/>
    <row r="1941" customFormat="false" ht="12.75" hidden="false" customHeight="true" outlineLevel="0" collapsed="false"/>
    <row r="1942" customFormat="false" ht="12.75" hidden="false" customHeight="true" outlineLevel="0" collapsed="false"/>
    <row r="1943" customFormat="false" ht="12.75" hidden="false" customHeight="true" outlineLevel="0" collapsed="false"/>
    <row r="1944" customFormat="false" ht="12.75" hidden="false" customHeight="true" outlineLevel="0" collapsed="false"/>
    <row r="1945" customFormat="false" ht="12.75" hidden="false" customHeight="true" outlineLevel="0" collapsed="false"/>
    <row r="1946" customFormat="false" ht="12.75" hidden="false" customHeight="true" outlineLevel="0" collapsed="false"/>
    <row r="1947" customFormat="false" ht="12.75" hidden="false" customHeight="true" outlineLevel="0" collapsed="false"/>
    <row r="1948" customFormat="false" ht="12.75" hidden="false" customHeight="true" outlineLevel="0" collapsed="false"/>
    <row r="1949" customFormat="false" ht="12.75" hidden="false" customHeight="true" outlineLevel="0" collapsed="false"/>
    <row r="1950" customFormat="false" ht="12.75" hidden="false" customHeight="true" outlineLevel="0" collapsed="false"/>
    <row r="1951" customFormat="false" ht="12.75" hidden="false" customHeight="true" outlineLevel="0" collapsed="false"/>
    <row r="1952" customFormat="false" ht="12.75" hidden="false" customHeight="true" outlineLevel="0" collapsed="false"/>
    <row r="1953" customFormat="false" ht="12.75" hidden="false" customHeight="true" outlineLevel="0" collapsed="false"/>
    <row r="1954" customFormat="false" ht="12.75" hidden="false" customHeight="true" outlineLevel="0" collapsed="false"/>
    <row r="1955" customFormat="false" ht="12.75" hidden="false" customHeight="true" outlineLevel="0" collapsed="false"/>
    <row r="1956" customFormat="false" ht="12.75" hidden="false" customHeight="true" outlineLevel="0" collapsed="false"/>
    <row r="1957" customFormat="false" ht="12.75" hidden="false" customHeight="true" outlineLevel="0" collapsed="false"/>
    <row r="1958" customFormat="false" ht="12.75" hidden="false" customHeight="true" outlineLevel="0" collapsed="false"/>
    <row r="1959" customFormat="false" ht="12.75" hidden="false" customHeight="true" outlineLevel="0" collapsed="false"/>
    <row r="1960" customFormat="false" ht="12.75" hidden="false" customHeight="true" outlineLevel="0" collapsed="false"/>
    <row r="1961" customFormat="false" ht="12.75" hidden="false" customHeight="true" outlineLevel="0" collapsed="false"/>
    <row r="1962" customFormat="false" ht="12.75" hidden="false" customHeight="true" outlineLevel="0" collapsed="false"/>
    <row r="1963" customFormat="false" ht="12.75" hidden="false" customHeight="true" outlineLevel="0" collapsed="false"/>
    <row r="1964" customFormat="false" ht="12.75" hidden="false" customHeight="true" outlineLevel="0" collapsed="false"/>
    <row r="1965" customFormat="false" ht="12.75" hidden="false" customHeight="true" outlineLevel="0" collapsed="false"/>
    <row r="1966" customFormat="false" ht="12.75" hidden="false" customHeight="true" outlineLevel="0" collapsed="false"/>
    <row r="1967" customFormat="false" ht="12.75" hidden="false" customHeight="true" outlineLevel="0" collapsed="false"/>
    <row r="1968" customFormat="false" ht="12.75" hidden="false" customHeight="true" outlineLevel="0" collapsed="false"/>
    <row r="1969" customFormat="false" ht="12.75" hidden="false" customHeight="true" outlineLevel="0" collapsed="false"/>
    <row r="1970" customFormat="false" ht="12.75" hidden="false" customHeight="true" outlineLevel="0" collapsed="false"/>
    <row r="1971" customFormat="false" ht="12.75" hidden="false" customHeight="true" outlineLevel="0" collapsed="false"/>
    <row r="1972" customFormat="false" ht="12.75" hidden="false" customHeight="true" outlineLevel="0" collapsed="false"/>
    <row r="1973" customFormat="false" ht="12.75" hidden="false" customHeight="true" outlineLevel="0" collapsed="false"/>
    <row r="1974" customFormat="false" ht="12.75" hidden="false" customHeight="true" outlineLevel="0" collapsed="false"/>
    <row r="1975" customFormat="false" ht="12.75" hidden="false" customHeight="true" outlineLevel="0" collapsed="false"/>
    <row r="1976" customFormat="false" ht="12.75" hidden="false" customHeight="true" outlineLevel="0" collapsed="false"/>
    <row r="1977" customFormat="false" ht="12.75" hidden="false" customHeight="true" outlineLevel="0" collapsed="false"/>
    <row r="1978" customFormat="false" ht="12.75" hidden="false" customHeight="true" outlineLevel="0" collapsed="false"/>
    <row r="1979" customFormat="false" ht="12.75" hidden="false" customHeight="true" outlineLevel="0" collapsed="false"/>
    <row r="1980" customFormat="false" ht="12.75" hidden="false" customHeight="true" outlineLevel="0" collapsed="false"/>
    <row r="1981" customFormat="false" ht="12.75" hidden="false" customHeight="true" outlineLevel="0" collapsed="false"/>
    <row r="1982" customFormat="false" ht="12.75" hidden="false" customHeight="true" outlineLevel="0" collapsed="false"/>
    <row r="1983" customFormat="false" ht="12.75" hidden="false" customHeight="true" outlineLevel="0" collapsed="false"/>
    <row r="1984" customFormat="false" ht="12.75" hidden="false" customHeight="true" outlineLevel="0" collapsed="false"/>
    <row r="1985" customFormat="false" ht="12.75" hidden="false" customHeight="true" outlineLevel="0" collapsed="false"/>
    <row r="1986" customFormat="false" ht="12.75" hidden="false" customHeight="true" outlineLevel="0" collapsed="false"/>
    <row r="1987" customFormat="false" ht="12.75" hidden="false" customHeight="true" outlineLevel="0" collapsed="false"/>
    <row r="1988" customFormat="false" ht="12.75" hidden="false" customHeight="true" outlineLevel="0" collapsed="false"/>
    <row r="1989" customFormat="false" ht="12.75" hidden="false" customHeight="true" outlineLevel="0" collapsed="false"/>
    <row r="1990" customFormat="false" ht="12.75" hidden="false" customHeight="true" outlineLevel="0" collapsed="false"/>
    <row r="1991" customFormat="false" ht="12.75" hidden="false" customHeight="true" outlineLevel="0" collapsed="false"/>
    <row r="1992" customFormat="false" ht="12.75" hidden="false" customHeight="true" outlineLevel="0" collapsed="false"/>
    <row r="1993" customFormat="false" ht="12.75" hidden="false" customHeight="true" outlineLevel="0" collapsed="false"/>
    <row r="1994" customFormat="false" ht="12.75" hidden="false" customHeight="true" outlineLevel="0" collapsed="false"/>
    <row r="1995" customFormat="false" ht="12.75" hidden="false" customHeight="true" outlineLevel="0" collapsed="false"/>
    <row r="1996" customFormat="false" ht="12.75" hidden="false" customHeight="true" outlineLevel="0" collapsed="false"/>
    <row r="1997" customFormat="false" ht="12.75" hidden="false" customHeight="true" outlineLevel="0" collapsed="false"/>
    <row r="1998" customFormat="false" ht="12.75" hidden="false" customHeight="true" outlineLevel="0" collapsed="false"/>
    <row r="1999" customFormat="false" ht="12.75" hidden="false" customHeight="true" outlineLevel="0" collapsed="false"/>
    <row r="2000" customFormat="false" ht="12.75" hidden="false" customHeight="true" outlineLevel="0" collapsed="false"/>
    <row r="2001" customFormat="false" ht="12.75" hidden="false" customHeight="true" outlineLevel="0" collapsed="false"/>
    <row r="2002" customFormat="false" ht="12.75" hidden="false" customHeight="true" outlineLevel="0" collapsed="false"/>
    <row r="2003" customFormat="false" ht="12.75" hidden="false" customHeight="true" outlineLevel="0" collapsed="false"/>
    <row r="2004" customFormat="false" ht="12.75" hidden="false" customHeight="true" outlineLevel="0" collapsed="false"/>
    <row r="2005" customFormat="false" ht="12.75" hidden="false" customHeight="true" outlineLevel="0" collapsed="false"/>
    <row r="2006" customFormat="false" ht="12.75" hidden="false" customHeight="true" outlineLevel="0" collapsed="false"/>
    <row r="2007" customFormat="false" ht="12.75" hidden="false" customHeight="true" outlineLevel="0" collapsed="false"/>
    <row r="2008" customFormat="false" ht="12.75" hidden="false" customHeight="true" outlineLevel="0" collapsed="false"/>
    <row r="2009" customFormat="false" ht="12.75" hidden="false" customHeight="true" outlineLevel="0" collapsed="false"/>
    <row r="2010" customFormat="false" ht="12.75" hidden="false" customHeight="true" outlineLevel="0" collapsed="false"/>
    <row r="2011" customFormat="false" ht="12.75" hidden="false" customHeight="true" outlineLevel="0" collapsed="false"/>
    <row r="2012" customFormat="false" ht="12.75" hidden="false" customHeight="true" outlineLevel="0" collapsed="false"/>
    <row r="2013" customFormat="false" ht="12.75" hidden="false" customHeight="true" outlineLevel="0" collapsed="false"/>
    <row r="2014" customFormat="false" ht="12.75" hidden="false" customHeight="true" outlineLevel="0" collapsed="false"/>
    <row r="2015" customFormat="false" ht="12.75" hidden="false" customHeight="true" outlineLevel="0" collapsed="false"/>
    <row r="2016" customFormat="false" ht="12.75" hidden="false" customHeight="true" outlineLevel="0" collapsed="false"/>
    <row r="2017" customFormat="false" ht="12.75" hidden="false" customHeight="true" outlineLevel="0" collapsed="false"/>
    <row r="2018" customFormat="false" ht="12.75" hidden="false" customHeight="true" outlineLevel="0" collapsed="false"/>
    <row r="2019" customFormat="false" ht="12.75" hidden="false" customHeight="true" outlineLevel="0" collapsed="false"/>
    <row r="2020" customFormat="false" ht="12.75" hidden="false" customHeight="true" outlineLevel="0" collapsed="false"/>
    <row r="2021" customFormat="false" ht="12.75" hidden="false" customHeight="true" outlineLevel="0" collapsed="false"/>
    <row r="2022" customFormat="false" ht="12.75" hidden="false" customHeight="true" outlineLevel="0" collapsed="false"/>
    <row r="2023" customFormat="false" ht="12.75" hidden="false" customHeight="true" outlineLevel="0" collapsed="false"/>
    <row r="2024" customFormat="false" ht="12.75" hidden="false" customHeight="true" outlineLevel="0" collapsed="false"/>
    <row r="2025" customFormat="false" ht="12.75" hidden="false" customHeight="true" outlineLevel="0" collapsed="false"/>
    <row r="2026" customFormat="false" ht="12.75" hidden="false" customHeight="true" outlineLevel="0" collapsed="false"/>
    <row r="2027" customFormat="false" ht="12.75" hidden="false" customHeight="true" outlineLevel="0" collapsed="false"/>
    <row r="2028" customFormat="false" ht="12.75" hidden="false" customHeight="true" outlineLevel="0" collapsed="false"/>
    <row r="2029" customFormat="false" ht="12.75" hidden="false" customHeight="true" outlineLevel="0" collapsed="false"/>
    <row r="2030" customFormat="false" ht="12.75" hidden="false" customHeight="true" outlineLevel="0" collapsed="false"/>
    <row r="2031" customFormat="false" ht="12.75" hidden="false" customHeight="true" outlineLevel="0" collapsed="false"/>
    <row r="2032" customFormat="false" ht="12.75" hidden="false" customHeight="true" outlineLevel="0" collapsed="false"/>
    <row r="2033" customFormat="false" ht="12.75" hidden="false" customHeight="true" outlineLevel="0" collapsed="false"/>
    <row r="2034" customFormat="false" ht="12.75" hidden="false" customHeight="true" outlineLevel="0" collapsed="false"/>
    <row r="2035" customFormat="false" ht="12.75" hidden="false" customHeight="true" outlineLevel="0" collapsed="false"/>
    <row r="2036" customFormat="false" ht="12.75" hidden="false" customHeight="true" outlineLevel="0" collapsed="false"/>
    <row r="2037" customFormat="false" ht="12.75" hidden="false" customHeight="true" outlineLevel="0" collapsed="false"/>
    <row r="2038" customFormat="false" ht="12.75" hidden="false" customHeight="true" outlineLevel="0" collapsed="false"/>
    <row r="2039" customFormat="false" ht="12.75" hidden="false" customHeight="true" outlineLevel="0" collapsed="false"/>
    <row r="2040" customFormat="false" ht="12.75" hidden="false" customHeight="true" outlineLevel="0" collapsed="false"/>
    <row r="2041" customFormat="false" ht="12.75" hidden="false" customHeight="true" outlineLevel="0" collapsed="false"/>
    <row r="2042" customFormat="false" ht="12.75" hidden="false" customHeight="true" outlineLevel="0" collapsed="false"/>
    <row r="2043" customFormat="false" ht="12.75" hidden="false" customHeight="true" outlineLevel="0" collapsed="false"/>
    <row r="2044" customFormat="false" ht="12.75" hidden="false" customHeight="true" outlineLevel="0" collapsed="false"/>
    <row r="2045" customFormat="false" ht="12.75" hidden="false" customHeight="true" outlineLevel="0" collapsed="false"/>
    <row r="2046" customFormat="false" ht="12.75" hidden="false" customHeight="true" outlineLevel="0" collapsed="false"/>
    <row r="2047" customFormat="false" ht="12.75" hidden="false" customHeight="true" outlineLevel="0" collapsed="false"/>
    <row r="2048" customFormat="false" ht="12.75" hidden="false" customHeight="true" outlineLevel="0" collapsed="false"/>
    <row r="2049" customFormat="false" ht="12.75" hidden="false" customHeight="true" outlineLevel="0" collapsed="false"/>
    <row r="2050" customFormat="false" ht="12.75" hidden="false" customHeight="true" outlineLevel="0" collapsed="false"/>
    <row r="2051" customFormat="false" ht="12.75" hidden="false" customHeight="true" outlineLevel="0" collapsed="false"/>
    <row r="2052" customFormat="false" ht="12.75" hidden="false" customHeight="true" outlineLevel="0" collapsed="false"/>
    <row r="2053" customFormat="false" ht="12.75" hidden="false" customHeight="true" outlineLevel="0" collapsed="false"/>
    <row r="2054" customFormat="false" ht="12.75" hidden="false" customHeight="true" outlineLevel="0" collapsed="false"/>
    <row r="2055" customFormat="false" ht="12.75" hidden="false" customHeight="true" outlineLevel="0" collapsed="false"/>
    <row r="2056" customFormat="false" ht="12.75" hidden="false" customHeight="true" outlineLevel="0" collapsed="false"/>
    <row r="2057" customFormat="false" ht="12.75" hidden="false" customHeight="true" outlineLevel="0" collapsed="false"/>
    <row r="2058" customFormat="false" ht="12.75" hidden="false" customHeight="true" outlineLevel="0" collapsed="false"/>
    <row r="2059" customFormat="false" ht="12.75" hidden="false" customHeight="true" outlineLevel="0" collapsed="false"/>
    <row r="2060" customFormat="false" ht="12.75" hidden="false" customHeight="true" outlineLevel="0" collapsed="false"/>
    <row r="2061" customFormat="false" ht="12.75" hidden="false" customHeight="true" outlineLevel="0" collapsed="false"/>
    <row r="2062" customFormat="false" ht="12.75" hidden="false" customHeight="true" outlineLevel="0" collapsed="false"/>
    <row r="2063" customFormat="false" ht="12.75" hidden="false" customHeight="true" outlineLevel="0" collapsed="false"/>
    <row r="2064" customFormat="false" ht="12.75" hidden="false" customHeight="true" outlineLevel="0" collapsed="false"/>
    <row r="2065" customFormat="false" ht="12.75" hidden="false" customHeight="true" outlineLevel="0" collapsed="false"/>
    <row r="2066" customFormat="false" ht="12.75" hidden="false" customHeight="true" outlineLevel="0" collapsed="false"/>
    <row r="2067" customFormat="false" ht="12.75" hidden="false" customHeight="true" outlineLevel="0" collapsed="false"/>
    <row r="2068" customFormat="false" ht="12.75" hidden="false" customHeight="true" outlineLevel="0" collapsed="false"/>
    <row r="2069" customFormat="false" ht="12.75" hidden="false" customHeight="true" outlineLevel="0" collapsed="false"/>
    <row r="2070" customFormat="false" ht="12.75" hidden="false" customHeight="true" outlineLevel="0" collapsed="false"/>
    <row r="2071" customFormat="false" ht="12.75" hidden="false" customHeight="true" outlineLevel="0" collapsed="false"/>
    <row r="2072" customFormat="false" ht="12.75" hidden="false" customHeight="true" outlineLevel="0" collapsed="false"/>
    <row r="2073" customFormat="false" ht="12.75" hidden="false" customHeight="true" outlineLevel="0" collapsed="false"/>
    <row r="2074" customFormat="false" ht="12.75" hidden="false" customHeight="true" outlineLevel="0" collapsed="false"/>
    <row r="2075" customFormat="false" ht="12.75" hidden="false" customHeight="true" outlineLevel="0" collapsed="false"/>
    <row r="2076" customFormat="false" ht="12.75" hidden="false" customHeight="true" outlineLevel="0" collapsed="false"/>
    <row r="2077" customFormat="false" ht="12.75" hidden="false" customHeight="true" outlineLevel="0" collapsed="false"/>
    <row r="2078" customFormat="false" ht="12.75" hidden="false" customHeight="true" outlineLevel="0" collapsed="false"/>
    <row r="2079" customFormat="false" ht="12.75" hidden="false" customHeight="true" outlineLevel="0" collapsed="false"/>
    <row r="2080" customFormat="false" ht="12.75" hidden="false" customHeight="true" outlineLevel="0" collapsed="false"/>
    <row r="2081" customFormat="false" ht="12.75" hidden="false" customHeight="true" outlineLevel="0" collapsed="false"/>
    <row r="2082" customFormat="false" ht="12.75" hidden="false" customHeight="true" outlineLevel="0" collapsed="false"/>
    <row r="2083" customFormat="false" ht="12.75" hidden="false" customHeight="true" outlineLevel="0" collapsed="false"/>
    <row r="2084" customFormat="false" ht="12.75" hidden="false" customHeight="true" outlineLevel="0" collapsed="false"/>
    <row r="2085" customFormat="false" ht="12.75" hidden="false" customHeight="true" outlineLevel="0" collapsed="false"/>
    <row r="2086" customFormat="false" ht="12.75" hidden="false" customHeight="true" outlineLevel="0" collapsed="false"/>
    <row r="2087" customFormat="false" ht="12.75" hidden="false" customHeight="true" outlineLevel="0" collapsed="false"/>
    <row r="2088" customFormat="false" ht="12.75" hidden="false" customHeight="true" outlineLevel="0" collapsed="false"/>
    <row r="2089" customFormat="false" ht="12.75" hidden="false" customHeight="true" outlineLevel="0" collapsed="false"/>
    <row r="2090" customFormat="false" ht="12.75" hidden="false" customHeight="true" outlineLevel="0" collapsed="false"/>
    <row r="2091" customFormat="false" ht="12.75" hidden="false" customHeight="true" outlineLevel="0" collapsed="false"/>
    <row r="2092" customFormat="false" ht="12.75" hidden="false" customHeight="true" outlineLevel="0" collapsed="false"/>
    <row r="2093" customFormat="false" ht="12.75" hidden="false" customHeight="true" outlineLevel="0" collapsed="false"/>
    <row r="2094" customFormat="false" ht="12.75" hidden="false" customHeight="true" outlineLevel="0" collapsed="false"/>
    <row r="2095" customFormat="false" ht="12.75" hidden="false" customHeight="true" outlineLevel="0" collapsed="false"/>
    <row r="2096" customFormat="false" ht="12.75" hidden="false" customHeight="true" outlineLevel="0" collapsed="false"/>
    <row r="2097" customFormat="false" ht="12.75" hidden="false" customHeight="true" outlineLevel="0" collapsed="false"/>
    <row r="2098" customFormat="false" ht="12.75" hidden="false" customHeight="true" outlineLevel="0" collapsed="false"/>
    <row r="2099" customFormat="false" ht="12.75" hidden="false" customHeight="true" outlineLevel="0" collapsed="false"/>
    <row r="2100" customFormat="false" ht="12.75" hidden="false" customHeight="true" outlineLevel="0" collapsed="false"/>
    <row r="2101" customFormat="false" ht="12.75" hidden="false" customHeight="true" outlineLevel="0" collapsed="false"/>
    <row r="2102" customFormat="false" ht="12.75" hidden="false" customHeight="true" outlineLevel="0" collapsed="false"/>
    <row r="2103" customFormat="false" ht="12.75" hidden="false" customHeight="true" outlineLevel="0" collapsed="false"/>
    <row r="2104" customFormat="false" ht="12.75" hidden="false" customHeight="true" outlineLevel="0" collapsed="false"/>
    <row r="2105" customFormat="false" ht="12.75" hidden="false" customHeight="true" outlineLevel="0" collapsed="false"/>
    <row r="2106" customFormat="false" ht="12.75" hidden="false" customHeight="true" outlineLevel="0" collapsed="false"/>
    <row r="2107" customFormat="false" ht="12.75" hidden="false" customHeight="true" outlineLevel="0" collapsed="false"/>
    <row r="2108" customFormat="false" ht="12.75" hidden="false" customHeight="true" outlineLevel="0" collapsed="false"/>
    <row r="2109" customFormat="false" ht="12.75" hidden="false" customHeight="true" outlineLevel="0" collapsed="false"/>
    <row r="2110" customFormat="false" ht="12.75" hidden="false" customHeight="true" outlineLevel="0" collapsed="false"/>
    <row r="2111" customFormat="false" ht="12.75" hidden="false" customHeight="true" outlineLevel="0" collapsed="false"/>
    <row r="2112" customFormat="false" ht="12.75" hidden="false" customHeight="true" outlineLevel="0" collapsed="false"/>
    <row r="2113" customFormat="false" ht="12.75" hidden="false" customHeight="true" outlineLevel="0" collapsed="false"/>
    <row r="2114" customFormat="false" ht="12.75" hidden="false" customHeight="true" outlineLevel="0" collapsed="false"/>
    <row r="2115" customFormat="false" ht="12.75" hidden="false" customHeight="true" outlineLevel="0" collapsed="false"/>
    <row r="2116" customFormat="false" ht="12.75" hidden="false" customHeight="true" outlineLevel="0" collapsed="false"/>
    <row r="2117" customFormat="false" ht="12.75" hidden="false" customHeight="true" outlineLevel="0" collapsed="false"/>
    <row r="2118" customFormat="false" ht="12.75" hidden="false" customHeight="true" outlineLevel="0" collapsed="false"/>
    <row r="2119" customFormat="false" ht="12.75" hidden="false" customHeight="true" outlineLevel="0" collapsed="false"/>
    <row r="2120" customFormat="false" ht="12.75" hidden="false" customHeight="true" outlineLevel="0" collapsed="false"/>
    <row r="2121" customFormat="false" ht="12.75" hidden="false" customHeight="true" outlineLevel="0" collapsed="false"/>
    <row r="2122" customFormat="false" ht="12.75" hidden="false" customHeight="true" outlineLevel="0" collapsed="false"/>
    <row r="2123" customFormat="false" ht="12.75" hidden="false" customHeight="true" outlineLevel="0" collapsed="false"/>
    <row r="2124" customFormat="false" ht="12.75" hidden="false" customHeight="true" outlineLevel="0" collapsed="false"/>
    <row r="2125" customFormat="false" ht="12.75" hidden="false" customHeight="true" outlineLevel="0" collapsed="false"/>
    <row r="2126" customFormat="false" ht="12.75" hidden="false" customHeight="true" outlineLevel="0" collapsed="false"/>
    <row r="2127" customFormat="false" ht="12.75" hidden="false" customHeight="true" outlineLevel="0" collapsed="false"/>
    <row r="2128" customFormat="false" ht="12.75" hidden="false" customHeight="true" outlineLevel="0" collapsed="false"/>
    <row r="2129" customFormat="false" ht="12.75" hidden="false" customHeight="true" outlineLevel="0" collapsed="false"/>
    <row r="2130" customFormat="false" ht="12.75" hidden="false" customHeight="true" outlineLevel="0" collapsed="false"/>
    <row r="2131" customFormat="false" ht="12.75" hidden="false" customHeight="true" outlineLevel="0" collapsed="false"/>
    <row r="2132" customFormat="false" ht="12.75" hidden="false" customHeight="true" outlineLevel="0" collapsed="false"/>
    <row r="2133" customFormat="false" ht="12.75" hidden="false" customHeight="true" outlineLevel="0" collapsed="false"/>
    <row r="2134" customFormat="false" ht="12.75" hidden="false" customHeight="true" outlineLevel="0" collapsed="false"/>
    <row r="2135" customFormat="false" ht="12.75" hidden="false" customHeight="true" outlineLevel="0" collapsed="false"/>
    <row r="2136" customFormat="false" ht="12.75" hidden="false" customHeight="true" outlineLevel="0" collapsed="false"/>
    <row r="2137" customFormat="false" ht="12.75" hidden="false" customHeight="true" outlineLevel="0" collapsed="false"/>
    <row r="2138" customFormat="false" ht="12.75" hidden="false" customHeight="true" outlineLevel="0" collapsed="false"/>
    <row r="2139" customFormat="false" ht="12.75" hidden="false" customHeight="true" outlineLevel="0" collapsed="false"/>
    <row r="2140" customFormat="false" ht="12.75" hidden="false" customHeight="true" outlineLevel="0" collapsed="false"/>
    <row r="2141" customFormat="false" ht="12.75" hidden="false" customHeight="true" outlineLevel="0" collapsed="false"/>
    <row r="2142" customFormat="false" ht="12.75" hidden="false" customHeight="true" outlineLevel="0" collapsed="false"/>
    <row r="2143" customFormat="false" ht="12.75" hidden="false" customHeight="true" outlineLevel="0" collapsed="false"/>
    <row r="2144" customFormat="false" ht="12.75" hidden="false" customHeight="true" outlineLevel="0" collapsed="false"/>
    <row r="2145" customFormat="false" ht="12.75" hidden="false" customHeight="true" outlineLevel="0" collapsed="false"/>
    <row r="2146" customFormat="false" ht="12.75" hidden="false" customHeight="true" outlineLevel="0" collapsed="false"/>
    <row r="2147" customFormat="false" ht="12.75" hidden="false" customHeight="true" outlineLevel="0" collapsed="false"/>
    <row r="2148" customFormat="false" ht="12.75" hidden="false" customHeight="true" outlineLevel="0" collapsed="false"/>
    <row r="2149" customFormat="false" ht="12.75" hidden="false" customHeight="true" outlineLevel="0" collapsed="false"/>
    <row r="2150" customFormat="false" ht="12.75" hidden="false" customHeight="true" outlineLevel="0" collapsed="false"/>
    <row r="2151" customFormat="false" ht="12.75" hidden="false" customHeight="true" outlineLevel="0" collapsed="false"/>
    <row r="2152" customFormat="false" ht="12.75" hidden="false" customHeight="true" outlineLevel="0" collapsed="false"/>
    <row r="2153" customFormat="false" ht="12.75" hidden="false" customHeight="true" outlineLevel="0" collapsed="false"/>
    <row r="2154" customFormat="false" ht="12.75" hidden="false" customHeight="true" outlineLevel="0" collapsed="false"/>
    <row r="2155" customFormat="false" ht="12.75" hidden="false" customHeight="true" outlineLevel="0" collapsed="false"/>
    <row r="2156" customFormat="false" ht="12.75" hidden="false" customHeight="true" outlineLevel="0" collapsed="false"/>
    <row r="2157" customFormat="false" ht="12.75" hidden="false" customHeight="true" outlineLevel="0" collapsed="false"/>
    <row r="2158" customFormat="false" ht="12.75" hidden="false" customHeight="true" outlineLevel="0" collapsed="false"/>
    <row r="2159" customFormat="false" ht="12.75" hidden="false" customHeight="true" outlineLevel="0" collapsed="false"/>
    <row r="2160" customFormat="false" ht="12.75" hidden="false" customHeight="true" outlineLevel="0" collapsed="false"/>
    <row r="2161" customFormat="false" ht="12.75" hidden="false" customHeight="true" outlineLevel="0" collapsed="false"/>
    <row r="2162" customFormat="false" ht="12.75" hidden="false" customHeight="true" outlineLevel="0" collapsed="false"/>
    <row r="2163" customFormat="false" ht="12.75" hidden="false" customHeight="true" outlineLevel="0" collapsed="false"/>
    <row r="2164" customFormat="false" ht="12.75" hidden="false" customHeight="true" outlineLevel="0" collapsed="false"/>
    <row r="2165" customFormat="false" ht="12.75" hidden="false" customHeight="true" outlineLevel="0" collapsed="false"/>
    <row r="2166" customFormat="false" ht="12.75" hidden="false" customHeight="true" outlineLevel="0" collapsed="false"/>
    <row r="2167" customFormat="false" ht="12.75" hidden="false" customHeight="true" outlineLevel="0" collapsed="false"/>
    <row r="2168" customFormat="false" ht="12.75" hidden="false" customHeight="true" outlineLevel="0" collapsed="false"/>
    <row r="2169" customFormat="false" ht="12.75" hidden="false" customHeight="true" outlineLevel="0" collapsed="false"/>
    <row r="2170" customFormat="false" ht="12.75" hidden="false" customHeight="true" outlineLevel="0" collapsed="false"/>
    <row r="2171" customFormat="false" ht="12.75" hidden="false" customHeight="true" outlineLevel="0" collapsed="false"/>
    <row r="2172" customFormat="false" ht="12.75" hidden="false" customHeight="true" outlineLevel="0" collapsed="false"/>
    <row r="2173" customFormat="false" ht="12.75" hidden="false" customHeight="true" outlineLevel="0" collapsed="false"/>
    <row r="2174" customFormat="false" ht="12.75" hidden="false" customHeight="true" outlineLevel="0" collapsed="false"/>
    <row r="2175" customFormat="false" ht="12.75" hidden="false" customHeight="true" outlineLevel="0" collapsed="false"/>
    <row r="2176" customFormat="false" ht="12.75" hidden="false" customHeight="true" outlineLevel="0" collapsed="false"/>
    <row r="2177" customFormat="false" ht="12.75" hidden="false" customHeight="true" outlineLevel="0" collapsed="false"/>
    <row r="2178" customFormat="false" ht="12.75" hidden="false" customHeight="true" outlineLevel="0" collapsed="false"/>
    <row r="2179" customFormat="false" ht="12.75" hidden="false" customHeight="true" outlineLevel="0" collapsed="false"/>
    <row r="2180" customFormat="false" ht="12.75" hidden="false" customHeight="true" outlineLevel="0" collapsed="false"/>
    <row r="2181" customFormat="false" ht="12.75" hidden="false" customHeight="true" outlineLevel="0" collapsed="false"/>
    <row r="2182" customFormat="false" ht="12.75" hidden="false" customHeight="true" outlineLevel="0" collapsed="false"/>
    <row r="2183" customFormat="false" ht="12.75" hidden="false" customHeight="true" outlineLevel="0" collapsed="false"/>
    <row r="2184" customFormat="false" ht="12.75" hidden="false" customHeight="true" outlineLevel="0" collapsed="false"/>
    <row r="2185" customFormat="false" ht="12.75" hidden="false" customHeight="true" outlineLevel="0" collapsed="false"/>
    <row r="2186" customFormat="false" ht="12.75" hidden="false" customHeight="true" outlineLevel="0" collapsed="false"/>
    <row r="2187" customFormat="false" ht="12.75" hidden="false" customHeight="true" outlineLevel="0" collapsed="false"/>
    <row r="2188" customFormat="false" ht="12.75" hidden="false" customHeight="true" outlineLevel="0" collapsed="false"/>
    <row r="2189" customFormat="false" ht="12.75" hidden="false" customHeight="true" outlineLevel="0" collapsed="false"/>
    <row r="2190" customFormat="false" ht="12.75" hidden="false" customHeight="true" outlineLevel="0" collapsed="false"/>
    <row r="2191" customFormat="false" ht="12.75" hidden="false" customHeight="true" outlineLevel="0" collapsed="false"/>
    <row r="2192" customFormat="false" ht="12.75" hidden="false" customHeight="true" outlineLevel="0" collapsed="false"/>
    <row r="2193" customFormat="false" ht="12.75" hidden="false" customHeight="true" outlineLevel="0" collapsed="false"/>
    <row r="2194" customFormat="false" ht="12.75" hidden="false" customHeight="true" outlineLevel="0" collapsed="false"/>
    <row r="2195" customFormat="false" ht="12.75" hidden="false" customHeight="true" outlineLevel="0" collapsed="false"/>
    <row r="2196" customFormat="false" ht="12.75" hidden="false" customHeight="true" outlineLevel="0" collapsed="false"/>
    <row r="2197" customFormat="false" ht="12.75" hidden="false" customHeight="true" outlineLevel="0" collapsed="false"/>
    <row r="2198" customFormat="false" ht="12.75" hidden="false" customHeight="true" outlineLevel="0" collapsed="false"/>
    <row r="2199" customFormat="false" ht="12.75" hidden="false" customHeight="true" outlineLevel="0" collapsed="false"/>
    <row r="2200" customFormat="false" ht="12.75" hidden="false" customHeight="true" outlineLevel="0" collapsed="false"/>
    <row r="2201" customFormat="false" ht="12.75" hidden="false" customHeight="true" outlineLevel="0" collapsed="false"/>
    <row r="2202" customFormat="false" ht="12.75" hidden="false" customHeight="true" outlineLevel="0" collapsed="false"/>
    <row r="2203" customFormat="false" ht="12.75" hidden="false" customHeight="true" outlineLevel="0" collapsed="false"/>
    <row r="2204" customFormat="false" ht="12.75" hidden="false" customHeight="true" outlineLevel="0" collapsed="false"/>
    <row r="2205" customFormat="false" ht="12.75" hidden="false" customHeight="true" outlineLevel="0" collapsed="false"/>
    <row r="2206" customFormat="false" ht="12.75" hidden="false" customHeight="true" outlineLevel="0" collapsed="false"/>
    <row r="2207" customFormat="false" ht="12.75" hidden="false" customHeight="true" outlineLevel="0" collapsed="false"/>
    <row r="2208" customFormat="false" ht="12.75" hidden="false" customHeight="true" outlineLevel="0" collapsed="false"/>
    <row r="2209" customFormat="false" ht="12.75" hidden="false" customHeight="true" outlineLevel="0" collapsed="false"/>
    <row r="2210" customFormat="false" ht="12.75" hidden="false" customHeight="true" outlineLevel="0" collapsed="false"/>
    <row r="2211" customFormat="false" ht="12.75" hidden="false" customHeight="true" outlineLevel="0" collapsed="false"/>
    <row r="2212" customFormat="false" ht="12.75" hidden="false" customHeight="true" outlineLevel="0" collapsed="false"/>
    <row r="2213" customFormat="false" ht="12.75" hidden="false" customHeight="true" outlineLevel="0" collapsed="false"/>
    <row r="2214" customFormat="false" ht="12.75" hidden="false" customHeight="true" outlineLevel="0" collapsed="false"/>
    <row r="2215" customFormat="false" ht="12.75" hidden="false" customHeight="true" outlineLevel="0" collapsed="false"/>
    <row r="2216" customFormat="false" ht="12.75" hidden="false" customHeight="true" outlineLevel="0" collapsed="false"/>
    <row r="2217" customFormat="false" ht="12.75" hidden="false" customHeight="true" outlineLevel="0" collapsed="false"/>
    <row r="2218" customFormat="false" ht="12.75" hidden="false" customHeight="true" outlineLevel="0" collapsed="false"/>
    <row r="2219" customFormat="false" ht="12.75" hidden="false" customHeight="true" outlineLevel="0" collapsed="false"/>
    <row r="2220" customFormat="false" ht="12.75" hidden="false" customHeight="true" outlineLevel="0" collapsed="false"/>
    <row r="2221" customFormat="false" ht="12.75" hidden="false" customHeight="true" outlineLevel="0" collapsed="false"/>
    <row r="2222" customFormat="false" ht="12.75" hidden="false" customHeight="true" outlineLevel="0" collapsed="false"/>
    <row r="2223" customFormat="false" ht="12.75" hidden="false" customHeight="true" outlineLevel="0" collapsed="false"/>
    <row r="2224" customFormat="false" ht="12.75" hidden="false" customHeight="true" outlineLevel="0" collapsed="false"/>
    <row r="2225" customFormat="false" ht="12.75" hidden="false" customHeight="true" outlineLevel="0" collapsed="false"/>
    <row r="2226" customFormat="false" ht="12.75" hidden="false" customHeight="true" outlineLevel="0" collapsed="false"/>
    <row r="2227" customFormat="false" ht="12.75" hidden="false" customHeight="true" outlineLevel="0" collapsed="false"/>
    <row r="2228" customFormat="false" ht="12.75" hidden="false" customHeight="true" outlineLevel="0" collapsed="false"/>
    <row r="2229" customFormat="false" ht="12.75" hidden="false" customHeight="true" outlineLevel="0" collapsed="false"/>
    <row r="2230" customFormat="false" ht="12.75" hidden="false" customHeight="true" outlineLevel="0" collapsed="false"/>
    <row r="2231" customFormat="false" ht="12.75" hidden="false" customHeight="true" outlineLevel="0" collapsed="false"/>
    <row r="2232" customFormat="false" ht="12.75" hidden="false" customHeight="true" outlineLevel="0" collapsed="false"/>
    <row r="2233" customFormat="false" ht="12.75" hidden="false" customHeight="true" outlineLevel="0" collapsed="false"/>
    <row r="2234" customFormat="false" ht="12.75" hidden="false" customHeight="true" outlineLevel="0" collapsed="false"/>
    <row r="2235" customFormat="false" ht="12.75" hidden="false" customHeight="true" outlineLevel="0" collapsed="false"/>
    <row r="2236" customFormat="false" ht="12.75" hidden="false" customHeight="true" outlineLevel="0" collapsed="false"/>
    <row r="2237" customFormat="false" ht="12.75" hidden="false" customHeight="true" outlineLevel="0" collapsed="false"/>
    <row r="2238" customFormat="false" ht="12.75" hidden="false" customHeight="true" outlineLevel="0" collapsed="false"/>
    <row r="2239" customFormat="false" ht="12.75" hidden="false" customHeight="true" outlineLevel="0" collapsed="false"/>
    <row r="2240" customFormat="false" ht="12.75" hidden="false" customHeight="true" outlineLevel="0" collapsed="false"/>
    <row r="2241" customFormat="false" ht="12.75" hidden="false" customHeight="true" outlineLevel="0" collapsed="false"/>
    <row r="2242" customFormat="false" ht="12.75" hidden="false" customHeight="true" outlineLevel="0" collapsed="false"/>
    <row r="2243" customFormat="false" ht="12.75" hidden="false" customHeight="true" outlineLevel="0" collapsed="false"/>
    <row r="2244" customFormat="false" ht="12.75" hidden="false" customHeight="true" outlineLevel="0" collapsed="false"/>
    <row r="2245" customFormat="false" ht="12.75" hidden="false" customHeight="true" outlineLevel="0" collapsed="false"/>
    <row r="2246" customFormat="false" ht="12.75" hidden="false" customHeight="true" outlineLevel="0" collapsed="false"/>
    <row r="2247" customFormat="false" ht="12.75" hidden="false" customHeight="true" outlineLevel="0" collapsed="false"/>
    <row r="2248" customFormat="false" ht="12.75" hidden="false" customHeight="true" outlineLevel="0" collapsed="false"/>
    <row r="2249" customFormat="false" ht="12.75" hidden="false" customHeight="true" outlineLevel="0" collapsed="false"/>
    <row r="2250" customFormat="false" ht="12.75" hidden="false" customHeight="true" outlineLevel="0" collapsed="false"/>
    <row r="2251" customFormat="false" ht="12.75" hidden="false" customHeight="true" outlineLevel="0" collapsed="false"/>
    <row r="2252" customFormat="false" ht="12.75" hidden="false" customHeight="true" outlineLevel="0" collapsed="false"/>
    <row r="2253" customFormat="false" ht="12.75" hidden="false" customHeight="true" outlineLevel="0" collapsed="false"/>
    <row r="2254" customFormat="false" ht="12.75" hidden="false" customHeight="true" outlineLevel="0" collapsed="false"/>
    <row r="2255" customFormat="false" ht="12.75" hidden="false" customHeight="true" outlineLevel="0" collapsed="false"/>
    <row r="2256" customFormat="false" ht="12.75" hidden="false" customHeight="true" outlineLevel="0" collapsed="false"/>
    <row r="2257" customFormat="false" ht="12.75" hidden="false" customHeight="true" outlineLevel="0" collapsed="false"/>
    <row r="2258" customFormat="false" ht="12.75" hidden="false" customHeight="true" outlineLevel="0" collapsed="false"/>
    <row r="2259" customFormat="false" ht="12.75" hidden="false" customHeight="true" outlineLevel="0" collapsed="false"/>
    <row r="2260" customFormat="false" ht="12.75" hidden="false" customHeight="true" outlineLevel="0" collapsed="false"/>
    <row r="2261" customFormat="false" ht="12.75" hidden="false" customHeight="true" outlineLevel="0" collapsed="false"/>
    <row r="2262" customFormat="false" ht="12.75" hidden="false" customHeight="true" outlineLevel="0" collapsed="false"/>
    <row r="2263" customFormat="false" ht="12.75" hidden="false" customHeight="true" outlineLevel="0" collapsed="false"/>
    <row r="2264" customFormat="false" ht="12.75" hidden="false" customHeight="true" outlineLevel="0" collapsed="false"/>
    <row r="2265" customFormat="false" ht="12.75" hidden="false" customHeight="true" outlineLevel="0" collapsed="false"/>
    <row r="2266" customFormat="false" ht="12.75" hidden="false" customHeight="true" outlineLevel="0" collapsed="false"/>
    <row r="2267" customFormat="false" ht="12.75" hidden="false" customHeight="true" outlineLevel="0" collapsed="false"/>
    <row r="2268" customFormat="false" ht="12.75" hidden="false" customHeight="true" outlineLevel="0" collapsed="false"/>
    <row r="2269" customFormat="false" ht="12.75" hidden="false" customHeight="true" outlineLevel="0" collapsed="false"/>
    <row r="2270" customFormat="false" ht="12.75" hidden="false" customHeight="true" outlineLevel="0" collapsed="false"/>
    <row r="2271" customFormat="false" ht="12.75" hidden="false" customHeight="true" outlineLevel="0" collapsed="false"/>
    <row r="2272" customFormat="false" ht="12.75" hidden="false" customHeight="true" outlineLevel="0" collapsed="false"/>
    <row r="2273" customFormat="false" ht="12.75" hidden="false" customHeight="true" outlineLevel="0" collapsed="false"/>
    <row r="2274" customFormat="false" ht="12.75" hidden="false" customHeight="true" outlineLevel="0" collapsed="false"/>
    <row r="2275" customFormat="false" ht="12.75" hidden="false" customHeight="true" outlineLevel="0" collapsed="false"/>
    <row r="2276" customFormat="false" ht="12.75" hidden="false" customHeight="true" outlineLevel="0" collapsed="false"/>
    <row r="2277" customFormat="false" ht="12.75" hidden="false" customHeight="true" outlineLevel="0" collapsed="false"/>
    <row r="2278" customFormat="false" ht="12.75" hidden="false" customHeight="true" outlineLevel="0" collapsed="false"/>
    <row r="2279" customFormat="false" ht="12.75" hidden="false" customHeight="true" outlineLevel="0" collapsed="false"/>
    <row r="2280" customFormat="false" ht="12.75" hidden="false" customHeight="true" outlineLevel="0" collapsed="false"/>
    <row r="2281" customFormat="false" ht="12.75" hidden="false" customHeight="true" outlineLevel="0" collapsed="false"/>
    <row r="2282" customFormat="false" ht="12.75" hidden="false" customHeight="true" outlineLevel="0" collapsed="false"/>
    <row r="2283" customFormat="false" ht="12.75" hidden="false" customHeight="true" outlineLevel="0" collapsed="false"/>
    <row r="2284" customFormat="false" ht="12.75" hidden="false" customHeight="true" outlineLevel="0" collapsed="false"/>
    <row r="2285" customFormat="false" ht="12.75" hidden="false" customHeight="true" outlineLevel="0" collapsed="false"/>
    <row r="2286" customFormat="false" ht="12.75" hidden="false" customHeight="true" outlineLevel="0" collapsed="false"/>
    <row r="2287" customFormat="false" ht="12.75" hidden="false" customHeight="true" outlineLevel="0" collapsed="false"/>
    <row r="2288" customFormat="false" ht="12.75" hidden="false" customHeight="true" outlineLevel="0" collapsed="false"/>
    <row r="2289" customFormat="false" ht="12.75" hidden="false" customHeight="true" outlineLevel="0" collapsed="false"/>
    <row r="2290" customFormat="false" ht="12.75" hidden="false" customHeight="true" outlineLevel="0" collapsed="false"/>
    <row r="2291" customFormat="false" ht="12.75" hidden="false" customHeight="true" outlineLevel="0" collapsed="false"/>
    <row r="2292" customFormat="false" ht="12.75" hidden="false" customHeight="true" outlineLevel="0" collapsed="false"/>
    <row r="2293" customFormat="false" ht="12.75" hidden="false" customHeight="true" outlineLevel="0" collapsed="false"/>
    <row r="2294" customFormat="false" ht="12.75" hidden="false" customHeight="true" outlineLevel="0" collapsed="false"/>
    <row r="2295" customFormat="false" ht="12.75" hidden="false" customHeight="true" outlineLevel="0" collapsed="false"/>
    <row r="2296" customFormat="false" ht="12.75" hidden="false" customHeight="true" outlineLevel="0" collapsed="false"/>
    <row r="2297" customFormat="false" ht="12.75" hidden="false" customHeight="true" outlineLevel="0" collapsed="false"/>
    <row r="2298" customFormat="false" ht="12.75" hidden="false" customHeight="true" outlineLevel="0" collapsed="false"/>
    <row r="2299" customFormat="false" ht="12.75" hidden="false" customHeight="true" outlineLevel="0" collapsed="false"/>
    <row r="2300" customFormat="false" ht="12.75" hidden="false" customHeight="true" outlineLevel="0" collapsed="false"/>
    <row r="2301" customFormat="false" ht="12.75" hidden="false" customHeight="true" outlineLevel="0" collapsed="false"/>
    <row r="2302" customFormat="false" ht="12.75" hidden="false" customHeight="true" outlineLevel="0" collapsed="false"/>
    <row r="2303" customFormat="false" ht="12.75" hidden="false" customHeight="true" outlineLevel="0" collapsed="false"/>
    <row r="2304" customFormat="false" ht="12.75" hidden="false" customHeight="true" outlineLevel="0" collapsed="false"/>
    <row r="2305" customFormat="false" ht="12.75" hidden="false" customHeight="true" outlineLevel="0" collapsed="false"/>
    <row r="2306" customFormat="false" ht="12.75" hidden="false" customHeight="true" outlineLevel="0" collapsed="false"/>
    <row r="2307" customFormat="false" ht="12.75" hidden="false" customHeight="true" outlineLevel="0" collapsed="false"/>
    <row r="2308" customFormat="false" ht="12.75" hidden="false" customHeight="true" outlineLevel="0" collapsed="false"/>
    <row r="2309" customFormat="false" ht="12.75" hidden="false" customHeight="true" outlineLevel="0" collapsed="false"/>
    <row r="2310" customFormat="false" ht="12.75" hidden="false" customHeight="true" outlineLevel="0" collapsed="false"/>
    <row r="2311" customFormat="false" ht="12.75" hidden="false" customHeight="true" outlineLevel="0" collapsed="false"/>
    <row r="2312" customFormat="false" ht="12.75" hidden="false" customHeight="true" outlineLevel="0" collapsed="false"/>
    <row r="2313" customFormat="false" ht="12.75" hidden="false" customHeight="true" outlineLevel="0" collapsed="false"/>
    <row r="2314" customFormat="false" ht="12.75" hidden="false" customHeight="true" outlineLevel="0" collapsed="false"/>
    <row r="2315" customFormat="false" ht="12.75" hidden="false" customHeight="true" outlineLevel="0" collapsed="false"/>
    <row r="2316" customFormat="false" ht="12.75" hidden="false" customHeight="true" outlineLevel="0" collapsed="false"/>
    <row r="2317" customFormat="false" ht="12.75" hidden="false" customHeight="true" outlineLevel="0" collapsed="false"/>
    <row r="2318" customFormat="false" ht="12.75" hidden="false" customHeight="true" outlineLevel="0" collapsed="false"/>
    <row r="2319" customFormat="false" ht="12.75" hidden="false" customHeight="true" outlineLevel="0" collapsed="false"/>
    <row r="2320" customFormat="false" ht="12.75" hidden="false" customHeight="true" outlineLevel="0" collapsed="false"/>
    <row r="2321" customFormat="false" ht="12.75" hidden="false" customHeight="true" outlineLevel="0" collapsed="false"/>
    <row r="2322" customFormat="false" ht="12.75" hidden="false" customHeight="true" outlineLevel="0" collapsed="false"/>
    <row r="2323" customFormat="false" ht="12.75" hidden="false" customHeight="true" outlineLevel="0" collapsed="false"/>
    <row r="2324" customFormat="false" ht="12.75" hidden="false" customHeight="true" outlineLevel="0" collapsed="false"/>
    <row r="2325" customFormat="false" ht="12.75" hidden="false" customHeight="true" outlineLevel="0" collapsed="false"/>
    <row r="2326" customFormat="false" ht="12.75" hidden="false" customHeight="true" outlineLevel="0" collapsed="false"/>
    <row r="2327" customFormat="false" ht="12.75" hidden="false" customHeight="true" outlineLevel="0" collapsed="false"/>
    <row r="2328" customFormat="false" ht="12.75" hidden="false" customHeight="true" outlineLevel="0" collapsed="false"/>
    <row r="2329" customFormat="false" ht="12.75" hidden="false" customHeight="true" outlineLevel="0" collapsed="false"/>
    <row r="2330" customFormat="false" ht="12.75" hidden="false" customHeight="true" outlineLevel="0" collapsed="false"/>
    <row r="2331" customFormat="false" ht="12.75" hidden="false" customHeight="true" outlineLevel="0" collapsed="false"/>
    <row r="2332" customFormat="false" ht="12.75" hidden="false" customHeight="true" outlineLevel="0" collapsed="false"/>
    <row r="2333" customFormat="false" ht="12.75" hidden="false" customHeight="true" outlineLevel="0" collapsed="false"/>
    <row r="2334" customFormat="false" ht="12.75" hidden="false" customHeight="true" outlineLevel="0" collapsed="false"/>
    <row r="2335" customFormat="false" ht="12.75" hidden="false" customHeight="true" outlineLevel="0" collapsed="false"/>
    <row r="2336" customFormat="false" ht="12.75" hidden="false" customHeight="true" outlineLevel="0" collapsed="false"/>
    <row r="2337" customFormat="false" ht="12.75" hidden="false" customHeight="true" outlineLevel="0" collapsed="false"/>
    <row r="2338" customFormat="false" ht="12.75" hidden="false" customHeight="true" outlineLevel="0" collapsed="false"/>
    <row r="2339" customFormat="false" ht="12.75" hidden="false" customHeight="true" outlineLevel="0" collapsed="false"/>
    <row r="2340" customFormat="false" ht="12.75" hidden="false" customHeight="true" outlineLevel="0" collapsed="false"/>
    <row r="2341" customFormat="false" ht="12.75" hidden="false" customHeight="true" outlineLevel="0" collapsed="false"/>
    <row r="2342" customFormat="false" ht="12.75" hidden="false" customHeight="true" outlineLevel="0" collapsed="false"/>
    <row r="2343" customFormat="false" ht="12.75" hidden="false" customHeight="true" outlineLevel="0" collapsed="false"/>
    <row r="2344" customFormat="false" ht="12.75" hidden="false" customHeight="true" outlineLevel="0" collapsed="false"/>
    <row r="2345" customFormat="false" ht="12.75" hidden="false" customHeight="true" outlineLevel="0" collapsed="false"/>
    <row r="2346" customFormat="false" ht="12.75" hidden="false" customHeight="true" outlineLevel="0" collapsed="false"/>
    <row r="2347" customFormat="false" ht="12.75" hidden="false" customHeight="true" outlineLevel="0" collapsed="false"/>
    <row r="2348" customFormat="false" ht="12.75" hidden="false" customHeight="true" outlineLevel="0" collapsed="false"/>
    <row r="2349" customFormat="false" ht="12.75" hidden="false" customHeight="true" outlineLevel="0" collapsed="false"/>
    <row r="2350" customFormat="false" ht="12.75" hidden="false" customHeight="true" outlineLevel="0" collapsed="false"/>
    <row r="2351" customFormat="false" ht="12.75" hidden="false" customHeight="true" outlineLevel="0" collapsed="false"/>
    <row r="2352" customFormat="false" ht="12.75" hidden="false" customHeight="true" outlineLevel="0" collapsed="false"/>
    <row r="2353" customFormat="false" ht="12.75" hidden="false" customHeight="true" outlineLevel="0" collapsed="false"/>
    <row r="2354" customFormat="false" ht="12.75" hidden="false" customHeight="true" outlineLevel="0" collapsed="false"/>
    <row r="2355" customFormat="false" ht="12.75" hidden="false" customHeight="true" outlineLevel="0" collapsed="false"/>
    <row r="2356" customFormat="false" ht="12.75" hidden="false" customHeight="true" outlineLevel="0" collapsed="false"/>
    <row r="2357" customFormat="false" ht="12.75" hidden="false" customHeight="true" outlineLevel="0" collapsed="false"/>
    <row r="2358" customFormat="false" ht="12.75" hidden="false" customHeight="true" outlineLevel="0" collapsed="false"/>
    <row r="2359" customFormat="false" ht="12.75" hidden="false" customHeight="true" outlineLevel="0" collapsed="false"/>
    <row r="2360" customFormat="false" ht="12.75" hidden="false" customHeight="true" outlineLevel="0" collapsed="false"/>
    <row r="2361" customFormat="false" ht="12.75" hidden="false" customHeight="true" outlineLevel="0" collapsed="false"/>
    <row r="2362" customFormat="false" ht="12.75" hidden="false" customHeight="true" outlineLevel="0" collapsed="false"/>
    <row r="2363" customFormat="false" ht="12.75" hidden="false" customHeight="true" outlineLevel="0" collapsed="false"/>
    <row r="2364" customFormat="false" ht="12.75" hidden="false" customHeight="true" outlineLevel="0" collapsed="false"/>
    <row r="2365" customFormat="false" ht="12.75" hidden="false" customHeight="true" outlineLevel="0" collapsed="false"/>
    <row r="2366" customFormat="false" ht="12.75" hidden="false" customHeight="true" outlineLevel="0" collapsed="false"/>
    <row r="2367" customFormat="false" ht="12.75" hidden="false" customHeight="true" outlineLevel="0" collapsed="false"/>
    <row r="2368" customFormat="false" ht="12.75" hidden="false" customHeight="true" outlineLevel="0" collapsed="false"/>
    <row r="2369" customFormat="false" ht="12.75" hidden="false" customHeight="true" outlineLevel="0" collapsed="false"/>
    <row r="2370" customFormat="false" ht="12.75" hidden="false" customHeight="true" outlineLevel="0" collapsed="false"/>
    <row r="2371" customFormat="false" ht="12.75" hidden="false" customHeight="true" outlineLevel="0" collapsed="false"/>
    <row r="2372" customFormat="false" ht="12.75" hidden="false" customHeight="true" outlineLevel="0" collapsed="false"/>
    <row r="2373" customFormat="false" ht="12.75" hidden="false" customHeight="true" outlineLevel="0" collapsed="false"/>
    <row r="2374" customFormat="false" ht="12.75" hidden="false" customHeight="true" outlineLevel="0" collapsed="false"/>
    <row r="2375" customFormat="false" ht="12.75" hidden="false" customHeight="true" outlineLevel="0" collapsed="false"/>
    <row r="2376" customFormat="false" ht="12.75" hidden="false" customHeight="true" outlineLevel="0" collapsed="false"/>
    <row r="2377" customFormat="false" ht="12.75" hidden="false" customHeight="true" outlineLevel="0" collapsed="false"/>
    <row r="2378" customFormat="false" ht="12.75" hidden="false" customHeight="true" outlineLevel="0" collapsed="false"/>
    <row r="2379" customFormat="false" ht="12.75" hidden="false" customHeight="true" outlineLevel="0" collapsed="false"/>
    <row r="2380" customFormat="false" ht="12.75" hidden="false" customHeight="true" outlineLevel="0" collapsed="false"/>
    <row r="2381" customFormat="false" ht="12.75" hidden="false" customHeight="true" outlineLevel="0" collapsed="false"/>
    <row r="2382" customFormat="false" ht="12.75" hidden="false" customHeight="true" outlineLevel="0" collapsed="false"/>
    <row r="2383" customFormat="false" ht="12.75" hidden="false" customHeight="true" outlineLevel="0" collapsed="false"/>
    <row r="2384" customFormat="false" ht="12.75" hidden="false" customHeight="true" outlineLevel="0" collapsed="false"/>
    <row r="2385" customFormat="false" ht="12.75" hidden="false" customHeight="true" outlineLevel="0" collapsed="false"/>
    <row r="2386" customFormat="false" ht="12.75" hidden="false" customHeight="true" outlineLevel="0" collapsed="false"/>
    <row r="2387" customFormat="false" ht="12.75" hidden="false" customHeight="true" outlineLevel="0" collapsed="false"/>
    <row r="2388" customFormat="false" ht="12.75" hidden="false" customHeight="true" outlineLevel="0" collapsed="false"/>
    <row r="2389" customFormat="false" ht="12.75" hidden="false" customHeight="true" outlineLevel="0" collapsed="false"/>
    <row r="2390" customFormat="false" ht="12.75" hidden="false" customHeight="true" outlineLevel="0" collapsed="false"/>
    <row r="2391" customFormat="false" ht="12.75" hidden="false" customHeight="true" outlineLevel="0" collapsed="false"/>
    <row r="2392" customFormat="false" ht="12.75" hidden="false" customHeight="true" outlineLevel="0" collapsed="false"/>
    <row r="2393" customFormat="false" ht="12.75" hidden="false" customHeight="true" outlineLevel="0" collapsed="false"/>
    <row r="2394" customFormat="false" ht="12.75" hidden="false" customHeight="true" outlineLevel="0" collapsed="false"/>
    <row r="2395" customFormat="false" ht="12.75" hidden="false" customHeight="true" outlineLevel="0" collapsed="false"/>
    <row r="2396" customFormat="false" ht="12.75" hidden="false" customHeight="true" outlineLevel="0" collapsed="false"/>
    <row r="2397" customFormat="false" ht="12.75" hidden="false" customHeight="true" outlineLevel="0" collapsed="false"/>
    <row r="2398" customFormat="false" ht="12.75" hidden="false" customHeight="true" outlineLevel="0" collapsed="false"/>
    <row r="2399" customFormat="false" ht="12.75" hidden="false" customHeight="true" outlineLevel="0" collapsed="false"/>
    <row r="2400" customFormat="false" ht="12.75" hidden="false" customHeight="true" outlineLevel="0" collapsed="false"/>
    <row r="2401" customFormat="false" ht="12.75" hidden="false" customHeight="true" outlineLevel="0" collapsed="false"/>
    <row r="2402" customFormat="false" ht="12.75" hidden="false" customHeight="true" outlineLevel="0" collapsed="false"/>
    <row r="2403" customFormat="false" ht="12.75" hidden="false" customHeight="true" outlineLevel="0" collapsed="false"/>
    <row r="2404" customFormat="false" ht="12.75" hidden="false" customHeight="true" outlineLevel="0" collapsed="false"/>
    <row r="2405" customFormat="false" ht="12.75" hidden="false" customHeight="true" outlineLevel="0" collapsed="false"/>
    <row r="2406" customFormat="false" ht="12.75" hidden="false" customHeight="true" outlineLevel="0" collapsed="false"/>
    <row r="2407" customFormat="false" ht="12.75" hidden="false" customHeight="true" outlineLevel="0" collapsed="false"/>
    <row r="2408" customFormat="false" ht="12.75" hidden="false" customHeight="true" outlineLevel="0" collapsed="false"/>
    <row r="2409" customFormat="false" ht="12.75" hidden="false" customHeight="true" outlineLevel="0" collapsed="false"/>
    <row r="2410" customFormat="false" ht="12.75" hidden="false" customHeight="true" outlineLevel="0" collapsed="false"/>
    <row r="2411" customFormat="false" ht="12.75" hidden="false" customHeight="true" outlineLevel="0" collapsed="false"/>
    <row r="2412" customFormat="false" ht="12.75" hidden="false" customHeight="true" outlineLevel="0" collapsed="false"/>
    <row r="2413" customFormat="false" ht="12.75" hidden="false" customHeight="true" outlineLevel="0" collapsed="false"/>
    <row r="2414" customFormat="false" ht="12.75" hidden="false" customHeight="true" outlineLevel="0" collapsed="false"/>
    <row r="2415" customFormat="false" ht="12.75" hidden="false" customHeight="true" outlineLevel="0" collapsed="false"/>
    <row r="2416" customFormat="false" ht="12.75" hidden="false" customHeight="true" outlineLevel="0" collapsed="false"/>
    <row r="2417" customFormat="false" ht="12.75" hidden="false" customHeight="true" outlineLevel="0" collapsed="false"/>
    <row r="2418" customFormat="false" ht="12.75" hidden="false" customHeight="true" outlineLevel="0" collapsed="false"/>
    <row r="2419" customFormat="false" ht="12.75" hidden="false" customHeight="true" outlineLevel="0" collapsed="false"/>
    <row r="2420" customFormat="false" ht="12.75" hidden="false" customHeight="true" outlineLevel="0" collapsed="false"/>
    <row r="2421" customFormat="false" ht="12.75" hidden="false" customHeight="true" outlineLevel="0" collapsed="false"/>
    <row r="2422" customFormat="false" ht="12.75" hidden="false" customHeight="true" outlineLevel="0" collapsed="false"/>
    <row r="2423" customFormat="false" ht="12.75" hidden="false" customHeight="true" outlineLevel="0" collapsed="false"/>
    <row r="2424" customFormat="false" ht="12.75" hidden="false" customHeight="true" outlineLevel="0" collapsed="false"/>
    <row r="2425" customFormat="false" ht="12.75" hidden="false" customHeight="true" outlineLevel="0" collapsed="false"/>
    <row r="2426" customFormat="false" ht="12.75" hidden="false" customHeight="true" outlineLevel="0" collapsed="false"/>
    <row r="2427" customFormat="false" ht="12.75" hidden="false" customHeight="true" outlineLevel="0" collapsed="false"/>
    <row r="2428" customFormat="false" ht="12.75" hidden="false" customHeight="true" outlineLevel="0" collapsed="false"/>
    <row r="2429" customFormat="false" ht="12.75" hidden="false" customHeight="true" outlineLevel="0" collapsed="false"/>
    <row r="2430" customFormat="false" ht="12.75" hidden="false" customHeight="true" outlineLevel="0" collapsed="false"/>
    <row r="2431" customFormat="false" ht="12.75" hidden="false" customHeight="true" outlineLevel="0" collapsed="false"/>
    <row r="2432" customFormat="false" ht="12.75" hidden="false" customHeight="true" outlineLevel="0" collapsed="false"/>
    <row r="2433" customFormat="false" ht="12.75" hidden="false" customHeight="true" outlineLevel="0" collapsed="false"/>
    <row r="2434" customFormat="false" ht="12.75" hidden="false" customHeight="true" outlineLevel="0" collapsed="false"/>
    <row r="2435" customFormat="false" ht="12.75" hidden="false" customHeight="true" outlineLevel="0" collapsed="false"/>
    <row r="2436" customFormat="false" ht="12.75" hidden="false" customHeight="true" outlineLevel="0" collapsed="false"/>
    <row r="2437" customFormat="false" ht="12.75" hidden="false" customHeight="true" outlineLevel="0" collapsed="false"/>
    <row r="2438" customFormat="false" ht="12.75" hidden="false" customHeight="true" outlineLevel="0" collapsed="false"/>
    <row r="2439" customFormat="false" ht="12.75" hidden="false" customHeight="true" outlineLevel="0" collapsed="false"/>
    <row r="2440" customFormat="false" ht="12.75" hidden="false" customHeight="true" outlineLevel="0" collapsed="false"/>
    <row r="2441" customFormat="false" ht="12.75" hidden="false" customHeight="true" outlineLevel="0" collapsed="false"/>
    <row r="2442" customFormat="false" ht="12.75" hidden="false" customHeight="true" outlineLevel="0" collapsed="false"/>
    <row r="2443" customFormat="false" ht="12.75" hidden="false" customHeight="true" outlineLevel="0" collapsed="false"/>
    <row r="2444" customFormat="false" ht="12.75" hidden="false" customHeight="true" outlineLevel="0" collapsed="false"/>
    <row r="2445" customFormat="false" ht="12.75" hidden="false" customHeight="true" outlineLevel="0" collapsed="false"/>
    <row r="2446" customFormat="false" ht="12.75" hidden="false" customHeight="true" outlineLevel="0" collapsed="false"/>
    <row r="2447" customFormat="false" ht="12.75" hidden="false" customHeight="true" outlineLevel="0" collapsed="false"/>
    <row r="2448" customFormat="false" ht="12.75" hidden="false" customHeight="true" outlineLevel="0" collapsed="false"/>
    <row r="2449" customFormat="false" ht="12.75" hidden="false" customHeight="true" outlineLevel="0" collapsed="false"/>
    <row r="2450" customFormat="false" ht="12.75" hidden="false" customHeight="true" outlineLevel="0" collapsed="false"/>
    <row r="2451" customFormat="false" ht="12.75" hidden="false" customHeight="true" outlineLevel="0" collapsed="false"/>
    <row r="2452" customFormat="false" ht="12.75" hidden="false" customHeight="true" outlineLevel="0" collapsed="false"/>
    <row r="2453" customFormat="false" ht="12.75" hidden="false" customHeight="true" outlineLevel="0" collapsed="false"/>
    <row r="2454" customFormat="false" ht="12.75" hidden="false" customHeight="true" outlineLevel="0" collapsed="false"/>
    <row r="2455" customFormat="false" ht="12.75" hidden="false" customHeight="true" outlineLevel="0" collapsed="false"/>
    <row r="2456" customFormat="false" ht="12.75" hidden="false" customHeight="true" outlineLevel="0" collapsed="false"/>
    <row r="2457" customFormat="false" ht="12.75" hidden="false" customHeight="true" outlineLevel="0" collapsed="false"/>
    <row r="2458" customFormat="false" ht="12.75" hidden="false" customHeight="true" outlineLevel="0" collapsed="false"/>
    <row r="2459" customFormat="false" ht="12.75" hidden="false" customHeight="true" outlineLevel="0" collapsed="false"/>
    <row r="2460" customFormat="false" ht="12.75" hidden="false" customHeight="true" outlineLevel="0" collapsed="false"/>
    <row r="2461" customFormat="false" ht="12.75" hidden="false" customHeight="true" outlineLevel="0" collapsed="false"/>
    <row r="2462" customFormat="false" ht="12.75" hidden="false" customHeight="true" outlineLevel="0" collapsed="false"/>
    <row r="2463" customFormat="false" ht="12.75" hidden="false" customHeight="true" outlineLevel="0" collapsed="false"/>
    <row r="2464" customFormat="false" ht="12.75" hidden="false" customHeight="true" outlineLevel="0" collapsed="false"/>
    <row r="2465" customFormat="false" ht="12.75" hidden="false" customHeight="true" outlineLevel="0" collapsed="false"/>
    <row r="2466" customFormat="false" ht="12.75" hidden="false" customHeight="true" outlineLevel="0" collapsed="false"/>
    <row r="2467" customFormat="false" ht="12.75" hidden="false" customHeight="true" outlineLevel="0" collapsed="false"/>
    <row r="2468" customFormat="false" ht="12.75" hidden="false" customHeight="true" outlineLevel="0" collapsed="false"/>
    <row r="2469" customFormat="false" ht="12.75" hidden="false" customHeight="true" outlineLevel="0" collapsed="false"/>
    <row r="2470" customFormat="false" ht="12.75" hidden="false" customHeight="true" outlineLevel="0" collapsed="false"/>
    <row r="2471" customFormat="false" ht="12.75" hidden="false" customHeight="true" outlineLevel="0" collapsed="false"/>
    <row r="2472" customFormat="false" ht="12.75" hidden="false" customHeight="true" outlineLevel="0" collapsed="false"/>
    <row r="2473" customFormat="false" ht="12.75" hidden="false" customHeight="true" outlineLevel="0" collapsed="false"/>
    <row r="2474" customFormat="false" ht="12.75" hidden="false" customHeight="true" outlineLevel="0" collapsed="false"/>
    <row r="2475" customFormat="false" ht="12.75" hidden="false" customHeight="true" outlineLevel="0" collapsed="false"/>
    <row r="2476" customFormat="false" ht="12.75" hidden="false" customHeight="true" outlineLevel="0" collapsed="false"/>
    <row r="2477" customFormat="false" ht="12.75" hidden="false" customHeight="true" outlineLevel="0" collapsed="false"/>
    <row r="2478" customFormat="false" ht="12.75" hidden="false" customHeight="true" outlineLevel="0" collapsed="false"/>
    <row r="2479" customFormat="false" ht="12.75" hidden="false" customHeight="true" outlineLevel="0" collapsed="false"/>
    <row r="2480" customFormat="false" ht="12.75" hidden="false" customHeight="true" outlineLevel="0" collapsed="false"/>
    <row r="2481" customFormat="false" ht="12.75" hidden="false" customHeight="true" outlineLevel="0" collapsed="false"/>
    <row r="2482" customFormat="false" ht="12.75" hidden="false" customHeight="true" outlineLevel="0" collapsed="false"/>
    <row r="2483" customFormat="false" ht="12.75" hidden="false" customHeight="true" outlineLevel="0" collapsed="false"/>
    <row r="2484" customFormat="false" ht="12.75" hidden="false" customHeight="true" outlineLevel="0" collapsed="false"/>
    <row r="2485" customFormat="false" ht="12.75" hidden="false" customHeight="true" outlineLevel="0" collapsed="false"/>
    <row r="2486" customFormat="false" ht="12.75" hidden="false" customHeight="true" outlineLevel="0" collapsed="false"/>
    <row r="2487" customFormat="false" ht="12.75" hidden="false" customHeight="true" outlineLevel="0" collapsed="false"/>
    <row r="2488" customFormat="false" ht="12.75" hidden="false" customHeight="true" outlineLevel="0" collapsed="false"/>
    <row r="2489" customFormat="false" ht="12.75" hidden="false" customHeight="true" outlineLevel="0" collapsed="false"/>
    <row r="2490" customFormat="false" ht="12.75" hidden="false" customHeight="true" outlineLevel="0" collapsed="false"/>
    <row r="2491" customFormat="false" ht="12.75" hidden="false" customHeight="true" outlineLevel="0" collapsed="false"/>
    <row r="2492" customFormat="false" ht="12.75" hidden="false" customHeight="true" outlineLevel="0" collapsed="false"/>
    <row r="2493" customFormat="false" ht="12.75" hidden="false" customHeight="true" outlineLevel="0" collapsed="false"/>
    <row r="2494" customFormat="false" ht="12.75" hidden="false" customHeight="true" outlineLevel="0" collapsed="false"/>
    <row r="2495" customFormat="false" ht="12.75" hidden="false" customHeight="true" outlineLevel="0" collapsed="false"/>
    <row r="2496" customFormat="false" ht="12.75" hidden="false" customHeight="true" outlineLevel="0" collapsed="false"/>
    <row r="2497" customFormat="false" ht="12.75" hidden="false" customHeight="true" outlineLevel="0" collapsed="false"/>
    <row r="2498" customFormat="false" ht="12.75" hidden="false" customHeight="true" outlineLevel="0" collapsed="false"/>
    <row r="2499" customFormat="false" ht="12.75" hidden="false" customHeight="true" outlineLevel="0" collapsed="false"/>
    <row r="2500" customFormat="false" ht="12.75" hidden="false" customHeight="true" outlineLevel="0" collapsed="false"/>
    <row r="2501" customFormat="false" ht="12.75" hidden="false" customHeight="true" outlineLevel="0" collapsed="false"/>
    <row r="2502" customFormat="false" ht="12.75" hidden="false" customHeight="true" outlineLevel="0" collapsed="false"/>
    <row r="2503" customFormat="false" ht="12.75" hidden="false" customHeight="true" outlineLevel="0" collapsed="false"/>
    <row r="2504" customFormat="false" ht="12.75" hidden="false" customHeight="true" outlineLevel="0" collapsed="false"/>
    <row r="2505" customFormat="false" ht="12.75" hidden="false" customHeight="true" outlineLevel="0" collapsed="false"/>
    <row r="2506" customFormat="false" ht="12.75" hidden="false" customHeight="true" outlineLevel="0" collapsed="false"/>
    <row r="2507" customFormat="false" ht="12.75" hidden="false" customHeight="true" outlineLevel="0" collapsed="false"/>
    <row r="2508" customFormat="false" ht="12.75" hidden="false" customHeight="true" outlineLevel="0" collapsed="false"/>
    <row r="2509" customFormat="false" ht="12.75" hidden="false" customHeight="true" outlineLevel="0" collapsed="false"/>
    <row r="2510" customFormat="false" ht="12.75" hidden="false" customHeight="true" outlineLevel="0" collapsed="false"/>
    <row r="2511" customFormat="false" ht="12.75" hidden="false" customHeight="true" outlineLevel="0" collapsed="false"/>
    <row r="2512" customFormat="false" ht="12.75" hidden="false" customHeight="true" outlineLevel="0" collapsed="false"/>
    <row r="2513" customFormat="false" ht="12.75" hidden="false" customHeight="true" outlineLevel="0" collapsed="false"/>
    <row r="2514" customFormat="false" ht="12.75" hidden="false" customHeight="true" outlineLevel="0" collapsed="false"/>
    <row r="2515" customFormat="false" ht="12.75" hidden="false" customHeight="true" outlineLevel="0" collapsed="false"/>
    <row r="2516" customFormat="false" ht="12.75" hidden="false" customHeight="true" outlineLevel="0" collapsed="false"/>
    <row r="2517" customFormat="false" ht="12.75" hidden="false" customHeight="true" outlineLevel="0" collapsed="false"/>
    <row r="2518" customFormat="false" ht="12.75" hidden="false" customHeight="true" outlineLevel="0" collapsed="false"/>
    <row r="2519" customFormat="false" ht="12.75" hidden="false" customHeight="true" outlineLevel="0" collapsed="false"/>
    <row r="2520" customFormat="false" ht="12.75" hidden="false" customHeight="true" outlineLevel="0" collapsed="false"/>
    <row r="2521" customFormat="false" ht="12.75" hidden="false" customHeight="true" outlineLevel="0" collapsed="false"/>
    <row r="2522" customFormat="false" ht="12.75" hidden="false" customHeight="true" outlineLevel="0" collapsed="false"/>
    <row r="2523" customFormat="false" ht="12.75" hidden="false" customHeight="true" outlineLevel="0" collapsed="false"/>
    <row r="2524" customFormat="false" ht="12.75" hidden="false" customHeight="true" outlineLevel="0" collapsed="false"/>
    <row r="2525" customFormat="false" ht="12.75" hidden="false" customHeight="true" outlineLevel="0" collapsed="false"/>
    <row r="2526" customFormat="false" ht="12.75" hidden="false" customHeight="true" outlineLevel="0" collapsed="false"/>
    <row r="2527" customFormat="false" ht="12.75" hidden="false" customHeight="true" outlineLevel="0" collapsed="false"/>
    <row r="2528" customFormat="false" ht="12.75" hidden="false" customHeight="true" outlineLevel="0" collapsed="false"/>
    <row r="2529" customFormat="false" ht="12.75" hidden="false" customHeight="true" outlineLevel="0" collapsed="false"/>
    <row r="2530" customFormat="false" ht="12.75" hidden="false" customHeight="true" outlineLevel="0" collapsed="false"/>
    <row r="2531" customFormat="false" ht="12.75" hidden="false" customHeight="true" outlineLevel="0" collapsed="false"/>
    <row r="2532" customFormat="false" ht="12.75" hidden="false" customHeight="true" outlineLevel="0" collapsed="false"/>
    <row r="2533" customFormat="false" ht="12.75" hidden="false" customHeight="true" outlineLevel="0" collapsed="false"/>
    <row r="2534" customFormat="false" ht="12.75" hidden="false" customHeight="true" outlineLevel="0" collapsed="false"/>
    <row r="2535" customFormat="false" ht="12.75" hidden="false" customHeight="true" outlineLevel="0" collapsed="false"/>
    <row r="2536" customFormat="false" ht="12.75" hidden="false" customHeight="true" outlineLevel="0" collapsed="false"/>
    <row r="2537" customFormat="false" ht="12.75" hidden="false" customHeight="true" outlineLevel="0" collapsed="false"/>
    <row r="2538" customFormat="false" ht="12.75" hidden="false" customHeight="true" outlineLevel="0" collapsed="false"/>
    <row r="2539" customFormat="false" ht="12.75" hidden="false" customHeight="true" outlineLevel="0" collapsed="false"/>
    <row r="2540" customFormat="false" ht="12.75" hidden="false" customHeight="true" outlineLevel="0" collapsed="false"/>
    <row r="2541" customFormat="false" ht="12.75" hidden="false" customHeight="true" outlineLevel="0" collapsed="false"/>
    <row r="2542" customFormat="false" ht="12.75" hidden="false" customHeight="true" outlineLevel="0" collapsed="false"/>
    <row r="2543" customFormat="false" ht="12.75" hidden="false" customHeight="true" outlineLevel="0" collapsed="false"/>
    <row r="2544" customFormat="false" ht="12.75" hidden="false" customHeight="true" outlineLevel="0" collapsed="false"/>
    <row r="2545" customFormat="false" ht="12.75" hidden="false" customHeight="true" outlineLevel="0" collapsed="false"/>
    <row r="2546" customFormat="false" ht="12.75" hidden="false" customHeight="true" outlineLevel="0" collapsed="false"/>
    <row r="2547" customFormat="false" ht="12.75" hidden="false" customHeight="true" outlineLevel="0" collapsed="false"/>
    <row r="2548" customFormat="false" ht="12.75" hidden="false" customHeight="true" outlineLevel="0" collapsed="false"/>
    <row r="2549" customFormat="false" ht="12.75" hidden="false" customHeight="true" outlineLevel="0" collapsed="false"/>
    <row r="2550" customFormat="false" ht="12.75" hidden="false" customHeight="true" outlineLevel="0" collapsed="false"/>
    <row r="2551" customFormat="false" ht="12.75" hidden="false" customHeight="true" outlineLevel="0" collapsed="false"/>
    <row r="2552" customFormat="false" ht="12.75" hidden="false" customHeight="true" outlineLevel="0" collapsed="false"/>
    <row r="2553" customFormat="false" ht="12.75" hidden="false" customHeight="true" outlineLevel="0" collapsed="false"/>
    <row r="2554" customFormat="false" ht="12.75" hidden="false" customHeight="true" outlineLevel="0" collapsed="false"/>
    <row r="2555" customFormat="false" ht="12.75" hidden="false" customHeight="true" outlineLevel="0" collapsed="false"/>
    <row r="2556" customFormat="false" ht="12.75" hidden="false" customHeight="true" outlineLevel="0" collapsed="false"/>
    <row r="2557" customFormat="false" ht="12.75" hidden="false" customHeight="true" outlineLevel="0" collapsed="false"/>
    <row r="2558" customFormat="false" ht="12.75" hidden="false" customHeight="true" outlineLevel="0" collapsed="false"/>
    <row r="2559" customFormat="false" ht="12.75" hidden="false" customHeight="true" outlineLevel="0" collapsed="false"/>
    <row r="2560" customFormat="false" ht="12.75" hidden="false" customHeight="true" outlineLevel="0" collapsed="false"/>
    <row r="2561" customFormat="false" ht="12.75" hidden="false" customHeight="true" outlineLevel="0" collapsed="false"/>
    <row r="2562" customFormat="false" ht="12.75" hidden="false" customHeight="true" outlineLevel="0" collapsed="false"/>
    <row r="2563" customFormat="false" ht="12.75" hidden="false" customHeight="true" outlineLevel="0" collapsed="false"/>
    <row r="2564" customFormat="false" ht="12.75" hidden="false" customHeight="true" outlineLevel="0" collapsed="false"/>
    <row r="2565" customFormat="false" ht="12.75" hidden="false" customHeight="true" outlineLevel="0" collapsed="false"/>
    <row r="2566" customFormat="false" ht="12.75" hidden="false" customHeight="true" outlineLevel="0" collapsed="false"/>
    <row r="2567" customFormat="false" ht="12.75" hidden="false" customHeight="true" outlineLevel="0" collapsed="false"/>
    <row r="2568" customFormat="false" ht="12.75" hidden="false" customHeight="true" outlineLevel="0" collapsed="false"/>
    <row r="2569" customFormat="false" ht="12.75" hidden="false" customHeight="true" outlineLevel="0" collapsed="false"/>
    <row r="2570" customFormat="false" ht="12.75" hidden="false" customHeight="true" outlineLevel="0" collapsed="false"/>
    <row r="2571" customFormat="false" ht="12.75" hidden="false" customHeight="true" outlineLevel="0" collapsed="false"/>
    <row r="2572" customFormat="false" ht="12.75" hidden="false" customHeight="true" outlineLevel="0" collapsed="false"/>
    <row r="2573" customFormat="false" ht="12.75" hidden="false" customHeight="true" outlineLevel="0" collapsed="false"/>
    <row r="2574" customFormat="false" ht="12.75" hidden="false" customHeight="true" outlineLevel="0" collapsed="false"/>
    <row r="2575" customFormat="false" ht="12.75" hidden="false" customHeight="true" outlineLevel="0" collapsed="false"/>
    <row r="2576" customFormat="false" ht="12.75" hidden="false" customHeight="true" outlineLevel="0" collapsed="false"/>
    <row r="2577" customFormat="false" ht="12.75" hidden="false" customHeight="true" outlineLevel="0" collapsed="false"/>
    <row r="2578" customFormat="false" ht="12.75" hidden="false" customHeight="true" outlineLevel="0" collapsed="false"/>
    <row r="2579" customFormat="false" ht="12.75" hidden="false" customHeight="true" outlineLevel="0" collapsed="false"/>
    <row r="2580" customFormat="false" ht="12.75" hidden="false" customHeight="true" outlineLevel="0" collapsed="false"/>
    <row r="2581" customFormat="false" ht="12.75" hidden="false" customHeight="true" outlineLevel="0" collapsed="false"/>
    <row r="2582" customFormat="false" ht="12.75" hidden="false" customHeight="true" outlineLevel="0" collapsed="false"/>
    <row r="2583" customFormat="false" ht="12.75" hidden="false" customHeight="true" outlineLevel="0" collapsed="false"/>
    <row r="2584" customFormat="false" ht="12.75" hidden="false" customHeight="true" outlineLevel="0" collapsed="false"/>
    <row r="2585" customFormat="false" ht="12.75" hidden="false" customHeight="true" outlineLevel="0" collapsed="false"/>
    <row r="2586" customFormat="false" ht="12.75" hidden="false" customHeight="true" outlineLevel="0" collapsed="false"/>
    <row r="2587" customFormat="false" ht="12.75" hidden="false" customHeight="true" outlineLevel="0" collapsed="false"/>
    <row r="2588" customFormat="false" ht="12.75" hidden="false" customHeight="true" outlineLevel="0" collapsed="false"/>
    <row r="2589" customFormat="false" ht="12.75" hidden="false" customHeight="true" outlineLevel="0" collapsed="false"/>
    <row r="2590" customFormat="false" ht="12.75" hidden="false" customHeight="true" outlineLevel="0" collapsed="false"/>
    <row r="2591" customFormat="false" ht="12.75" hidden="false" customHeight="true" outlineLevel="0" collapsed="false"/>
    <row r="2592" customFormat="false" ht="12.75" hidden="false" customHeight="true" outlineLevel="0" collapsed="false"/>
    <row r="2593" customFormat="false" ht="12.75" hidden="false" customHeight="true" outlineLevel="0" collapsed="false"/>
    <row r="2594" customFormat="false" ht="12.75" hidden="false" customHeight="true" outlineLevel="0" collapsed="false"/>
    <row r="2595" customFormat="false" ht="12.75" hidden="false" customHeight="true" outlineLevel="0" collapsed="false"/>
    <row r="2596" customFormat="false" ht="12.75" hidden="false" customHeight="true" outlineLevel="0" collapsed="false"/>
    <row r="2597" customFormat="false" ht="12.75" hidden="false" customHeight="true" outlineLevel="0" collapsed="false"/>
    <row r="2598" customFormat="false" ht="12.75" hidden="false" customHeight="true" outlineLevel="0" collapsed="false"/>
    <row r="2599" customFormat="false" ht="12.75" hidden="false" customHeight="true" outlineLevel="0" collapsed="false"/>
    <row r="2600" customFormat="false" ht="12.75" hidden="false" customHeight="true" outlineLevel="0" collapsed="false"/>
    <row r="2601" customFormat="false" ht="12.75" hidden="false" customHeight="true" outlineLevel="0" collapsed="false"/>
    <row r="2602" customFormat="false" ht="12.75" hidden="false" customHeight="true" outlineLevel="0" collapsed="false"/>
    <row r="2603" customFormat="false" ht="12.75" hidden="false" customHeight="true" outlineLevel="0" collapsed="false"/>
    <row r="2604" customFormat="false" ht="12.75" hidden="false" customHeight="true" outlineLevel="0" collapsed="false"/>
    <row r="2605" customFormat="false" ht="12.75" hidden="false" customHeight="true" outlineLevel="0" collapsed="false"/>
    <row r="2606" customFormat="false" ht="12.75" hidden="false" customHeight="true" outlineLevel="0" collapsed="false"/>
    <row r="2607" customFormat="false" ht="12.75" hidden="false" customHeight="true" outlineLevel="0" collapsed="false"/>
    <row r="2608" customFormat="false" ht="12.75" hidden="false" customHeight="true" outlineLevel="0" collapsed="false"/>
    <row r="2609" customFormat="false" ht="12.75" hidden="false" customHeight="true" outlineLevel="0" collapsed="false"/>
    <row r="2610" customFormat="false" ht="12.75" hidden="false" customHeight="true" outlineLevel="0" collapsed="false"/>
    <row r="2611" customFormat="false" ht="12.75" hidden="false" customHeight="true" outlineLevel="0" collapsed="false"/>
    <row r="2612" customFormat="false" ht="12.75" hidden="false" customHeight="true" outlineLevel="0" collapsed="false"/>
    <row r="2613" customFormat="false" ht="12.75" hidden="false" customHeight="true" outlineLevel="0" collapsed="false"/>
    <row r="2614" customFormat="false" ht="12.75" hidden="false" customHeight="true" outlineLevel="0" collapsed="false"/>
    <row r="2615" customFormat="false" ht="12.75" hidden="false" customHeight="true" outlineLevel="0" collapsed="false"/>
    <row r="2616" customFormat="false" ht="12.75" hidden="false" customHeight="true" outlineLevel="0" collapsed="false"/>
    <row r="2617" customFormat="false" ht="12.75" hidden="false" customHeight="true" outlineLevel="0" collapsed="false"/>
    <row r="2618" customFormat="false" ht="12.75" hidden="false" customHeight="true" outlineLevel="0" collapsed="false"/>
    <row r="2619" customFormat="false" ht="12.75" hidden="false" customHeight="true" outlineLevel="0" collapsed="false"/>
    <row r="2620" customFormat="false" ht="12.75" hidden="false" customHeight="true" outlineLevel="0" collapsed="false"/>
    <row r="2621" customFormat="false" ht="12.75" hidden="false" customHeight="true" outlineLevel="0" collapsed="false"/>
    <row r="2622" customFormat="false" ht="12.75" hidden="false" customHeight="true" outlineLevel="0" collapsed="false"/>
    <row r="2623" customFormat="false" ht="12.75" hidden="false" customHeight="true" outlineLevel="0" collapsed="false"/>
    <row r="2624" customFormat="false" ht="12.75" hidden="false" customHeight="true" outlineLevel="0" collapsed="false"/>
    <row r="2625" customFormat="false" ht="12.75" hidden="false" customHeight="true" outlineLevel="0" collapsed="false"/>
    <row r="2626" customFormat="false" ht="12.75" hidden="false" customHeight="true" outlineLevel="0" collapsed="false"/>
    <row r="2627" customFormat="false" ht="12.75" hidden="false" customHeight="true" outlineLevel="0" collapsed="false"/>
    <row r="2628" customFormat="false" ht="12.75" hidden="false" customHeight="true" outlineLevel="0" collapsed="false"/>
    <row r="2629" customFormat="false" ht="12.75" hidden="false" customHeight="true" outlineLevel="0" collapsed="false"/>
    <row r="2630" customFormat="false" ht="12.75" hidden="false" customHeight="true" outlineLevel="0" collapsed="false"/>
    <row r="2631" customFormat="false" ht="12.75" hidden="false" customHeight="true" outlineLevel="0" collapsed="false"/>
    <row r="2632" customFormat="false" ht="12.75" hidden="false" customHeight="true" outlineLevel="0" collapsed="false"/>
    <row r="2633" customFormat="false" ht="12.75" hidden="false" customHeight="true" outlineLevel="0" collapsed="false"/>
    <row r="2634" customFormat="false" ht="12.75" hidden="false" customHeight="true" outlineLevel="0" collapsed="false"/>
    <row r="2635" customFormat="false" ht="12.75" hidden="false" customHeight="true" outlineLevel="0" collapsed="false"/>
    <row r="2636" customFormat="false" ht="12.75" hidden="false" customHeight="true" outlineLevel="0" collapsed="false"/>
    <row r="2637" customFormat="false" ht="12.75" hidden="false" customHeight="true" outlineLevel="0" collapsed="false"/>
    <row r="2638" customFormat="false" ht="12.75" hidden="false" customHeight="true" outlineLevel="0" collapsed="false"/>
    <row r="2639" customFormat="false" ht="12.75" hidden="false" customHeight="true" outlineLevel="0" collapsed="false"/>
    <row r="2640" customFormat="false" ht="12.75" hidden="false" customHeight="true" outlineLevel="0" collapsed="false"/>
    <row r="2641" customFormat="false" ht="12.75" hidden="false" customHeight="true" outlineLevel="0" collapsed="false"/>
    <row r="2642" customFormat="false" ht="12.75" hidden="false" customHeight="true" outlineLevel="0" collapsed="false"/>
    <row r="2643" customFormat="false" ht="12.75" hidden="false" customHeight="true" outlineLevel="0" collapsed="false"/>
    <row r="2644" customFormat="false" ht="12.75" hidden="false" customHeight="true" outlineLevel="0" collapsed="false"/>
    <row r="2645" customFormat="false" ht="12.75" hidden="false" customHeight="true" outlineLevel="0" collapsed="false"/>
    <row r="2646" customFormat="false" ht="12.75" hidden="false" customHeight="true" outlineLevel="0" collapsed="false"/>
    <row r="2647" customFormat="false" ht="12.75" hidden="false" customHeight="true" outlineLevel="0" collapsed="false"/>
    <row r="2648" customFormat="false" ht="12.75" hidden="false" customHeight="true" outlineLevel="0" collapsed="false"/>
    <row r="2649" customFormat="false" ht="12.75" hidden="false" customHeight="true" outlineLevel="0" collapsed="false"/>
    <row r="2650" customFormat="false" ht="12.75" hidden="false" customHeight="true" outlineLevel="0" collapsed="false"/>
    <row r="2651" customFormat="false" ht="12.75" hidden="false" customHeight="true" outlineLevel="0" collapsed="false"/>
    <row r="2652" customFormat="false" ht="12.75" hidden="false" customHeight="true" outlineLevel="0" collapsed="false"/>
    <row r="2653" customFormat="false" ht="12.75" hidden="false" customHeight="true" outlineLevel="0" collapsed="false"/>
    <row r="2654" customFormat="false" ht="12.75" hidden="false" customHeight="true" outlineLevel="0" collapsed="false"/>
    <row r="2655" customFormat="false" ht="12.75" hidden="false" customHeight="true" outlineLevel="0" collapsed="false"/>
    <row r="2656" customFormat="false" ht="12.75" hidden="false" customHeight="true" outlineLevel="0" collapsed="false"/>
    <row r="2657" customFormat="false" ht="12.75" hidden="false" customHeight="true" outlineLevel="0" collapsed="false"/>
    <row r="2658" customFormat="false" ht="12.75" hidden="false" customHeight="true" outlineLevel="0" collapsed="false"/>
    <row r="2659" customFormat="false" ht="12.75" hidden="false" customHeight="true" outlineLevel="0" collapsed="false"/>
    <row r="2660" customFormat="false" ht="12.75" hidden="false" customHeight="true" outlineLevel="0" collapsed="false"/>
    <row r="2661" customFormat="false" ht="12.75" hidden="false" customHeight="true" outlineLevel="0" collapsed="false"/>
    <row r="2662" customFormat="false" ht="12.75" hidden="false" customHeight="true" outlineLevel="0" collapsed="false"/>
    <row r="2663" customFormat="false" ht="12.75" hidden="false" customHeight="true" outlineLevel="0" collapsed="false"/>
    <row r="2664" customFormat="false" ht="12.75" hidden="false" customHeight="true" outlineLevel="0" collapsed="false"/>
    <row r="2665" customFormat="false" ht="12.75" hidden="false" customHeight="true" outlineLevel="0" collapsed="false"/>
    <row r="2666" customFormat="false" ht="12.75" hidden="false" customHeight="true" outlineLevel="0" collapsed="false"/>
    <row r="2667" customFormat="false" ht="12.75" hidden="false" customHeight="true" outlineLevel="0" collapsed="false"/>
    <row r="2668" customFormat="false" ht="12.75" hidden="false" customHeight="true" outlineLevel="0" collapsed="false"/>
    <row r="2669" customFormat="false" ht="12.75" hidden="false" customHeight="true" outlineLevel="0" collapsed="false"/>
    <row r="2670" customFormat="false" ht="12.75" hidden="false" customHeight="true" outlineLevel="0" collapsed="false"/>
    <row r="2671" customFormat="false" ht="12.75" hidden="false" customHeight="true" outlineLevel="0" collapsed="false"/>
    <row r="2672" customFormat="false" ht="12.75" hidden="false" customHeight="true" outlineLevel="0" collapsed="false"/>
    <row r="2673" customFormat="false" ht="12.75" hidden="false" customHeight="true" outlineLevel="0" collapsed="false"/>
    <row r="2674" customFormat="false" ht="12.75" hidden="false" customHeight="true" outlineLevel="0" collapsed="false"/>
    <row r="2675" customFormat="false" ht="12.75" hidden="false" customHeight="true" outlineLevel="0" collapsed="false"/>
    <row r="2676" customFormat="false" ht="12.75" hidden="false" customHeight="true" outlineLevel="0" collapsed="false"/>
    <row r="2677" customFormat="false" ht="12.75" hidden="false" customHeight="true" outlineLevel="0" collapsed="false"/>
    <row r="2678" customFormat="false" ht="12.75" hidden="false" customHeight="true" outlineLevel="0" collapsed="false"/>
    <row r="2679" customFormat="false" ht="12.75" hidden="false" customHeight="true" outlineLevel="0" collapsed="false"/>
    <row r="2680" customFormat="false" ht="12.75" hidden="false" customHeight="true" outlineLevel="0" collapsed="false"/>
    <row r="2681" customFormat="false" ht="12.75" hidden="false" customHeight="true" outlineLevel="0" collapsed="false"/>
    <row r="2682" customFormat="false" ht="12.75" hidden="false" customHeight="true" outlineLevel="0" collapsed="false"/>
    <row r="2683" customFormat="false" ht="12.75" hidden="false" customHeight="true" outlineLevel="0" collapsed="false"/>
    <row r="2684" customFormat="false" ht="12.75" hidden="false" customHeight="true" outlineLevel="0" collapsed="false"/>
    <row r="2685" customFormat="false" ht="12.75" hidden="false" customHeight="true" outlineLevel="0" collapsed="false"/>
    <row r="2686" customFormat="false" ht="12.75" hidden="false" customHeight="true" outlineLevel="0" collapsed="false"/>
    <row r="2687" customFormat="false" ht="12.75" hidden="false" customHeight="true" outlineLevel="0" collapsed="false"/>
    <row r="2688" customFormat="false" ht="12.75" hidden="false" customHeight="true" outlineLevel="0" collapsed="false"/>
    <row r="2689" customFormat="false" ht="12.75" hidden="false" customHeight="true" outlineLevel="0" collapsed="false"/>
    <row r="2690" customFormat="false" ht="12.75" hidden="false" customHeight="true" outlineLevel="0" collapsed="false"/>
    <row r="2691" customFormat="false" ht="12.75" hidden="false" customHeight="true" outlineLevel="0" collapsed="false"/>
    <row r="2692" customFormat="false" ht="12.75" hidden="false" customHeight="true" outlineLevel="0" collapsed="false"/>
    <row r="2693" customFormat="false" ht="12.75" hidden="false" customHeight="true" outlineLevel="0" collapsed="false"/>
    <row r="2694" customFormat="false" ht="12.75" hidden="false" customHeight="true" outlineLevel="0" collapsed="false"/>
    <row r="2695" customFormat="false" ht="12.75" hidden="false" customHeight="true" outlineLevel="0" collapsed="false"/>
    <row r="2696" customFormat="false" ht="12.75" hidden="false" customHeight="true" outlineLevel="0" collapsed="false"/>
    <row r="2697" customFormat="false" ht="12.75" hidden="false" customHeight="true" outlineLevel="0" collapsed="false"/>
    <row r="2698" customFormat="false" ht="12.75" hidden="false" customHeight="true" outlineLevel="0" collapsed="false"/>
    <row r="2699" customFormat="false" ht="12.75" hidden="false" customHeight="true" outlineLevel="0" collapsed="false"/>
    <row r="2700" customFormat="false" ht="12.75" hidden="false" customHeight="true" outlineLevel="0" collapsed="false"/>
    <row r="2701" customFormat="false" ht="12.75" hidden="false" customHeight="true" outlineLevel="0" collapsed="false"/>
    <row r="2702" customFormat="false" ht="12.75" hidden="false" customHeight="true" outlineLevel="0" collapsed="false"/>
    <row r="2703" customFormat="false" ht="12.75" hidden="false" customHeight="true" outlineLevel="0" collapsed="false"/>
    <row r="2704" customFormat="false" ht="12.75" hidden="false" customHeight="true" outlineLevel="0" collapsed="false"/>
    <row r="2705" customFormat="false" ht="12.75" hidden="false" customHeight="true" outlineLevel="0" collapsed="false"/>
    <row r="2706" customFormat="false" ht="12.75" hidden="false" customHeight="true" outlineLevel="0" collapsed="false"/>
    <row r="2707" customFormat="false" ht="12.75" hidden="false" customHeight="true" outlineLevel="0" collapsed="false"/>
    <row r="2708" customFormat="false" ht="12.75" hidden="false" customHeight="true" outlineLevel="0" collapsed="false"/>
    <row r="2709" customFormat="false" ht="12.75" hidden="false" customHeight="true" outlineLevel="0" collapsed="false"/>
    <row r="2710" customFormat="false" ht="12.75" hidden="false" customHeight="true" outlineLevel="0" collapsed="false"/>
    <row r="2711" customFormat="false" ht="12.75" hidden="false" customHeight="true" outlineLevel="0" collapsed="false"/>
    <row r="2712" customFormat="false" ht="12.75" hidden="false" customHeight="true" outlineLevel="0" collapsed="false"/>
    <row r="2713" customFormat="false" ht="12.75" hidden="false" customHeight="true" outlineLevel="0" collapsed="false"/>
    <row r="2714" customFormat="false" ht="12.75" hidden="false" customHeight="true" outlineLevel="0" collapsed="false"/>
    <row r="2715" customFormat="false" ht="12.75" hidden="false" customHeight="true" outlineLevel="0" collapsed="false"/>
    <row r="2716" customFormat="false" ht="12.75" hidden="false" customHeight="true" outlineLevel="0" collapsed="false"/>
    <row r="2717" customFormat="false" ht="12.75" hidden="false" customHeight="true" outlineLevel="0" collapsed="false"/>
    <row r="2718" customFormat="false" ht="12.75" hidden="false" customHeight="true" outlineLevel="0" collapsed="false"/>
    <row r="2719" customFormat="false" ht="12.75" hidden="false" customHeight="true" outlineLevel="0" collapsed="false"/>
    <row r="2720" customFormat="false" ht="12.75" hidden="false" customHeight="true" outlineLevel="0" collapsed="false"/>
    <row r="2721" customFormat="false" ht="12.75" hidden="false" customHeight="true" outlineLevel="0" collapsed="false"/>
    <row r="2722" customFormat="false" ht="12.75" hidden="false" customHeight="true" outlineLevel="0" collapsed="false"/>
    <row r="2723" customFormat="false" ht="12.75" hidden="false" customHeight="true" outlineLevel="0" collapsed="false"/>
    <row r="2724" customFormat="false" ht="12.75" hidden="false" customHeight="true" outlineLevel="0" collapsed="false"/>
    <row r="2725" customFormat="false" ht="12.75" hidden="false" customHeight="true" outlineLevel="0" collapsed="false"/>
    <row r="2726" customFormat="false" ht="12.75" hidden="false" customHeight="true" outlineLevel="0" collapsed="false"/>
    <row r="2727" customFormat="false" ht="12.75" hidden="false" customHeight="true" outlineLevel="0" collapsed="false"/>
    <row r="2728" customFormat="false" ht="12.75" hidden="false" customHeight="true" outlineLevel="0" collapsed="false"/>
    <row r="2729" customFormat="false" ht="12.75" hidden="false" customHeight="true" outlineLevel="0" collapsed="false"/>
    <row r="2730" customFormat="false" ht="12.75" hidden="false" customHeight="true" outlineLevel="0" collapsed="false"/>
    <row r="2731" customFormat="false" ht="12.75" hidden="false" customHeight="true" outlineLevel="0" collapsed="false"/>
    <row r="2732" customFormat="false" ht="12.75" hidden="false" customHeight="true" outlineLevel="0" collapsed="false"/>
    <row r="2733" customFormat="false" ht="12.75" hidden="false" customHeight="true" outlineLevel="0" collapsed="false"/>
    <row r="2734" customFormat="false" ht="12.75" hidden="false" customHeight="true" outlineLevel="0" collapsed="false"/>
    <row r="2735" customFormat="false" ht="12.75" hidden="false" customHeight="true" outlineLevel="0" collapsed="false"/>
    <row r="2736" customFormat="false" ht="12.75" hidden="false" customHeight="true" outlineLevel="0" collapsed="false"/>
    <row r="2737" customFormat="false" ht="12.75" hidden="false" customHeight="true" outlineLevel="0" collapsed="false"/>
    <row r="2738" customFormat="false" ht="12.75" hidden="false" customHeight="true" outlineLevel="0" collapsed="false"/>
    <row r="2739" customFormat="false" ht="12.75" hidden="false" customHeight="true" outlineLevel="0" collapsed="false"/>
    <row r="2740" customFormat="false" ht="12.75" hidden="false" customHeight="true" outlineLevel="0" collapsed="false"/>
    <row r="2741" customFormat="false" ht="12.75" hidden="false" customHeight="true" outlineLevel="0" collapsed="false"/>
    <row r="2742" customFormat="false" ht="12.75" hidden="false" customHeight="true" outlineLevel="0" collapsed="false"/>
    <row r="2743" customFormat="false" ht="12.75" hidden="false" customHeight="true" outlineLevel="0" collapsed="false"/>
    <row r="2744" customFormat="false" ht="12.75" hidden="false" customHeight="true" outlineLevel="0" collapsed="false"/>
    <row r="2745" customFormat="false" ht="12.75" hidden="false" customHeight="true" outlineLevel="0" collapsed="false"/>
    <row r="2746" customFormat="false" ht="12.75" hidden="false" customHeight="true" outlineLevel="0" collapsed="false"/>
    <row r="2747" customFormat="false" ht="12.75" hidden="false" customHeight="true" outlineLevel="0" collapsed="false"/>
    <row r="2748" customFormat="false" ht="12.75" hidden="false" customHeight="true" outlineLevel="0" collapsed="false"/>
    <row r="2749" customFormat="false" ht="12.75" hidden="false" customHeight="true" outlineLevel="0" collapsed="false"/>
    <row r="2750" customFormat="false" ht="12.75" hidden="false" customHeight="true" outlineLevel="0" collapsed="false"/>
    <row r="2751" customFormat="false" ht="12.75" hidden="false" customHeight="true" outlineLevel="0" collapsed="false"/>
    <row r="2752" customFormat="false" ht="12.75" hidden="false" customHeight="true" outlineLevel="0" collapsed="false"/>
    <row r="2753" customFormat="false" ht="12.75" hidden="false" customHeight="true" outlineLevel="0" collapsed="false"/>
    <row r="2754" customFormat="false" ht="12.75" hidden="false" customHeight="true" outlineLevel="0" collapsed="false"/>
    <row r="2755" customFormat="false" ht="12.75" hidden="false" customHeight="true" outlineLevel="0" collapsed="false"/>
    <row r="2756" customFormat="false" ht="12.75" hidden="false" customHeight="true" outlineLevel="0" collapsed="false"/>
    <row r="2757" customFormat="false" ht="12.75" hidden="false" customHeight="true" outlineLevel="0" collapsed="false"/>
    <row r="2758" customFormat="false" ht="12.75" hidden="false" customHeight="true" outlineLevel="0" collapsed="false"/>
    <row r="2759" customFormat="false" ht="12.75" hidden="false" customHeight="true" outlineLevel="0" collapsed="false"/>
    <row r="2760" customFormat="false" ht="12.75" hidden="false" customHeight="true" outlineLevel="0" collapsed="false"/>
    <row r="2761" customFormat="false" ht="12.75" hidden="false" customHeight="true" outlineLevel="0" collapsed="false"/>
    <row r="2762" customFormat="false" ht="12.75" hidden="false" customHeight="true" outlineLevel="0" collapsed="false"/>
    <row r="2763" customFormat="false" ht="12.75" hidden="false" customHeight="true" outlineLevel="0" collapsed="false"/>
    <row r="2764" customFormat="false" ht="12.75" hidden="false" customHeight="true" outlineLevel="0" collapsed="false"/>
    <row r="2765" customFormat="false" ht="12.75" hidden="false" customHeight="true" outlineLevel="0" collapsed="false"/>
    <row r="2766" customFormat="false" ht="12.75" hidden="false" customHeight="true" outlineLevel="0" collapsed="false"/>
    <row r="2767" customFormat="false" ht="12.75" hidden="false" customHeight="true" outlineLevel="0" collapsed="false"/>
    <row r="2768" customFormat="false" ht="12.75" hidden="false" customHeight="true" outlineLevel="0" collapsed="false"/>
    <row r="2769" customFormat="false" ht="12.75" hidden="false" customHeight="true" outlineLevel="0" collapsed="false"/>
    <row r="2770" customFormat="false" ht="12.75" hidden="false" customHeight="true" outlineLevel="0" collapsed="false"/>
    <row r="2771" customFormat="false" ht="12.75" hidden="false" customHeight="true" outlineLevel="0" collapsed="false"/>
    <row r="2772" customFormat="false" ht="12.75" hidden="false" customHeight="true" outlineLevel="0" collapsed="false"/>
    <row r="2773" customFormat="false" ht="12.75" hidden="false" customHeight="true" outlineLevel="0" collapsed="false"/>
    <row r="2774" customFormat="false" ht="12.75" hidden="false" customHeight="true" outlineLevel="0" collapsed="false"/>
    <row r="2775" customFormat="false" ht="12.75" hidden="false" customHeight="true" outlineLevel="0" collapsed="false"/>
    <row r="2776" customFormat="false" ht="12.75" hidden="false" customHeight="true" outlineLevel="0" collapsed="false"/>
    <row r="2777" customFormat="false" ht="12.75" hidden="false" customHeight="true" outlineLevel="0" collapsed="false"/>
    <row r="2778" customFormat="false" ht="12.75" hidden="false" customHeight="true" outlineLevel="0" collapsed="false"/>
    <row r="2779" customFormat="false" ht="12.75" hidden="false" customHeight="true" outlineLevel="0" collapsed="false"/>
    <row r="2780" customFormat="false" ht="12.75" hidden="false" customHeight="true" outlineLevel="0" collapsed="false"/>
    <row r="2781" customFormat="false" ht="12.75" hidden="false" customHeight="true" outlineLevel="0" collapsed="false"/>
    <row r="2782" customFormat="false" ht="12.75" hidden="false" customHeight="true" outlineLevel="0" collapsed="false"/>
    <row r="2783" customFormat="false" ht="12.75" hidden="false" customHeight="true" outlineLevel="0" collapsed="false"/>
    <row r="2784" customFormat="false" ht="12.75" hidden="false" customHeight="true" outlineLevel="0" collapsed="false"/>
    <row r="2785" customFormat="false" ht="12.75" hidden="false" customHeight="true" outlineLevel="0" collapsed="false"/>
    <row r="2786" customFormat="false" ht="12.75" hidden="false" customHeight="true" outlineLevel="0" collapsed="false"/>
    <row r="2787" customFormat="false" ht="12.75" hidden="false" customHeight="true" outlineLevel="0" collapsed="false"/>
    <row r="2788" customFormat="false" ht="12.75" hidden="false" customHeight="true" outlineLevel="0" collapsed="false"/>
    <row r="2789" customFormat="false" ht="12.75" hidden="false" customHeight="true" outlineLevel="0" collapsed="false"/>
    <row r="2790" customFormat="false" ht="12.75" hidden="false" customHeight="true" outlineLevel="0" collapsed="false"/>
    <row r="2791" customFormat="false" ht="12.75" hidden="false" customHeight="true" outlineLevel="0" collapsed="false"/>
    <row r="2792" customFormat="false" ht="12.75" hidden="false" customHeight="true" outlineLevel="0" collapsed="false"/>
    <row r="2793" customFormat="false" ht="12.75" hidden="false" customHeight="true" outlineLevel="0" collapsed="false"/>
    <row r="2794" customFormat="false" ht="12.75" hidden="false" customHeight="true" outlineLevel="0" collapsed="false"/>
    <row r="2795" customFormat="false" ht="12.75" hidden="false" customHeight="true" outlineLevel="0" collapsed="false"/>
    <row r="2796" customFormat="false" ht="12.75" hidden="false" customHeight="true" outlineLevel="0" collapsed="false"/>
    <row r="2797" customFormat="false" ht="12.75" hidden="false" customHeight="true" outlineLevel="0" collapsed="false"/>
    <row r="2798" customFormat="false" ht="12.75" hidden="false" customHeight="true" outlineLevel="0" collapsed="false"/>
    <row r="2799" customFormat="false" ht="12.75" hidden="false" customHeight="true" outlineLevel="0" collapsed="false"/>
    <row r="2800" customFormat="false" ht="12.75" hidden="false" customHeight="true" outlineLevel="0" collapsed="false"/>
    <row r="2801" customFormat="false" ht="12.75" hidden="false" customHeight="true" outlineLevel="0" collapsed="false"/>
    <row r="2802" customFormat="false" ht="12.75" hidden="false" customHeight="true" outlineLevel="0" collapsed="false"/>
    <row r="2803" customFormat="false" ht="12.75" hidden="false" customHeight="true" outlineLevel="0" collapsed="false"/>
    <row r="2804" customFormat="false" ht="12.75" hidden="false" customHeight="true" outlineLevel="0" collapsed="false"/>
    <row r="2805" customFormat="false" ht="12.75" hidden="false" customHeight="true" outlineLevel="0" collapsed="false"/>
    <row r="2806" customFormat="false" ht="12.75" hidden="false" customHeight="true" outlineLevel="0" collapsed="false"/>
    <row r="2807" customFormat="false" ht="12.75" hidden="false" customHeight="true" outlineLevel="0" collapsed="false"/>
    <row r="2808" customFormat="false" ht="12.75" hidden="false" customHeight="true" outlineLevel="0" collapsed="false"/>
    <row r="2809" customFormat="false" ht="12.75" hidden="false" customHeight="true" outlineLevel="0" collapsed="false"/>
    <row r="2810" customFormat="false" ht="12.75" hidden="false" customHeight="true" outlineLevel="0" collapsed="false"/>
    <row r="2811" customFormat="false" ht="12.75" hidden="false" customHeight="true" outlineLevel="0" collapsed="false"/>
    <row r="2812" customFormat="false" ht="12.75" hidden="false" customHeight="true" outlineLevel="0" collapsed="false"/>
    <row r="2813" customFormat="false" ht="12.75" hidden="false" customHeight="true" outlineLevel="0" collapsed="false"/>
    <row r="2814" customFormat="false" ht="12.75" hidden="false" customHeight="true" outlineLevel="0" collapsed="false"/>
    <row r="2815" customFormat="false" ht="12.75" hidden="false" customHeight="true" outlineLevel="0" collapsed="false"/>
    <row r="2816" customFormat="false" ht="12.75" hidden="false" customHeight="true" outlineLevel="0" collapsed="false"/>
    <row r="2817" customFormat="false" ht="12.75" hidden="false" customHeight="true" outlineLevel="0" collapsed="false"/>
    <row r="2818" customFormat="false" ht="12.75" hidden="false" customHeight="true" outlineLevel="0" collapsed="false"/>
    <row r="2819" customFormat="false" ht="12.75" hidden="false" customHeight="true" outlineLevel="0" collapsed="false"/>
    <row r="2820" customFormat="false" ht="12.75" hidden="false" customHeight="true" outlineLevel="0" collapsed="false"/>
    <row r="2821" customFormat="false" ht="12.75" hidden="false" customHeight="true" outlineLevel="0" collapsed="false"/>
    <row r="2822" customFormat="false" ht="12.75" hidden="false" customHeight="true" outlineLevel="0" collapsed="false"/>
    <row r="2823" customFormat="false" ht="12.75" hidden="false" customHeight="true" outlineLevel="0" collapsed="false"/>
    <row r="2824" customFormat="false" ht="12.75" hidden="false" customHeight="true" outlineLevel="0" collapsed="false"/>
    <row r="2825" customFormat="false" ht="12.75" hidden="false" customHeight="true" outlineLevel="0" collapsed="false"/>
    <row r="2826" customFormat="false" ht="12.75" hidden="false" customHeight="true" outlineLevel="0" collapsed="false"/>
    <row r="2827" customFormat="false" ht="12.75" hidden="false" customHeight="true" outlineLevel="0" collapsed="false"/>
    <row r="2828" customFormat="false" ht="12.75" hidden="false" customHeight="true" outlineLevel="0" collapsed="false"/>
    <row r="2829" customFormat="false" ht="12.75" hidden="false" customHeight="true" outlineLevel="0" collapsed="false"/>
    <row r="2830" customFormat="false" ht="12.75" hidden="false" customHeight="true" outlineLevel="0" collapsed="false"/>
    <row r="2831" customFormat="false" ht="12.75" hidden="false" customHeight="true" outlineLevel="0" collapsed="false"/>
    <row r="2832" customFormat="false" ht="12.75" hidden="false" customHeight="true" outlineLevel="0" collapsed="false"/>
    <row r="2833" customFormat="false" ht="12.75" hidden="false" customHeight="true" outlineLevel="0" collapsed="false"/>
    <row r="2834" customFormat="false" ht="12.75" hidden="false" customHeight="true" outlineLevel="0" collapsed="false"/>
    <row r="2835" customFormat="false" ht="12.75" hidden="false" customHeight="true" outlineLevel="0" collapsed="false"/>
    <row r="2836" customFormat="false" ht="12.75" hidden="false" customHeight="true" outlineLevel="0" collapsed="false"/>
    <row r="2837" customFormat="false" ht="12.75" hidden="false" customHeight="true" outlineLevel="0" collapsed="false"/>
    <row r="2838" customFormat="false" ht="12.75" hidden="false" customHeight="true" outlineLevel="0" collapsed="false"/>
    <row r="2839" customFormat="false" ht="12.75" hidden="false" customHeight="true" outlineLevel="0" collapsed="false"/>
    <row r="2840" customFormat="false" ht="12.75" hidden="false" customHeight="true" outlineLevel="0" collapsed="false"/>
    <row r="2841" customFormat="false" ht="12.75" hidden="false" customHeight="true" outlineLevel="0" collapsed="false"/>
    <row r="2842" customFormat="false" ht="12.75" hidden="false" customHeight="true" outlineLevel="0" collapsed="false"/>
    <row r="2843" customFormat="false" ht="12.75" hidden="false" customHeight="true" outlineLevel="0" collapsed="false"/>
    <row r="2844" customFormat="false" ht="12.75" hidden="false" customHeight="true" outlineLevel="0" collapsed="false"/>
    <row r="2845" customFormat="false" ht="12.75" hidden="false" customHeight="true" outlineLevel="0" collapsed="false"/>
    <row r="2846" customFormat="false" ht="12.75" hidden="false" customHeight="true" outlineLevel="0" collapsed="false"/>
    <row r="2847" customFormat="false" ht="12.75" hidden="false" customHeight="true" outlineLevel="0" collapsed="false"/>
    <row r="2848" customFormat="false" ht="12.75" hidden="false" customHeight="true" outlineLevel="0" collapsed="false"/>
    <row r="2849" customFormat="false" ht="12.75" hidden="false" customHeight="true" outlineLevel="0" collapsed="false"/>
    <row r="2850" customFormat="false" ht="12.75" hidden="false" customHeight="true" outlineLevel="0" collapsed="false"/>
    <row r="2851" customFormat="false" ht="12.75" hidden="false" customHeight="true" outlineLevel="0" collapsed="false"/>
    <row r="2852" customFormat="false" ht="12.75" hidden="false" customHeight="true" outlineLevel="0" collapsed="false"/>
    <row r="2853" customFormat="false" ht="12.75" hidden="false" customHeight="true" outlineLevel="0" collapsed="false"/>
    <row r="2854" customFormat="false" ht="12.75" hidden="false" customHeight="true" outlineLevel="0" collapsed="false"/>
    <row r="2855" customFormat="false" ht="12.75" hidden="false" customHeight="true" outlineLevel="0" collapsed="false"/>
    <row r="2856" customFormat="false" ht="12.75" hidden="false" customHeight="true" outlineLevel="0" collapsed="false"/>
    <row r="2857" customFormat="false" ht="12.75" hidden="false" customHeight="true" outlineLevel="0" collapsed="false"/>
    <row r="2858" customFormat="false" ht="12.75" hidden="false" customHeight="true" outlineLevel="0" collapsed="false"/>
    <row r="2859" customFormat="false" ht="12.75" hidden="false" customHeight="true" outlineLevel="0" collapsed="false"/>
    <row r="2860" customFormat="false" ht="12.75" hidden="false" customHeight="true" outlineLevel="0" collapsed="false"/>
    <row r="2861" customFormat="false" ht="12.75" hidden="false" customHeight="true" outlineLevel="0" collapsed="false"/>
    <row r="2862" customFormat="false" ht="12.75" hidden="false" customHeight="true" outlineLevel="0" collapsed="false"/>
    <row r="2863" customFormat="false" ht="12.75" hidden="false" customHeight="true" outlineLevel="0" collapsed="false"/>
    <row r="2864" customFormat="false" ht="12.75" hidden="false" customHeight="true" outlineLevel="0" collapsed="false"/>
    <row r="2865" customFormat="false" ht="12.75" hidden="false" customHeight="true" outlineLevel="0" collapsed="false"/>
    <row r="2866" customFormat="false" ht="12.75" hidden="false" customHeight="true" outlineLevel="0" collapsed="false"/>
    <row r="2867" customFormat="false" ht="12.75" hidden="false" customHeight="true" outlineLevel="0" collapsed="false"/>
    <row r="2868" customFormat="false" ht="12.75" hidden="false" customHeight="true" outlineLevel="0" collapsed="false"/>
    <row r="2869" customFormat="false" ht="12.75" hidden="false" customHeight="true" outlineLevel="0" collapsed="false"/>
    <row r="2870" customFormat="false" ht="12.75" hidden="false" customHeight="true" outlineLevel="0" collapsed="false"/>
    <row r="2871" customFormat="false" ht="12.75" hidden="false" customHeight="true" outlineLevel="0" collapsed="false"/>
    <row r="2872" customFormat="false" ht="12.75" hidden="false" customHeight="true" outlineLevel="0" collapsed="false"/>
    <row r="2873" customFormat="false" ht="12.75" hidden="false" customHeight="true" outlineLevel="0" collapsed="false"/>
    <row r="2874" customFormat="false" ht="12.75" hidden="false" customHeight="true" outlineLevel="0" collapsed="false"/>
    <row r="2875" customFormat="false" ht="12.75" hidden="false" customHeight="true" outlineLevel="0" collapsed="false"/>
    <row r="2876" customFormat="false" ht="12.75" hidden="false" customHeight="true" outlineLevel="0" collapsed="false"/>
    <row r="2877" customFormat="false" ht="12.75" hidden="false" customHeight="true" outlineLevel="0" collapsed="false"/>
    <row r="2878" customFormat="false" ht="12.75" hidden="false" customHeight="true" outlineLevel="0" collapsed="false"/>
    <row r="2879" customFormat="false" ht="12.75" hidden="false" customHeight="true" outlineLevel="0" collapsed="false"/>
    <row r="2880" customFormat="false" ht="12.75" hidden="false" customHeight="true" outlineLevel="0" collapsed="false"/>
    <row r="2881" customFormat="false" ht="12.75" hidden="false" customHeight="true" outlineLevel="0" collapsed="false"/>
    <row r="2882" customFormat="false" ht="12.75" hidden="false" customHeight="true" outlineLevel="0" collapsed="false"/>
    <row r="2883" customFormat="false" ht="12.75" hidden="false" customHeight="true" outlineLevel="0" collapsed="false"/>
    <row r="2884" customFormat="false" ht="12.75" hidden="false" customHeight="true" outlineLevel="0" collapsed="false"/>
    <row r="2885" customFormat="false" ht="12.75" hidden="false" customHeight="true" outlineLevel="0" collapsed="false"/>
    <row r="2886" customFormat="false" ht="12.75" hidden="false" customHeight="true" outlineLevel="0" collapsed="false"/>
    <row r="2887" customFormat="false" ht="12.75" hidden="false" customHeight="true" outlineLevel="0" collapsed="false"/>
    <row r="2888" customFormat="false" ht="12.75" hidden="false" customHeight="true" outlineLevel="0" collapsed="false"/>
    <row r="2889" customFormat="false" ht="12.75" hidden="false" customHeight="true" outlineLevel="0" collapsed="false"/>
    <row r="2890" customFormat="false" ht="12.75" hidden="false" customHeight="true" outlineLevel="0" collapsed="false"/>
    <row r="2891" customFormat="false" ht="12.75" hidden="false" customHeight="true" outlineLevel="0" collapsed="false"/>
    <row r="2892" customFormat="false" ht="12.75" hidden="false" customHeight="true" outlineLevel="0" collapsed="false"/>
    <row r="2893" customFormat="false" ht="12.75" hidden="false" customHeight="true" outlineLevel="0" collapsed="false"/>
    <row r="2894" customFormat="false" ht="12.75" hidden="false" customHeight="true" outlineLevel="0" collapsed="false"/>
    <row r="2895" customFormat="false" ht="12.75" hidden="false" customHeight="true" outlineLevel="0" collapsed="false"/>
    <row r="2896" customFormat="false" ht="12.75" hidden="false" customHeight="true" outlineLevel="0" collapsed="false"/>
    <row r="2897" customFormat="false" ht="12.75" hidden="false" customHeight="true" outlineLevel="0" collapsed="false"/>
    <row r="2898" customFormat="false" ht="12.75" hidden="false" customHeight="true" outlineLevel="0" collapsed="false"/>
    <row r="2899" customFormat="false" ht="12.75" hidden="false" customHeight="true" outlineLevel="0" collapsed="false"/>
    <row r="2900" customFormat="false" ht="12.75" hidden="false" customHeight="true" outlineLevel="0" collapsed="false"/>
    <row r="2901" customFormat="false" ht="12.75" hidden="false" customHeight="true" outlineLevel="0" collapsed="false"/>
    <row r="2902" customFormat="false" ht="12.75" hidden="false" customHeight="true" outlineLevel="0" collapsed="false"/>
    <row r="2903" customFormat="false" ht="12.75" hidden="false" customHeight="true" outlineLevel="0" collapsed="false"/>
    <row r="2904" customFormat="false" ht="12.75" hidden="false" customHeight="true" outlineLevel="0" collapsed="false"/>
    <row r="2905" customFormat="false" ht="12.75" hidden="false" customHeight="true" outlineLevel="0" collapsed="false"/>
    <row r="2906" customFormat="false" ht="12.75" hidden="false" customHeight="true" outlineLevel="0" collapsed="false"/>
    <row r="2907" customFormat="false" ht="12.75" hidden="false" customHeight="true" outlineLevel="0" collapsed="false"/>
    <row r="2908" customFormat="false" ht="12.75" hidden="false" customHeight="true" outlineLevel="0" collapsed="false"/>
    <row r="2909" customFormat="false" ht="12.75" hidden="false" customHeight="true" outlineLevel="0" collapsed="false"/>
    <row r="2910" customFormat="false" ht="12.75" hidden="false" customHeight="true" outlineLevel="0" collapsed="false"/>
    <row r="2911" customFormat="false" ht="12.75" hidden="false" customHeight="true" outlineLevel="0" collapsed="false"/>
    <row r="2912" customFormat="false" ht="12.75" hidden="false" customHeight="true" outlineLevel="0" collapsed="false"/>
    <row r="2913" customFormat="false" ht="12.75" hidden="false" customHeight="true" outlineLevel="0" collapsed="false"/>
    <row r="2914" customFormat="false" ht="12.75" hidden="false" customHeight="true" outlineLevel="0" collapsed="false"/>
    <row r="2915" customFormat="false" ht="12.75" hidden="false" customHeight="true" outlineLevel="0" collapsed="false"/>
    <row r="2916" customFormat="false" ht="12.75" hidden="false" customHeight="true" outlineLevel="0" collapsed="false"/>
    <row r="2917" customFormat="false" ht="12.75" hidden="false" customHeight="true" outlineLevel="0" collapsed="false"/>
    <row r="2918" customFormat="false" ht="12.75" hidden="false" customHeight="true" outlineLevel="0" collapsed="false"/>
    <row r="2919" customFormat="false" ht="12.75" hidden="false" customHeight="true" outlineLevel="0" collapsed="false"/>
    <row r="2920" customFormat="false" ht="12.75" hidden="false" customHeight="true" outlineLevel="0" collapsed="false"/>
    <row r="2921" customFormat="false" ht="12.75" hidden="false" customHeight="true" outlineLevel="0" collapsed="false"/>
    <row r="2922" customFormat="false" ht="12.75" hidden="false" customHeight="true" outlineLevel="0" collapsed="false"/>
    <row r="2923" customFormat="false" ht="12.75" hidden="false" customHeight="true" outlineLevel="0" collapsed="false"/>
    <row r="2924" customFormat="false" ht="12.75" hidden="false" customHeight="true" outlineLevel="0" collapsed="false"/>
    <row r="2925" customFormat="false" ht="12.75" hidden="false" customHeight="true" outlineLevel="0" collapsed="false"/>
    <row r="2926" customFormat="false" ht="12.75" hidden="false" customHeight="true" outlineLevel="0" collapsed="false"/>
    <row r="2927" customFormat="false" ht="12.75" hidden="false" customHeight="true" outlineLevel="0" collapsed="false"/>
    <row r="2928" customFormat="false" ht="12.75" hidden="false" customHeight="true" outlineLevel="0" collapsed="false"/>
    <row r="2929" customFormat="false" ht="12.75" hidden="false" customHeight="true" outlineLevel="0" collapsed="false"/>
    <row r="2930" customFormat="false" ht="12.75" hidden="false" customHeight="true" outlineLevel="0" collapsed="false"/>
    <row r="2931" customFormat="false" ht="12.75" hidden="false" customHeight="true" outlineLevel="0" collapsed="false"/>
    <row r="2932" customFormat="false" ht="12.75" hidden="false" customHeight="true" outlineLevel="0" collapsed="false"/>
    <row r="2933" customFormat="false" ht="12.75" hidden="false" customHeight="true" outlineLevel="0" collapsed="false"/>
    <row r="2934" customFormat="false" ht="12.75" hidden="false" customHeight="true" outlineLevel="0" collapsed="false"/>
    <row r="2935" customFormat="false" ht="12.75" hidden="false" customHeight="true" outlineLevel="0" collapsed="false"/>
    <row r="2936" customFormat="false" ht="12.75" hidden="false" customHeight="true" outlineLevel="0" collapsed="false"/>
    <row r="2937" customFormat="false" ht="12.75" hidden="false" customHeight="true" outlineLevel="0" collapsed="false"/>
    <row r="2938" customFormat="false" ht="12.75" hidden="false" customHeight="true" outlineLevel="0" collapsed="false"/>
    <row r="2939" customFormat="false" ht="12.75" hidden="false" customHeight="true" outlineLevel="0" collapsed="false"/>
    <row r="2940" customFormat="false" ht="12.75" hidden="false" customHeight="true" outlineLevel="0" collapsed="false"/>
    <row r="2941" customFormat="false" ht="12.75" hidden="false" customHeight="true" outlineLevel="0" collapsed="false"/>
    <row r="2942" customFormat="false" ht="12.75" hidden="false" customHeight="true" outlineLevel="0" collapsed="false"/>
    <row r="2943" customFormat="false" ht="12.75" hidden="false" customHeight="true" outlineLevel="0" collapsed="false"/>
    <row r="2944" customFormat="false" ht="12.75" hidden="false" customHeight="true" outlineLevel="0" collapsed="false"/>
    <row r="2945" customFormat="false" ht="12.75" hidden="false" customHeight="true" outlineLevel="0" collapsed="false"/>
    <row r="2946" customFormat="false" ht="12.75" hidden="false" customHeight="true" outlineLevel="0" collapsed="false"/>
    <row r="2947" customFormat="false" ht="12.75" hidden="false" customHeight="true" outlineLevel="0" collapsed="false"/>
    <row r="2948" customFormat="false" ht="12.75" hidden="false" customHeight="true" outlineLevel="0" collapsed="false"/>
    <row r="2949" customFormat="false" ht="12.75" hidden="false" customHeight="true" outlineLevel="0" collapsed="false"/>
    <row r="2950" customFormat="false" ht="12.75" hidden="false" customHeight="true" outlineLevel="0" collapsed="false"/>
    <row r="2951" customFormat="false" ht="12.75" hidden="false" customHeight="true" outlineLevel="0" collapsed="false"/>
    <row r="2952" customFormat="false" ht="12.75" hidden="false" customHeight="true" outlineLevel="0" collapsed="false"/>
    <row r="2953" customFormat="false" ht="12.75" hidden="false" customHeight="true" outlineLevel="0" collapsed="false"/>
    <row r="2954" customFormat="false" ht="12.75" hidden="false" customHeight="true" outlineLevel="0" collapsed="false"/>
    <row r="2955" customFormat="false" ht="12.75" hidden="false" customHeight="true" outlineLevel="0" collapsed="false"/>
    <row r="2956" customFormat="false" ht="12.75" hidden="false" customHeight="true" outlineLevel="0" collapsed="false"/>
    <row r="2957" customFormat="false" ht="12.75" hidden="false" customHeight="true" outlineLevel="0" collapsed="false"/>
    <row r="2958" customFormat="false" ht="12.75" hidden="false" customHeight="true" outlineLevel="0" collapsed="false"/>
    <row r="2959" customFormat="false" ht="12.75" hidden="false" customHeight="true" outlineLevel="0" collapsed="false"/>
    <row r="2960" customFormat="false" ht="12.75" hidden="false" customHeight="true" outlineLevel="0" collapsed="false"/>
    <row r="2961" customFormat="false" ht="12.75" hidden="false" customHeight="true" outlineLevel="0" collapsed="false"/>
    <row r="2962" customFormat="false" ht="12.75" hidden="false" customHeight="true" outlineLevel="0" collapsed="false"/>
    <row r="2963" customFormat="false" ht="12.75" hidden="false" customHeight="true" outlineLevel="0" collapsed="false"/>
    <row r="2964" customFormat="false" ht="12.75" hidden="false" customHeight="true" outlineLevel="0" collapsed="false"/>
    <row r="2965" customFormat="false" ht="12.75" hidden="false" customHeight="true" outlineLevel="0" collapsed="false"/>
    <row r="2966" customFormat="false" ht="12.75" hidden="false" customHeight="true" outlineLevel="0" collapsed="false"/>
    <row r="2967" customFormat="false" ht="12.75" hidden="false" customHeight="true" outlineLevel="0" collapsed="false"/>
    <row r="2968" customFormat="false" ht="12.75" hidden="false" customHeight="true" outlineLevel="0" collapsed="false"/>
    <row r="2969" customFormat="false" ht="12.75" hidden="false" customHeight="true" outlineLevel="0" collapsed="false"/>
    <row r="2970" customFormat="false" ht="12.75" hidden="false" customHeight="true" outlineLevel="0" collapsed="false"/>
    <row r="2971" customFormat="false" ht="12.75" hidden="false" customHeight="true" outlineLevel="0" collapsed="false"/>
    <row r="2972" customFormat="false" ht="12.75" hidden="false" customHeight="true" outlineLevel="0" collapsed="false"/>
    <row r="2973" customFormat="false" ht="12.75" hidden="false" customHeight="true" outlineLevel="0" collapsed="false"/>
    <row r="2974" customFormat="false" ht="12.75" hidden="false" customHeight="true" outlineLevel="0" collapsed="false"/>
    <row r="2975" customFormat="false" ht="12.75" hidden="false" customHeight="true" outlineLevel="0" collapsed="false"/>
    <row r="2976" customFormat="false" ht="12.75" hidden="false" customHeight="true" outlineLevel="0" collapsed="false"/>
    <row r="2977" customFormat="false" ht="12.75" hidden="false" customHeight="true" outlineLevel="0" collapsed="false"/>
    <row r="2978" customFormat="false" ht="12.75" hidden="false" customHeight="true" outlineLevel="0" collapsed="false"/>
    <row r="2979" customFormat="false" ht="12.75" hidden="false" customHeight="true" outlineLevel="0" collapsed="false"/>
    <row r="2980" customFormat="false" ht="12.75" hidden="false" customHeight="true" outlineLevel="0" collapsed="false"/>
    <row r="2981" customFormat="false" ht="12.75" hidden="false" customHeight="true" outlineLevel="0" collapsed="false"/>
    <row r="2982" customFormat="false" ht="12.75" hidden="false" customHeight="true" outlineLevel="0" collapsed="false"/>
    <row r="2983" customFormat="false" ht="12.75" hidden="false" customHeight="true" outlineLevel="0" collapsed="false"/>
    <row r="2984" customFormat="false" ht="12.75" hidden="false" customHeight="true" outlineLevel="0" collapsed="false"/>
    <row r="2985" customFormat="false" ht="12.75" hidden="false" customHeight="true" outlineLevel="0" collapsed="false"/>
    <row r="2986" customFormat="false" ht="12.75" hidden="false" customHeight="true" outlineLevel="0" collapsed="false"/>
    <row r="2987" customFormat="false" ht="12.75" hidden="false" customHeight="true" outlineLevel="0" collapsed="false"/>
    <row r="2988" customFormat="false" ht="12.75" hidden="false" customHeight="true" outlineLevel="0" collapsed="false"/>
    <row r="2989" customFormat="false" ht="12.75" hidden="false" customHeight="true" outlineLevel="0" collapsed="false"/>
    <row r="2990" customFormat="false" ht="12.75" hidden="false" customHeight="true" outlineLevel="0" collapsed="false"/>
    <row r="2991" customFormat="false" ht="12.75" hidden="false" customHeight="true" outlineLevel="0" collapsed="false"/>
    <row r="2992" customFormat="false" ht="12.75" hidden="false" customHeight="true" outlineLevel="0" collapsed="false"/>
    <row r="2993" customFormat="false" ht="12.75" hidden="false" customHeight="true" outlineLevel="0" collapsed="false"/>
    <row r="2994" customFormat="false" ht="12.75" hidden="false" customHeight="true" outlineLevel="0" collapsed="false"/>
    <row r="2995" customFormat="false" ht="12.75" hidden="false" customHeight="true" outlineLevel="0" collapsed="false"/>
    <row r="2996" customFormat="false" ht="12.75" hidden="false" customHeight="true" outlineLevel="0" collapsed="false"/>
    <row r="2997" customFormat="false" ht="12.75" hidden="false" customHeight="true" outlineLevel="0" collapsed="false"/>
    <row r="2998" customFormat="false" ht="12.75" hidden="false" customHeight="true" outlineLevel="0" collapsed="false"/>
    <row r="2999" customFormat="false" ht="12.75" hidden="false" customHeight="true" outlineLevel="0" collapsed="false"/>
    <row r="3000" customFormat="false" ht="12.75" hidden="false" customHeight="true" outlineLevel="0" collapsed="false"/>
    <row r="3001" customFormat="false" ht="12.75" hidden="false" customHeight="true" outlineLevel="0" collapsed="false"/>
    <row r="3002" customFormat="false" ht="12.75" hidden="false" customHeight="true" outlineLevel="0" collapsed="false"/>
    <row r="3003" customFormat="false" ht="12.75" hidden="false" customHeight="true" outlineLevel="0" collapsed="false"/>
    <row r="3004" customFormat="false" ht="12.75" hidden="false" customHeight="true" outlineLevel="0" collapsed="false"/>
    <row r="3005" customFormat="false" ht="12.75" hidden="false" customHeight="true" outlineLevel="0" collapsed="false"/>
    <row r="3006" customFormat="false" ht="12.75" hidden="false" customHeight="true" outlineLevel="0" collapsed="false"/>
    <row r="3007" customFormat="false" ht="12.75" hidden="false" customHeight="true" outlineLevel="0" collapsed="false"/>
    <row r="3008" customFormat="false" ht="12.75" hidden="false" customHeight="true" outlineLevel="0" collapsed="false"/>
    <row r="3009" customFormat="false" ht="12.75" hidden="false" customHeight="true" outlineLevel="0" collapsed="false"/>
    <row r="3010" customFormat="false" ht="12.75" hidden="false" customHeight="true" outlineLevel="0" collapsed="false"/>
    <row r="3011" customFormat="false" ht="12.75" hidden="false" customHeight="true" outlineLevel="0" collapsed="false"/>
    <row r="3012" customFormat="false" ht="12.75" hidden="false" customHeight="true" outlineLevel="0" collapsed="false"/>
    <row r="3013" customFormat="false" ht="12.75" hidden="false" customHeight="true" outlineLevel="0" collapsed="false"/>
    <row r="3014" customFormat="false" ht="12.75" hidden="false" customHeight="true" outlineLevel="0" collapsed="false"/>
    <row r="3015" customFormat="false" ht="12.75" hidden="false" customHeight="true" outlineLevel="0" collapsed="false"/>
    <row r="3016" customFormat="false" ht="12.75" hidden="false" customHeight="true" outlineLevel="0" collapsed="false"/>
    <row r="3017" customFormat="false" ht="12.75" hidden="false" customHeight="true" outlineLevel="0" collapsed="false"/>
    <row r="3018" customFormat="false" ht="12.75" hidden="false" customHeight="true" outlineLevel="0" collapsed="false"/>
    <row r="3019" customFormat="false" ht="12.75" hidden="false" customHeight="true" outlineLevel="0" collapsed="false"/>
    <row r="3020" customFormat="false" ht="12.75" hidden="false" customHeight="true" outlineLevel="0" collapsed="false"/>
    <row r="3021" customFormat="false" ht="12.75" hidden="false" customHeight="true" outlineLevel="0" collapsed="false"/>
    <row r="3022" customFormat="false" ht="12.75" hidden="false" customHeight="true" outlineLevel="0" collapsed="false"/>
    <row r="3023" customFormat="false" ht="12.75" hidden="false" customHeight="true" outlineLevel="0" collapsed="false"/>
    <row r="3024" customFormat="false" ht="12.75" hidden="false" customHeight="true" outlineLevel="0" collapsed="false"/>
    <row r="3025" customFormat="false" ht="12.75" hidden="false" customHeight="true" outlineLevel="0" collapsed="false"/>
    <row r="3026" customFormat="false" ht="12.75" hidden="false" customHeight="true" outlineLevel="0" collapsed="false"/>
    <row r="3027" customFormat="false" ht="12.75" hidden="false" customHeight="true" outlineLevel="0" collapsed="false"/>
    <row r="3028" customFormat="false" ht="12.75" hidden="false" customHeight="true" outlineLevel="0" collapsed="false"/>
    <row r="3029" customFormat="false" ht="12.75" hidden="false" customHeight="true" outlineLevel="0" collapsed="false"/>
    <row r="3030" customFormat="false" ht="12.75" hidden="false" customHeight="true" outlineLevel="0" collapsed="false"/>
    <row r="3031" customFormat="false" ht="12.75" hidden="false" customHeight="true" outlineLevel="0" collapsed="false"/>
    <row r="3032" customFormat="false" ht="12.75" hidden="false" customHeight="true" outlineLevel="0" collapsed="false"/>
    <row r="3033" customFormat="false" ht="12.75" hidden="false" customHeight="true" outlineLevel="0" collapsed="false"/>
    <row r="3034" customFormat="false" ht="12.75" hidden="false" customHeight="true" outlineLevel="0" collapsed="false"/>
    <row r="3035" customFormat="false" ht="12.75" hidden="false" customHeight="true" outlineLevel="0" collapsed="false"/>
    <row r="3036" customFormat="false" ht="12.75" hidden="false" customHeight="true" outlineLevel="0" collapsed="false"/>
    <row r="3037" customFormat="false" ht="12.75" hidden="false" customHeight="true" outlineLevel="0" collapsed="false"/>
    <row r="3038" customFormat="false" ht="12.75" hidden="false" customHeight="true" outlineLevel="0" collapsed="false"/>
    <row r="3039" customFormat="false" ht="12.75" hidden="false" customHeight="true" outlineLevel="0" collapsed="false"/>
    <row r="3040" customFormat="false" ht="12.75" hidden="false" customHeight="true" outlineLevel="0" collapsed="false"/>
    <row r="3041" customFormat="false" ht="12.75" hidden="false" customHeight="true" outlineLevel="0" collapsed="false"/>
    <row r="3042" customFormat="false" ht="12.75" hidden="false" customHeight="true" outlineLevel="0" collapsed="false"/>
    <row r="3043" customFormat="false" ht="12.75" hidden="false" customHeight="true" outlineLevel="0" collapsed="false"/>
    <row r="3044" customFormat="false" ht="12.75" hidden="false" customHeight="true" outlineLevel="0" collapsed="false"/>
    <row r="3045" customFormat="false" ht="12.75" hidden="false" customHeight="true" outlineLevel="0" collapsed="false"/>
    <row r="3046" customFormat="false" ht="12.75" hidden="false" customHeight="true" outlineLevel="0" collapsed="false"/>
    <row r="3047" customFormat="false" ht="12.75" hidden="false" customHeight="true" outlineLevel="0" collapsed="false"/>
    <row r="3048" customFormat="false" ht="12.75" hidden="false" customHeight="true" outlineLevel="0" collapsed="false"/>
    <row r="3049" customFormat="false" ht="12.75" hidden="false" customHeight="true" outlineLevel="0" collapsed="false"/>
    <row r="3050" customFormat="false" ht="12.75" hidden="false" customHeight="true" outlineLevel="0" collapsed="false"/>
    <row r="3051" customFormat="false" ht="12.75" hidden="false" customHeight="true" outlineLevel="0" collapsed="false"/>
    <row r="3052" customFormat="false" ht="12.75" hidden="false" customHeight="true" outlineLevel="0" collapsed="false"/>
    <row r="3053" customFormat="false" ht="12.75" hidden="false" customHeight="true" outlineLevel="0" collapsed="false"/>
    <row r="3054" customFormat="false" ht="12.75" hidden="false" customHeight="true" outlineLevel="0" collapsed="false"/>
    <row r="3055" customFormat="false" ht="12.75" hidden="false" customHeight="true" outlineLevel="0" collapsed="false"/>
    <row r="3056" customFormat="false" ht="12.75" hidden="false" customHeight="true" outlineLevel="0" collapsed="false"/>
    <row r="3057" customFormat="false" ht="12.75" hidden="false" customHeight="true" outlineLevel="0" collapsed="false"/>
    <row r="3058" customFormat="false" ht="12.75" hidden="false" customHeight="true" outlineLevel="0" collapsed="false"/>
    <row r="3059" customFormat="false" ht="12.75" hidden="false" customHeight="true" outlineLevel="0" collapsed="false"/>
    <row r="3060" customFormat="false" ht="12.75" hidden="false" customHeight="true" outlineLevel="0" collapsed="false"/>
    <row r="3061" customFormat="false" ht="12.75" hidden="false" customHeight="true" outlineLevel="0" collapsed="false"/>
    <row r="3062" customFormat="false" ht="12.75" hidden="false" customHeight="true" outlineLevel="0" collapsed="false"/>
    <row r="3063" customFormat="false" ht="12.75" hidden="false" customHeight="true" outlineLevel="0" collapsed="false"/>
    <row r="3064" customFormat="false" ht="12.75" hidden="false" customHeight="true" outlineLevel="0" collapsed="false"/>
    <row r="3065" customFormat="false" ht="12.75" hidden="false" customHeight="true" outlineLevel="0" collapsed="false"/>
    <row r="3066" customFormat="false" ht="12.75" hidden="false" customHeight="true" outlineLevel="0" collapsed="false"/>
    <row r="3067" customFormat="false" ht="12.75" hidden="false" customHeight="true" outlineLevel="0" collapsed="false"/>
    <row r="3068" customFormat="false" ht="12.75" hidden="false" customHeight="true" outlineLevel="0" collapsed="false"/>
    <row r="3069" customFormat="false" ht="12.75" hidden="false" customHeight="true" outlineLevel="0" collapsed="false"/>
    <row r="3070" customFormat="false" ht="12.75" hidden="false" customHeight="true" outlineLevel="0" collapsed="false"/>
    <row r="3071" customFormat="false" ht="12.75" hidden="false" customHeight="true" outlineLevel="0" collapsed="false"/>
    <row r="3072" customFormat="false" ht="12.75" hidden="false" customHeight="true" outlineLevel="0" collapsed="false"/>
    <row r="3073" customFormat="false" ht="12.75" hidden="false" customHeight="true" outlineLevel="0" collapsed="false"/>
    <row r="3074" customFormat="false" ht="12.75" hidden="false" customHeight="true" outlineLevel="0" collapsed="false"/>
    <row r="3075" customFormat="false" ht="12.75" hidden="false" customHeight="true" outlineLevel="0" collapsed="false"/>
    <row r="3076" customFormat="false" ht="12.75" hidden="false" customHeight="true" outlineLevel="0" collapsed="false"/>
    <row r="3077" customFormat="false" ht="12.75" hidden="false" customHeight="true" outlineLevel="0" collapsed="false"/>
    <row r="3078" customFormat="false" ht="12.75" hidden="false" customHeight="true" outlineLevel="0" collapsed="false"/>
    <row r="3079" customFormat="false" ht="12.75" hidden="false" customHeight="true" outlineLevel="0" collapsed="false"/>
    <row r="3080" customFormat="false" ht="12.75" hidden="false" customHeight="true" outlineLevel="0" collapsed="false"/>
    <row r="3081" customFormat="false" ht="12.75" hidden="false" customHeight="true" outlineLevel="0" collapsed="false"/>
    <row r="3082" customFormat="false" ht="12.75" hidden="false" customHeight="true" outlineLevel="0" collapsed="false"/>
    <row r="3083" customFormat="false" ht="12.75" hidden="false" customHeight="true" outlineLevel="0" collapsed="false"/>
    <row r="3084" customFormat="false" ht="12.75" hidden="false" customHeight="true" outlineLevel="0" collapsed="false"/>
    <row r="3085" customFormat="false" ht="12.75" hidden="false" customHeight="true" outlineLevel="0" collapsed="false"/>
    <row r="3086" customFormat="false" ht="12.75" hidden="false" customHeight="true" outlineLevel="0" collapsed="false"/>
    <row r="3087" customFormat="false" ht="12.75" hidden="false" customHeight="true" outlineLevel="0" collapsed="false"/>
    <row r="3088" customFormat="false" ht="12.75" hidden="false" customHeight="true" outlineLevel="0" collapsed="false"/>
    <row r="3089" customFormat="false" ht="12.75" hidden="false" customHeight="true" outlineLevel="0" collapsed="false"/>
    <row r="3090" customFormat="false" ht="12.75" hidden="false" customHeight="true" outlineLevel="0" collapsed="false"/>
    <row r="3091" customFormat="false" ht="12.75" hidden="false" customHeight="true" outlineLevel="0" collapsed="false"/>
    <row r="3092" customFormat="false" ht="12.75" hidden="false" customHeight="true" outlineLevel="0" collapsed="false"/>
    <row r="3093" customFormat="false" ht="12.75" hidden="false" customHeight="true" outlineLevel="0" collapsed="false"/>
    <row r="3094" customFormat="false" ht="12.75" hidden="false" customHeight="true" outlineLevel="0" collapsed="false"/>
    <row r="3095" customFormat="false" ht="12.75" hidden="false" customHeight="true" outlineLevel="0" collapsed="false"/>
    <row r="3096" customFormat="false" ht="12.75" hidden="false" customHeight="true" outlineLevel="0" collapsed="false"/>
    <row r="3097" customFormat="false" ht="12.75" hidden="false" customHeight="true" outlineLevel="0" collapsed="false"/>
    <row r="3098" customFormat="false" ht="12.75" hidden="false" customHeight="true" outlineLevel="0" collapsed="false"/>
    <row r="3099" customFormat="false" ht="12.75" hidden="false" customHeight="true" outlineLevel="0" collapsed="false"/>
    <row r="3100" customFormat="false" ht="12.75" hidden="false" customHeight="true" outlineLevel="0" collapsed="false"/>
    <row r="3101" customFormat="false" ht="12.75" hidden="false" customHeight="true" outlineLevel="0" collapsed="false"/>
    <row r="3102" customFormat="false" ht="12.75" hidden="false" customHeight="true" outlineLevel="0" collapsed="false"/>
    <row r="3103" customFormat="false" ht="12.75" hidden="false" customHeight="true" outlineLevel="0" collapsed="false"/>
    <row r="3104" customFormat="false" ht="12.75" hidden="false" customHeight="true" outlineLevel="0" collapsed="false"/>
    <row r="3105" customFormat="false" ht="12.75" hidden="false" customHeight="true" outlineLevel="0" collapsed="false"/>
    <row r="3106" customFormat="false" ht="12.75" hidden="false" customHeight="true" outlineLevel="0" collapsed="false"/>
    <row r="3107" customFormat="false" ht="12.75" hidden="false" customHeight="true" outlineLevel="0" collapsed="false"/>
    <row r="3108" customFormat="false" ht="12.75" hidden="false" customHeight="true" outlineLevel="0" collapsed="false"/>
    <row r="3109" customFormat="false" ht="12.75" hidden="false" customHeight="true" outlineLevel="0" collapsed="false"/>
    <row r="3110" customFormat="false" ht="12.75" hidden="false" customHeight="true" outlineLevel="0" collapsed="false"/>
    <row r="3111" customFormat="false" ht="12.75" hidden="false" customHeight="true" outlineLevel="0" collapsed="false"/>
    <row r="3112" customFormat="false" ht="12.75" hidden="false" customHeight="true" outlineLevel="0" collapsed="false"/>
    <row r="3113" customFormat="false" ht="12.75" hidden="false" customHeight="true" outlineLevel="0" collapsed="false"/>
    <row r="3114" customFormat="false" ht="12.75" hidden="false" customHeight="true" outlineLevel="0" collapsed="false"/>
    <row r="3115" customFormat="false" ht="12.75" hidden="false" customHeight="true" outlineLevel="0" collapsed="false"/>
    <row r="3116" customFormat="false" ht="12.75" hidden="false" customHeight="true" outlineLevel="0" collapsed="false"/>
    <row r="3117" customFormat="false" ht="12.75" hidden="false" customHeight="true" outlineLevel="0" collapsed="false"/>
    <row r="3118" customFormat="false" ht="12.75" hidden="false" customHeight="true" outlineLevel="0" collapsed="false"/>
    <row r="3119" customFormat="false" ht="12.75" hidden="false" customHeight="true" outlineLevel="0" collapsed="false"/>
    <row r="3120" customFormat="false" ht="12.75" hidden="false" customHeight="true" outlineLevel="0" collapsed="false"/>
    <row r="3121" customFormat="false" ht="12.75" hidden="false" customHeight="true" outlineLevel="0" collapsed="false"/>
    <row r="3122" customFormat="false" ht="12.75" hidden="false" customHeight="true" outlineLevel="0" collapsed="false"/>
    <row r="3123" customFormat="false" ht="12.75" hidden="false" customHeight="true" outlineLevel="0" collapsed="false"/>
    <row r="3124" customFormat="false" ht="12.75" hidden="false" customHeight="true" outlineLevel="0" collapsed="false"/>
    <row r="3125" customFormat="false" ht="12.75" hidden="false" customHeight="true" outlineLevel="0" collapsed="false"/>
    <row r="3126" customFormat="false" ht="12.75" hidden="false" customHeight="true" outlineLevel="0" collapsed="false"/>
    <row r="3127" customFormat="false" ht="12.75" hidden="false" customHeight="true" outlineLevel="0" collapsed="false"/>
    <row r="3128" customFormat="false" ht="12.75" hidden="false" customHeight="true" outlineLevel="0" collapsed="false"/>
    <row r="3129" customFormat="false" ht="12.75" hidden="false" customHeight="true" outlineLevel="0" collapsed="false"/>
    <row r="3130" customFormat="false" ht="12.75" hidden="false" customHeight="true" outlineLevel="0" collapsed="false"/>
    <row r="3131" customFormat="false" ht="12.75" hidden="false" customHeight="true" outlineLevel="0" collapsed="false"/>
    <row r="3132" customFormat="false" ht="12.75" hidden="false" customHeight="true" outlineLevel="0" collapsed="false"/>
    <row r="3133" customFormat="false" ht="12.75" hidden="false" customHeight="true" outlineLevel="0" collapsed="false"/>
    <row r="3134" customFormat="false" ht="12.75" hidden="false" customHeight="true" outlineLevel="0" collapsed="false"/>
    <row r="3135" customFormat="false" ht="12.75" hidden="false" customHeight="true" outlineLevel="0" collapsed="false"/>
    <row r="3136" customFormat="false" ht="12.75" hidden="false" customHeight="true" outlineLevel="0" collapsed="false"/>
    <row r="3137" customFormat="false" ht="12.75" hidden="false" customHeight="true" outlineLevel="0" collapsed="false"/>
    <row r="3138" customFormat="false" ht="12.75" hidden="false" customHeight="true" outlineLevel="0" collapsed="false"/>
    <row r="3139" customFormat="false" ht="12.75" hidden="false" customHeight="true" outlineLevel="0" collapsed="false"/>
    <row r="3140" customFormat="false" ht="12.75" hidden="false" customHeight="true" outlineLevel="0" collapsed="false"/>
    <row r="3141" customFormat="false" ht="12.75" hidden="false" customHeight="true" outlineLevel="0" collapsed="false"/>
    <row r="3142" customFormat="false" ht="12.75" hidden="false" customHeight="true" outlineLevel="0" collapsed="false"/>
    <row r="3143" customFormat="false" ht="12.75" hidden="false" customHeight="true" outlineLevel="0" collapsed="false"/>
    <row r="3144" customFormat="false" ht="12.75" hidden="false" customHeight="true" outlineLevel="0" collapsed="false"/>
    <row r="3145" customFormat="false" ht="12.75" hidden="false" customHeight="true" outlineLevel="0" collapsed="false"/>
    <row r="3146" customFormat="false" ht="12.75" hidden="false" customHeight="true" outlineLevel="0" collapsed="false"/>
    <row r="3147" customFormat="false" ht="12.75" hidden="false" customHeight="true" outlineLevel="0" collapsed="false"/>
    <row r="3148" customFormat="false" ht="12.75" hidden="false" customHeight="true" outlineLevel="0" collapsed="false"/>
    <row r="3149" customFormat="false" ht="12.75" hidden="false" customHeight="true" outlineLevel="0" collapsed="false"/>
    <row r="3150" customFormat="false" ht="12.75" hidden="false" customHeight="true" outlineLevel="0" collapsed="false"/>
    <row r="3151" customFormat="false" ht="12.75" hidden="false" customHeight="true" outlineLevel="0" collapsed="false"/>
    <row r="3152" customFormat="false" ht="12.75" hidden="false" customHeight="true" outlineLevel="0" collapsed="false"/>
    <row r="3153" customFormat="false" ht="12.75" hidden="false" customHeight="true" outlineLevel="0" collapsed="false"/>
    <row r="3154" customFormat="false" ht="12.75" hidden="false" customHeight="true" outlineLevel="0" collapsed="false"/>
    <row r="3155" customFormat="false" ht="12.75" hidden="false" customHeight="true" outlineLevel="0" collapsed="false"/>
    <row r="3156" customFormat="false" ht="12.75" hidden="false" customHeight="true" outlineLevel="0" collapsed="false"/>
    <row r="3157" customFormat="false" ht="12.75" hidden="false" customHeight="true" outlineLevel="0" collapsed="false"/>
    <row r="3158" customFormat="false" ht="12.75" hidden="false" customHeight="true" outlineLevel="0" collapsed="false"/>
    <row r="3159" customFormat="false" ht="12.75" hidden="false" customHeight="true" outlineLevel="0" collapsed="false"/>
    <row r="3160" customFormat="false" ht="12.75" hidden="false" customHeight="true" outlineLevel="0" collapsed="false"/>
    <row r="3161" customFormat="false" ht="12.75" hidden="false" customHeight="true" outlineLevel="0" collapsed="false"/>
    <row r="3162" customFormat="false" ht="12.75" hidden="false" customHeight="true" outlineLevel="0" collapsed="false"/>
    <row r="3163" customFormat="false" ht="12.75" hidden="false" customHeight="true" outlineLevel="0" collapsed="false"/>
    <row r="3164" customFormat="false" ht="12.75" hidden="false" customHeight="true" outlineLevel="0" collapsed="false"/>
    <row r="3165" customFormat="false" ht="12.75" hidden="false" customHeight="true" outlineLevel="0" collapsed="false"/>
    <row r="3166" customFormat="false" ht="12.75" hidden="false" customHeight="true" outlineLevel="0" collapsed="false"/>
    <row r="3167" customFormat="false" ht="12.75" hidden="false" customHeight="true" outlineLevel="0" collapsed="false"/>
    <row r="3168" customFormat="false" ht="12.75" hidden="false" customHeight="true" outlineLevel="0" collapsed="false"/>
    <row r="3169" customFormat="false" ht="12.75" hidden="false" customHeight="true" outlineLevel="0" collapsed="false"/>
    <row r="3170" customFormat="false" ht="12.75" hidden="false" customHeight="true" outlineLevel="0" collapsed="false"/>
    <row r="3171" customFormat="false" ht="12.75" hidden="false" customHeight="true" outlineLevel="0" collapsed="false"/>
    <row r="3172" customFormat="false" ht="12.75" hidden="false" customHeight="true" outlineLevel="0" collapsed="false"/>
    <row r="3173" customFormat="false" ht="12.75" hidden="false" customHeight="true" outlineLevel="0" collapsed="false"/>
    <row r="3174" customFormat="false" ht="12.75" hidden="false" customHeight="true" outlineLevel="0" collapsed="false"/>
    <row r="3175" customFormat="false" ht="12.75" hidden="false" customHeight="true" outlineLevel="0" collapsed="false"/>
    <row r="3176" customFormat="false" ht="12.75" hidden="false" customHeight="true" outlineLevel="0" collapsed="false"/>
    <row r="3177" customFormat="false" ht="12.75" hidden="false" customHeight="true" outlineLevel="0" collapsed="false"/>
    <row r="3178" customFormat="false" ht="12.75" hidden="false" customHeight="true" outlineLevel="0" collapsed="false"/>
    <row r="3179" customFormat="false" ht="12.75" hidden="false" customHeight="true" outlineLevel="0" collapsed="false"/>
    <row r="3180" customFormat="false" ht="12.75" hidden="false" customHeight="true" outlineLevel="0" collapsed="false"/>
    <row r="3181" customFormat="false" ht="12.75" hidden="false" customHeight="true" outlineLevel="0" collapsed="false"/>
    <row r="3182" customFormat="false" ht="12.75" hidden="false" customHeight="true" outlineLevel="0" collapsed="false"/>
    <row r="3183" customFormat="false" ht="12.75" hidden="false" customHeight="true" outlineLevel="0" collapsed="false"/>
    <row r="3184" customFormat="false" ht="12.75" hidden="false" customHeight="true" outlineLevel="0" collapsed="false"/>
    <row r="3185" customFormat="false" ht="12.75" hidden="false" customHeight="true" outlineLevel="0" collapsed="false"/>
    <row r="3186" customFormat="false" ht="12.75" hidden="false" customHeight="true" outlineLevel="0" collapsed="false"/>
    <row r="3187" customFormat="false" ht="12.75" hidden="false" customHeight="true" outlineLevel="0" collapsed="false"/>
    <row r="3188" customFormat="false" ht="12.75" hidden="false" customHeight="true" outlineLevel="0" collapsed="false"/>
    <row r="3189" customFormat="false" ht="12.75" hidden="false" customHeight="true" outlineLevel="0" collapsed="false"/>
    <row r="3190" customFormat="false" ht="12.75" hidden="false" customHeight="true" outlineLevel="0" collapsed="false"/>
    <row r="3191" customFormat="false" ht="12.75" hidden="false" customHeight="true" outlineLevel="0" collapsed="false"/>
    <row r="3192" customFormat="false" ht="12.75" hidden="false" customHeight="true" outlineLevel="0" collapsed="false"/>
    <row r="3193" customFormat="false" ht="12.75" hidden="false" customHeight="true" outlineLevel="0" collapsed="false"/>
    <row r="3194" customFormat="false" ht="12.75" hidden="false" customHeight="true" outlineLevel="0" collapsed="false"/>
    <row r="3195" customFormat="false" ht="12.75" hidden="false" customHeight="true" outlineLevel="0" collapsed="false"/>
    <row r="3196" customFormat="false" ht="12.75" hidden="false" customHeight="true" outlineLevel="0" collapsed="false"/>
    <row r="3197" customFormat="false" ht="12.75" hidden="false" customHeight="true" outlineLevel="0" collapsed="false"/>
    <row r="3198" customFormat="false" ht="12.75" hidden="false" customHeight="true" outlineLevel="0" collapsed="false"/>
    <row r="3199" customFormat="false" ht="12.75" hidden="false" customHeight="true" outlineLevel="0" collapsed="false"/>
    <row r="3200" customFormat="false" ht="12.75" hidden="false" customHeight="true" outlineLevel="0" collapsed="false"/>
    <row r="3201" customFormat="false" ht="12.75" hidden="false" customHeight="true" outlineLevel="0" collapsed="false"/>
    <row r="3202" customFormat="false" ht="12.75" hidden="false" customHeight="true" outlineLevel="0" collapsed="false"/>
    <row r="3203" customFormat="false" ht="12.75" hidden="false" customHeight="true" outlineLevel="0" collapsed="false"/>
    <row r="3204" customFormat="false" ht="12.75" hidden="false" customHeight="true" outlineLevel="0" collapsed="false"/>
    <row r="3205" customFormat="false" ht="12.75" hidden="false" customHeight="true" outlineLevel="0" collapsed="false"/>
    <row r="3206" customFormat="false" ht="12.75" hidden="false" customHeight="true" outlineLevel="0" collapsed="false"/>
    <row r="3207" customFormat="false" ht="12.75" hidden="false" customHeight="true" outlineLevel="0" collapsed="false"/>
    <row r="3208" customFormat="false" ht="12.75" hidden="false" customHeight="true" outlineLevel="0" collapsed="false"/>
    <row r="3209" customFormat="false" ht="12.75" hidden="false" customHeight="true" outlineLevel="0" collapsed="false"/>
    <row r="3210" customFormat="false" ht="12.75" hidden="false" customHeight="true" outlineLevel="0" collapsed="false"/>
    <row r="3211" customFormat="false" ht="12.75" hidden="false" customHeight="true" outlineLevel="0" collapsed="false"/>
    <row r="3212" customFormat="false" ht="12.75" hidden="false" customHeight="true" outlineLevel="0" collapsed="false"/>
    <row r="3213" customFormat="false" ht="12.75" hidden="false" customHeight="true" outlineLevel="0" collapsed="false"/>
    <row r="3214" customFormat="false" ht="12.75" hidden="false" customHeight="true" outlineLevel="0" collapsed="false"/>
    <row r="3215" customFormat="false" ht="12.75" hidden="false" customHeight="true" outlineLevel="0" collapsed="false"/>
    <row r="3216" customFormat="false" ht="12.75" hidden="false" customHeight="true" outlineLevel="0" collapsed="false"/>
    <row r="3217" customFormat="false" ht="12.75" hidden="false" customHeight="true" outlineLevel="0" collapsed="false"/>
    <row r="3218" customFormat="false" ht="12.75" hidden="false" customHeight="true" outlineLevel="0" collapsed="false"/>
    <row r="3219" customFormat="false" ht="12.75" hidden="false" customHeight="true" outlineLevel="0" collapsed="false"/>
    <row r="3220" customFormat="false" ht="12.75" hidden="false" customHeight="true" outlineLevel="0" collapsed="false"/>
    <row r="3221" customFormat="false" ht="12.75" hidden="false" customHeight="true" outlineLevel="0" collapsed="false"/>
    <row r="3222" customFormat="false" ht="12.75" hidden="false" customHeight="true" outlineLevel="0" collapsed="false"/>
    <row r="3223" customFormat="false" ht="12.75" hidden="false" customHeight="true" outlineLevel="0" collapsed="false"/>
    <row r="3224" customFormat="false" ht="12.75" hidden="false" customHeight="true" outlineLevel="0" collapsed="false"/>
    <row r="3225" customFormat="false" ht="12.75" hidden="false" customHeight="true" outlineLevel="0" collapsed="false"/>
    <row r="3226" customFormat="false" ht="12.75" hidden="false" customHeight="true" outlineLevel="0" collapsed="false"/>
    <row r="3227" customFormat="false" ht="12.75" hidden="false" customHeight="true" outlineLevel="0" collapsed="false"/>
    <row r="3228" customFormat="false" ht="12.75" hidden="false" customHeight="true" outlineLevel="0" collapsed="false"/>
    <row r="3229" customFormat="false" ht="12.75" hidden="false" customHeight="true" outlineLevel="0" collapsed="false"/>
    <row r="3230" customFormat="false" ht="12.75" hidden="false" customHeight="true" outlineLevel="0" collapsed="false"/>
    <row r="3231" customFormat="false" ht="12.75" hidden="false" customHeight="true" outlineLevel="0" collapsed="false"/>
    <row r="3232" customFormat="false" ht="12.75" hidden="false" customHeight="true" outlineLevel="0" collapsed="false"/>
    <row r="3233" customFormat="false" ht="12.75" hidden="false" customHeight="true" outlineLevel="0" collapsed="false"/>
    <row r="3234" customFormat="false" ht="12.75" hidden="false" customHeight="true" outlineLevel="0" collapsed="false"/>
    <row r="3235" customFormat="false" ht="12.75" hidden="false" customHeight="true" outlineLevel="0" collapsed="false"/>
    <row r="3236" customFormat="false" ht="12.75" hidden="false" customHeight="true" outlineLevel="0" collapsed="false"/>
    <row r="3237" customFormat="false" ht="12.75" hidden="false" customHeight="true" outlineLevel="0" collapsed="false"/>
    <row r="3238" customFormat="false" ht="12.75" hidden="false" customHeight="true" outlineLevel="0" collapsed="false"/>
    <row r="3239" customFormat="false" ht="12.75" hidden="false" customHeight="true" outlineLevel="0" collapsed="false"/>
    <row r="3240" customFormat="false" ht="12.75" hidden="false" customHeight="true" outlineLevel="0" collapsed="false"/>
    <row r="3241" customFormat="false" ht="12.75" hidden="false" customHeight="true" outlineLevel="0" collapsed="false"/>
    <row r="3242" customFormat="false" ht="12.75" hidden="false" customHeight="true" outlineLevel="0" collapsed="false"/>
    <row r="3243" customFormat="false" ht="12.75" hidden="false" customHeight="true" outlineLevel="0" collapsed="false"/>
    <row r="3244" customFormat="false" ht="12.75" hidden="false" customHeight="true" outlineLevel="0" collapsed="false"/>
    <row r="3245" customFormat="false" ht="12.75" hidden="false" customHeight="true" outlineLevel="0" collapsed="false"/>
    <row r="3246" customFormat="false" ht="12.75" hidden="false" customHeight="true" outlineLevel="0" collapsed="false"/>
    <row r="3247" customFormat="false" ht="12.75" hidden="false" customHeight="true" outlineLevel="0" collapsed="false"/>
    <row r="3248" customFormat="false" ht="12.75" hidden="false" customHeight="true" outlineLevel="0" collapsed="false"/>
    <row r="3249" customFormat="false" ht="12.75" hidden="false" customHeight="true" outlineLevel="0" collapsed="false"/>
    <row r="3250" customFormat="false" ht="12.75" hidden="false" customHeight="true" outlineLevel="0" collapsed="false"/>
    <row r="3251" customFormat="false" ht="12.75" hidden="false" customHeight="true" outlineLevel="0" collapsed="false"/>
    <row r="3252" customFormat="false" ht="12.75" hidden="false" customHeight="true" outlineLevel="0" collapsed="false"/>
    <row r="3253" customFormat="false" ht="12.75" hidden="false" customHeight="true" outlineLevel="0" collapsed="false"/>
    <row r="3254" customFormat="false" ht="12.75" hidden="false" customHeight="true" outlineLevel="0" collapsed="false"/>
    <row r="3255" customFormat="false" ht="12.75" hidden="false" customHeight="true" outlineLevel="0" collapsed="false"/>
    <row r="3256" customFormat="false" ht="12.75" hidden="false" customHeight="true" outlineLevel="0" collapsed="false"/>
    <row r="3257" customFormat="false" ht="12.75" hidden="false" customHeight="true" outlineLevel="0" collapsed="false"/>
    <row r="3258" customFormat="false" ht="12.75" hidden="false" customHeight="true" outlineLevel="0" collapsed="false"/>
    <row r="3259" customFormat="false" ht="12.75" hidden="false" customHeight="true" outlineLevel="0" collapsed="false"/>
    <row r="3260" customFormat="false" ht="12.75" hidden="false" customHeight="true" outlineLevel="0" collapsed="false"/>
    <row r="3261" customFormat="false" ht="12.75" hidden="false" customHeight="true" outlineLevel="0" collapsed="false"/>
    <row r="3262" customFormat="false" ht="12.75" hidden="false" customHeight="true" outlineLevel="0" collapsed="false"/>
    <row r="3263" customFormat="false" ht="12.75" hidden="false" customHeight="true" outlineLevel="0" collapsed="false"/>
    <row r="3264" customFormat="false" ht="12.75" hidden="false" customHeight="true" outlineLevel="0" collapsed="false"/>
    <row r="3265" customFormat="false" ht="12.75" hidden="false" customHeight="true" outlineLevel="0" collapsed="false"/>
    <row r="3266" customFormat="false" ht="12.75" hidden="false" customHeight="true" outlineLevel="0" collapsed="false"/>
    <row r="3267" customFormat="false" ht="12.75" hidden="false" customHeight="true" outlineLevel="0" collapsed="false"/>
    <row r="3268" customFormat="false" ht="12.75" hidden="false" customHeight="true" outlineLevel="0" collapsed="false"/>
    <row r="3269" customFormat="false" ht="12.75" hidden="false" customHeight="true" outlineLevel="0" collapsed="false"/>
    <row r="3270" customFormat="false" ht="12.75" hidden="false" customHeight="true" outlineLevel="0" collapsed="false"/>
    <row r="3271" customFormat="false" ht="12.75" hidden="false" customHeight="true" outlineLevel="0" collapsed="false"/>
    <row r="3272" customFormat="false" ht="12.75" hidden="false" customHeight="true" outlineLevel="0" collapsed="false"/>
    <row r="3273" customFormat="false" ht="12.75" hidden="false" customHeight="true" outlineLevel="0" collapsed="false"/>
    <row r="3274" customFormat="false" ht="12.75" hidden="false" customHeight="true" outlineLevel="0" collapsed="false"/>
    <row r="3275" customFormat="false" ht="12.75" hidden="false" customHeight="true" outlineLevel="0" collapsed="false"/>
    <row r="3276" customFormat="false" ht="12.75" hidden="false" customHeight="true" outlineLevel="0" collapsed="false"/>
    <row r="3277" customFormat="false" ht="12.75" hidden="false" customHeight="true" outlineLevel="0" collapsed="false"/>
    <row r="3278" customFormat="false" ht="12.75" hidden="false" customHeight="true" outlineLevel="0" collapsed="false"/>
    <row r="3279" customFormat="false" ht="12.75" hidden="false" customHeight="true" outlineLevel="0" collapsed="false"/>
    <row r="3280" customFormat="false" ht="12.75" hidden="false" customHeight="true" outlineLevel="0" collapsed="false"/>
    <row r="3281" customFormat="false" ht="12.75" hidden="false" customHeight="true" outlineLevel="0" collapsed="false"/>
    <row r="3282" customFormat="false" ht="12.75" hidden="false" customHeight="true" outlineLevel="0" collapsed="false"/>
    <row r="3283" customFormat="false" ht="12.75" hidden="false" customHeight="true" outlineLevel="0" collapsed="false"/>
    <row r="3284" customFormat="false" ht="12.75" hidden="false" customHeight="true" outlineLevel="0" collapsed="false"/>
    <row r="3285" customFormat="false" ht="12.75" hidden="false" customHeight="true" outlineLevel="0" collapsed="false"/>
    <row r="3286" customFormat="false" ht="12.75" hidden="false" customHeight="true" outlineLevel="0" collapsed="false"/>
    <row r="3287" customFormat="false" ht="12.75" hidden="false" customHeight="true" outlineLevel="0" collapsed="false"/>
    <row r="3288" customFormat="false" ht="12.75" hidden="false" customHeight="true" outlineLevel="0" collapsed="false"/>
    <row r="3289" customFormat="false" ht="12.75" hidden="false" customHeight="true" outlineLevel="0" collapsed="false"/>
    <row r="3290" customFormat="false" ht="12.75" hidden="false" customHeight="true" outlineLevel="0" collapsed="false"/>
    <row r="3291" customFormat="false" ht="12.75" hidden="false" customHeight="true" outlineLevel="0" collapsed="false"/>
    <row r="3292" customFormat="false" ht="12.75" hidden="false" customHeight="true" outlineLevel="0" collapsed="false"/>
    <row r="3293" customFormat="false" ht="12.75" hidden="false" customHeight="true" outlineLevel="0" collapsed="false"/>
    <row r="3294" customFormat="false" ht="12.75" hidden="false" customHeight="true" outlineLevel="0" collapsed="false"/>
    <row r="3295" customFormat="false" ht="12.75" hidden="false" customHeight="true" outlineLevel="0" collapsed="false"/>
    <row r="3296" customFormat="false" ht="12.75" hidden="false" customHeight="true" outlineLevel="0" collapsed="false"/>
    <row r="3297" customFormat="false" ht="12.75" hidden="false" customHeight="true" outlineLevel="0" collapsed="false"/>
    <row r="3298" customFormat="false" ht="12.75" hidden="false" customHeight="true" outlineLevel="0" collapsed="false"/>
    <row r="3299" customFormat="false" ht="12.75" hidden="false" customHeight="true" outlineLevel="0" collapsed="false"/>
    <row r="3300" customFormat="false" ht="12.75" hidden="false" customHeight="true" outlineLevel="0" collapsed="false"/>
    <row r="3301" customFormat="false" ht="12.75" hidden="false" customHeight="true" outlineLevel="0" collapsed="false"/>
    <row r="3302" customFormat="false" ht="12.75" hidden="false" customHeight="true" outlineLevel="0" collapsed="false"/>
    <row r="3303" customFormat="false" ht="12.75" hidden="false" customHeight="true" outlineLevel="0" collapsed="false"/>
    <row r="3304" customFormat="false" ht="12.75" hidden="false" customHeight="true" outlineLevel="0" collapsed="false"/>
    <row r="3305" customFormat="false" ht="12.75" hidden="false" customHeight="true" outlineLevel="0" collapsed="false"/>
    <row r="3306" customFormat="false" ht="12.75" hidden="false" customHeight="true" outlineLevel="0" collapsed="false"/>
    <row r="3307" customFormat="false" ht="12.75" hidden="false" customHeight="true" outlineLevel="0" collapsed="false"/>
    <row r="3308" customFormat="false" ht="12.75" hidden="false" customHeight="true" outlineLevel="0" collapsed="false"/>
    <row r="3309" customFormat="false" ht="12.75" hidden="false" customHeight="true" outlineLevel="0" collapsed="false"/>
    <row r="3310" customFormat="false" ht="12.75" hidden="false" customHeight="true" outlineLevel="0" collapsed="false"/>
    <row r="3311" customFormat="false" ht="12.75" hidden="false" customHeight="true" outlineLevel="0" collapsed="false"/>
    <row r="3312" customFormat="false" ht="12.75" hidden="false" customHeight="true" outlineLevel="0" collapsed="false"/>
    <row r="3313" customFormat="false" ht="12.75" hidden="false" customHeight="true" outlineLevel="0" collapsed="false"/>
    <row r="3314" customFormat="false" ht="12.75" hidden="false" customHeight="true" outlineLevel="0" collapsed="false"/>
    <row r="3315" customFormat="false" ht="12.75" hidden="false" customHeight="true" outlineLevel="0" collapsed="false"/>
    <row r="3316" customFormat="false" ht="12.75" hidden="false" customHeight="true" outlineLevel="0" collapsed="false"/>
    <row r="3317" customFormat="false" ht="12.75" hidden="false" customHeight="true" outlineLevel="0" collapsed="false"/>
    <row r="3318" customFormat="false" ht="12.75" hidden="false" customHeight="true" outlineLevel="0" collapsed="false"/>
    <row r="3319" customFormat="false" ht="12.75" hidden="false" customHeight="true" outlineLevel="0" collapsed="false"/>
    <row r="3320" customFormat="false" ht="12.75" hidden="false" customHeight="true" outlineLevel="0" collapsed="false"/>
    <row r="3321" customFormat="false" ht="12.75" hidden="false" customHeight="true" outlineLevel="0" collapsed="false"/>
    <row r="3322" customFormat="false" ht="12.75" hidden="false" customHeight="true" outlineLevel="0" collapsed="false"/>
    <row r="3323" customFormat="false" ht="12.75" hidden="false" customHeight="true" outlineLevel="0" collapsed="false"/>
    <row r="3324" customFormat="false" ht="12.75" hidden="false" customHeight="true" outlineLevel="0" collapsed="false"/>
    <row r="3325" customFormat="false" ht="12.75" hidden="false" customHeight="true" outlineLevel="0" collapsed="false"/>
    <row r="3326" customFormat="false" ht="12.75" hidden="false" customHeight="true" outlineLevel="0" collapsed="false"/>
    <row r="3327" customFormat="false" ht="12.75" hidden="false" customHeight="true" outlineLevel="0" collapsed="false"/>
    <row r="3328" customFormat="false" ht="12.75" hidden="false" customHeight="true" outlineLevel="0" collapsed="false"/>
    <row r="3329" customFormat="false" ht="12.75" hidden="false" customHeight="true" outlineLevel="0" collapsed="false"/>
    <row r="3330" customFormat="false" ht="12.75" hidden="false" customHeight="true" outlineLevel="0" collapsed="false"/>
    <row r="3331" customFormat="false" ht="12.75" hidden="false" customHeight="true" outlineLevel="0" collapsed="false"/>
    <row r="3332" customFormat="false" ht="12.75" hidden="false" customHeight="true" outlineLevel="0" collapsed="false"/>
    <row r="3333" customFormat="false" ht="12.75" hidden="false" customHeight="true" outlineLevel="0" collapsed="false"/>
    <row r="3334" customFormat="false" ht="12.75" hidden="false" customHeight="true" outlineLevel="0" collapsed="false"/>
    <row r="3335" customFormat="false" ht="12.75" hidden="false" customHeight="true" outlineLevel="0" collapsed="false"/>
    <row r="3336" customFormat="false" ht="12.75" hidden="false" customHeight="true" outlineLevel="0" collapsed="false"/>
    <row r="3337" customFormat="false" ht="12.75" hidden="false" customHeight="true" outlineLevel="0" collapsed="false"/>
    <row r="3338" customFormat="false" ht="12.75" hidden="false" customHeight="true" outlineLevel="0" collapsed="false"/>
    <row r="3339" customFormat="false" ht="12.75" hidden="false" customHeight="true" outlineLevel="0" collapsed="false"/>
    <row r="3340" customFormat="false" ht="12.75" hidden="false" customHeight="true" outlineLevel="0" collapsed="false"/>
    <row r="3341" customFormat="false" ht="12.75" hidden="false" customHeight="true" outlineLevel="0" collapsed="false"/>
    <row r="3342" customFormat="false" ht="12.75" hidden="false" customHeight="true" outlineLevel="0" collapsed="false"/>
    <row r="3343" customFormat="false" ht="12.75" hidden="false" customHeight="true" outlineLevel="0" collapsed="false"/>
    <row r="3344" customFormat="false" ht="12.75" hidden="false" customHeight="true" outlineLevel="0" collapsed="false"/>
    <row r="3345" customFormat="false" ht="12.75" hidden="false" customHeight="true" outlineLevel="0" collapsed="false"/>
    <row r="3346" customFormat="false" ht="12.75" hidden="false" customHeight="true" outlineLevel="0" collapsed="false"/>
    <row r="3347" customFormat="false" ht="12.75" hidden="false" customHeight="true" outlineLevel="0" collapsed="false"/>
    <row r="3348" customFormat="false" ht="12.75" hidden="false" customHeight="true" outlineLevel="0" collapsed="false"/>
    <row r="3349" customFormat="false" ht="12.75" hidden="false" customHeight="true" outlineLevel="0" collapsed="false"/>
    <row r="3350" customFormat="false" ht="12.75" hidden="false" customHeight="true" outlineLevel="0" collapsed="false"/>
    <row r="3351" customFormat="false" ht="12.75" hidden="false" customHeight="true" outlineLevel="0" collapsed="false"/>
    <row r="3352" customFormat="false" ht="12.75" hidden="false" customHeight="true" outlineLevel="0" collapsed="false"/>
    <row r="3353" customFormat="false" ht="12.75" hidden="false" customHeight="true" outlineLevel="0" collapsed="false"/>
    <row r="3354" customFormat="false" ht="12.75" hidden="false" customHeight="true" outlineLevel="0" collapsed="false"/>
    <row r="3355" customFormat="false" ht="12.75" hidden="false" customHeight="true" outlineLevel="0" collapsed="false"/>
    <row r="3356" customFormat="false" ht="12.75" hidden="false" customHeight="true" outlineLevel="0" collapsed="false"/>
    <row r="3357" customFormat="false" ht="12.75" hidden="false" customHeight="true" outlineLevel="0" collapsed="false"/>
    <row r="3358" customFormat="false" ht="12.75" hidden="false" customHeight="true" outlineLevel="0" collapsed="false"/>
    <row r="3359" customFormat="false" ht="12.75" hidden="false" customHeight="true" outlineLevel="0" collapsed="false"/>
    <row r="3360" customFormat="false" ht="12.75" hidden="false" customHeight="true" outlineLevel="0" collapsed="false"/>
    <row r="3361" customFormat="false" ht="12.75" hidden="false" customHeight="true" outlineLevel="0" collapsed="false"/>
    <row r="3362" customFormat="false" ht="12.75" hidden="false" customHeight="true" outlineLevel="0" collapsed="false"/>
    <row r="3363" customFormat="false" ht="12.75" hidden="false" customHeight="true" outlineLevel="0" collapsed="false"/>
    <row r="3364" customFormat="false" ht="12.75" hidden="false" customHeight="true" outlineLevel="0" collapsed="false"/>
    <row r="3365" customFormat="false" ht="12.75" hidden="false" customHeight="true" outlineLevel="0" collapsed="false"/>
    <row r="3366" customFormat="false" ht="12.75" hidden="false" customHeight="true" outlineLevel="0" collapsed="false"/>
    <row r="3367" customFormat="false" ht="12.75" hidden="false" customHeight="true" outlineLevel="0" collapsed="false"/>
    <row r="3368" customFormat="false" ht="12.75" hidden="false" customHeight="true" outlineLevel="0" collapsed="false"/>
    <row r="3369" customFormat="false" ht="12.75" hidden="false" customHeight="true" outlineLevel="0" collapsed="false"/>
    <row r="3370" customFormat="false" ht="12.75" hidden="false" customHeight="true" outlineLevel="0" collapsed="false"/>
    <row r="3371" customFormat="false" ht="12.75" hidden="false" customHeight="true" outlineLevel="0" collapsed="false"/>
    <row r="3372" customFormat="false" ht="12.75" hidden="false" customHeight="true" outlineLevel="0" collapsed="false"/>
    <row r="3373" customFormat="false" ht="12.75" hidden="false" customHeight="true" outlineLevel="0" collapsed="false"/>
    <row r="3374" customFormat="false" ht="12.75" hidden="false" customHeight="true" outlineLevel="0" collapsed="false"/>
    <row r="3375" customFormat="false" ht="12.75" hidden="false" customHeight="true" outlineLevel="0" collapsed="false"/>
    <row r="3376" customFormat="false" ht="12.75" hidden="false" customHeight="true" outlineLevel="0" collapsed="false"/>
    <row r="3377" customFormat="false" ht="12.75" hidden="false" customHeight="true" outlineLevel="0" collapsed="false"/>
    <row r="3378" customFormat="false" ht="12.75" hidden="false" customHeight="true" outlineLevel="0" collapsed="false"/>
    <row r="3379" customFormat="false" ht="12.75" hidden="false" customHeight="true" outlineLevel="0" collapsed="false"/>
    <row r="3380" customFormat="false" ht="12.75" hidden="false" customHeight="true" outlineLevel="0" collapsed="false"/>
    <row r="3381" customFormat="false" ht="12.75" hidden="false" customHeight="true" outlineLevel="0" collapsed="false"/>
    <row r="3382" customFormat="false" ht="12.75" hidden="false" customHeight="true" outlineLevel="0" collapsed="false"/>
    <row r="3383" customFormat="false" ht="12.75" hidden="false" customHeight="true" outlineLevel="0" collapsed="false"/>
    <row r="3384" customFormat="false" ht="12.75" hidden="false" customHeight="true" outlineLevel="0" collapsed="false"/>
    <row r="3385" customFormat="false" ht="12.75" hidden="false" customHeight="true" outlineLevel="0" collapsed="false"/>
    <row r="3386" customFormat="false" ht="12.75" hidden="false" customHeight="true" outlineLevel="0" collapsed="false"/>
    <row r="3387" customFormat="false" ht="12.75" hidden="false" customHeight="true" outlineLevel="0" collapsed="false"/>
    <row r="3388" customFormat="false" ht="12.75" hidden="false" customHeight="true" outlineLevel="0" collapsed="false"/>
    <row r="3389" customFormat="false" ht="12.75" hidden="false" customHeight="true" outlineLevel="0" collapsed="false"/>
    <row r="3390" customFormat="false" ht="12.75" hidden="false" customHeight="true" outlineLevel="0" collapsed="false"/>
    <row r="3391" customFormat="false" ht="12.75" hidden="false" customHeight="true" outlineLevel="0" collapsed="false"/>
    <row r="3392" customFormat="false" ht="12.75" hidden="false" customHeight="true" outlineLevel="0" collapsed="false"/>
    <row r="3393" customFormat="false" ht="12.75" hidden="false" customHeight="true" outlineLevel="0" collapsed="false"/>
    <row r="3394" customFormat="false" ht="12.75" hidden="false" customHeight="true" outlineLevel="0" collapsed="false"/>
    <row r="3395" customFormat="false" ht="12.75" hidden="false" customHeight="true" outlineLevel="0" collapsed="false"/>
    <row r="3396" customFormat="false" ht="12.75" hidden="false" customHeight="true" outlineLevel="0" collapsed="false"/>
    <row r="3397" customFormat="false" ht="12.75" hidden="false" customHeight="true" outlineLevel="0" collapsed="false"/>
    <row r="3398" customFormat="false" ht="12.75" hidden="false" customHeight="true" outlineLevel="0" collapsed="false"/>
    <row r="3399" customFormat="false" ht="12.75" hidden="false" customHeight="true" outlineLevel="0" collapsed="false"/>
    <row r="3400" customFormat="false" ht="12.75" hidden="false" customHeight="true" outlineLevel="0" collapsed="false"/>
    <row r="3401" customFormat="false" ht="12.75" hidden="false" customHeight="true" outlineLevel="0" collapsed="false"/>
    <row r="3402" customFormat="false" ht="12.75" hidden="false" customHeight="true" outlineLevel="0" collapsed="false"/>
    <row r="3403" customFormat="false" ht="12.75" hidden="false" customHeight="true" outlineLevel="0" collapsed="false"/>
    <row r="3404" customFormat="false" ht="12.75" hidden="false" customHeight="true" outlineLevel="0" collapsed="false"/>
    <row r="3405" customFormat="false" ht="12.75" hidden="false" customHeight="true" outlineLevel="0" collapsed="false"/>
    <row r="3406" customFormat="false" ht="12.75" hidden="false" customHeight="true" outlineLevel="0" collapsed="false"/>
    <row r="3407" customFormat="false" ht="12.75" hidden="false" customHeight="true" outlineLevel="0" collapsed="false"/>
    <row r="3408" customFormat="false" ht="12.75" hidden="false" customHeight="true" outlineLevel="0" collapsed="false"/>
    <row r="3409" customFormat="false" ht="12.75" hidden="false" customHeight="true" outlineLevel="0" collapsed="false"/>
    <row r="3410" customFormat="false" ht="12.75" hidden="false" customHeight="true" outlineLevel="0" collapsed="false"/>
    <row r="3411" customFormat="false" ht="12.75" hidden="false" customHeight="true" outlineLevel="0" collapsed="false"/>
    <row r="3412" customFormat="false" ht="12.75" hidden="false" customHeight="true" outlineLevel="0" collapsed="false"/>
    <row r="3413" customFormat="false" ht="12.75" hidden="false" customHeight="true" outlineLevel="0" collapsed="false"/>
    <row r="3414" customFormat="false" ht="12.75" hidden="false" customHeight="true" outlineLevel="0" collapsed="false"/>
    <row r="3415" customFormat="false" ht="12.75" hidden="false" customHeight="true" outlineLevel="0" collapsed="false"/>
    <row r="3416" customFormat="false" ht="12.75" hidden="false" customHeight="true" outlineLevel="0" collapsed="false"/>
    <row r="3417" customFormat="false" ht="12.75" hidden="false" customHeight="true" outlineLevel="0" collapsed="false"/>
    <row r="3418" customFormat="false" ht="12.75" hidden="false" customHeight="true" outlineLevel="0" collapsed="false"/>
    <row r="3419" customFormat="false" ht="12.75" hidden="false" customHeight="true" outlineLevel="0" collapsed="false"/>
    <row r="3420" customFormat="false" ht="12.75" hidden="false" customHeight="true" outlineLevel="0" collapsed="false"/>
    <row r="3421" customFormat="false" ht="12.75" hidden="false" customHeight="true" outlineLevel="0" collapsed="false"/>
    <row r="3422" customFormat="false" ht="12.75" hidden="false" customHeight="true" outlineLevel="0" collapsed="false"/>
    <row r="3423" customFormat="false" ht="12.75" hidden="false" customHeight="true" outlineLevel="0" collapsed="false"/>
    <row r="3424" customFormat="false" ht="12.75" hidden="false" customHeight="true" outlineLevel="0" collapsed="false"/>
    <row r="3425" customFormat="false" ht="12.75" hidden="false" customHeight="true" outlineLevel="0" collapsed="false"/>
    <row r="3426" customFormat="false" ht="12.75" hidden="false" customHeight="true" outlineLevel="0" collapsed="false"/>
    <row r="3427" customFormat="false" ht="12.75" hidden="false" customHeight="true" outlineLevel="0" collapsed="false"/>
    <row r="3428" customFormat="false" ht="12.75" hidden="false" customHeight="true" outlineLevel="0" collapsed="false"/>
    <row r="3429" customFormat="false" ht="12.75" hidden="false" customHeight="true" outlineLevel="0" collapsed="false"/>
    <row r="3430" customFormat="false" ht="12.75" hidden="false" customHeight="true" outlineLevel="0" collapsed="false"/>
    <row r="3431" customFormat="false" ht="12.75" hidden="false" customHeight="true" outlineLevel="0" collapsed="false"/>
    <row r="3432" customFormat="false" ht="12.75" hidden="false" customHeight="true" outlineLevel="0" collapsed="false"/>
    <row r="3433" customFormat="false" ht="12.75" hidden="false" customHeight="true" outlineLevel="0" collapsed="false"/>
    <row r="3434" customFormat="false" ht="12.75" hidden="false" customHeight="true" outlineLevel="0" collapsed="false"/>
    <row r="3435" customFormat="false" ht="12.75" hidden="false" customHeight="true" outlineLevel="0" collapsed="false"/>
    <row r="3436" customFormat="false" ht="12.75" hidden="false" customHeight="true" outlineLevel="0" collapsed="false"/>
    <row r="3437" customFormat="false" ht="12.75" hidden="false" customHeight="true" outlineLevel="0" collapsed="false"/>
    <row r="3438" customFormat="false" ht="12.75" hidden="false" customHeight="true" outlineLevel="0" collapsed="false"/>
    <row r="3439" customFormat="false" ht="12.75" hidden="false" customHeight="true" outlineLevel="0" collapsed="false"/>
    <row r="3440" customFormat="false" ht="12.75" hidden="false" customHeight="true" outlineLevel="0" collapsed="false"/>
    <row r="3441" customFormat="false" ht="12.75" hidden="false" customHeight="true" outlineLevel="0" collapsed="false"/>
    <row r="3442" customFormat="false" ht="12.75" hidden="false" customHeight="true" outlineLevel="0" collapsed="false"/>
    <row r="3443" customFormat="false" ht="12.75" hidden="false" customHeight="true" outlineLevel="0" collapsed="false"/>
    <row r="3444" customFormat="false" ht="12.75" hidden="false" customHeight="true" outlineLevel="0" collapsed="false"/>
    <row r="3445" customFormat="false" ht="12.75" hidden="false" customHeight="true" outlineLevel="0" collapsed="false"/>
    <row r="3446" customFormat="false" ht="12.75" hidden="false" customHeight="true" outlineLevel="0" collapsed="false"/>
    <row r="3447" customFormat="false" ht="12.75" hidden="false" customHeight="true" outlineLevel="0" collapsed="false"/>
    <row r="3448" customFormat="false" ht="12.75" hidden="false" customHeight="true" outlineLevel="0" collapsed="false"/>
    <row r="3449" customFormat="false" ht="12.75" hidden="false" customHeight="true" outlineLevel="0" collapsed="false"/>
    <row r="3450" customFormat="false" ht="12.75" hidden="false" customHeight="true" outlineLevel="0" collapsed="false"/>
    <row r="3451" customFormat="false" ht="12.75" hidden="false" customHeight="true" outlineLevel="0" collapsed="false"/>
    <row r="3452" customFormat="false" ht="12.75" hidden="false" customHeight="true" outlineLevel="0" collapsed="false"/>
    <row r="3453" customFormat="false" ht="12.75" hidden="false" customHeight="true" outlineLevel="0" collapsed="false"/>
    <row r="3454" customFormat="false" ht="12.75" hidden="false" customHeight="true" outlineLevel="0" collapsed="false"/>
    <row r="3455" customFormat="false" ht="12.75" hidden="false" customHeight="true" outlineLevel="0" collapsed="false"/>
    <row r="3456" customFormat="false" ht="12.75" hidden="false" customHeight="true" outlineLevel="0" collapsed="false"/>
    <row r="3457" customFormat="false" ht="12.75" hidden="false" customHeight="true" outlineLevel="0" collapsed="false"/>
    <row r="3458" customFormat="false" ht="12.75" hidden="false" customHeight="true" outlineLevel="0" collapsed="false"/>
    <row r="3459" customFormat="false" ht="12.75" hidden="false" customHeight="true" outlineLevel="0" collapsed="false"/>
    <row r="3460" customFormat="false" ht="12.75" hidden="false" customHeight="true" outlineLevel="0" collapsed="false"/>
    <row r="3461" customFormat="false" ht="12.75" hidden="false" customHeight="true" outlineLevel="0" collapsed="false"/>
    <row r="3462" customFormat="false" ht="12.75" hidden="false" customHeight="true" outlineLevel="0" collapsed="false"/>
    <row r="3463" customFormat="false" ht="12.75" hidden="false" customHeight="true" outlineLevel="0" collapsed="false"/>
    <row r="3464" customFormat="false" ht="12.75" hidden="false" customHeight="true" outlineLevel="0" collapsed="false"/>
    <row r="3465" customFormat="false" ht="12.75" hidden="false" customHeight="true" outlineLevel="0" collapsed="false"/>
    <row r="3466" customFormat="false" ht="12.75" hidden="false" customHeight="true" outlineLevel="0" collapsed="false"/>
    <row r="3467" customFormat="false" ht="12.75" hidden="false" customHeight="true" outlineLevel="0" collapsed="false"/>
    <row r="3468" customFormat="false" ht="12.75" hidden="false" customHeight="true" outlineLevel="0" collapsed="false"/>
    <row r="3469" customFormat="false" ht="12.75" hidden="false" customHeight="true" outlineLevel="0" collapsed="false"/>
    <row r="3470" customFormat="false" ht="12.75" hidden="false" customHeight="true" outlineLevel="0" collapsed="false"/>
    <row r="3471" customFormat="false" ht="12.75" hidden="false" customHeight="true" outlineLevel="0" collapsed="false"/>
    <row r="3472" customFormat="false" ht="12.75" hidden="false" customHeight="true" outlineLevel="0" collapsed="false"/>
    <row r="3473" customFormat="false" ht="12.75" hidden="false" customHeight="true" outlineLevel="0" collapsed="false"/>
    <row r="3474" customFormat="false" ht="12.75" hidden="false" customHeight="true" outlineLevel="0" collapsed="false"/>
    <row r="3475" customFormat="false" ht="12.75" hidden="false" customHeight="true" outlineLevel="0" collapsed="false"/>
    <row r="3476" customFormat="false" ht="12.75" hidden="false" customHeight="true" outlineLevel="0" collapsed="false"/>
    <row r="3477" customFormat="false" ht="12.75" hidden="false" customHeight="true" outlineLevel="0" collapsed="false"/>
    <row r="3478" customFormat="false" ht="12.75" hidden="false" customHeight="true" outlineLevel="0" collapsed="false"/>
    <row r="3479" customFormat="false" ht="12.75" hidden="false" customHeight="true" outlineLevel="0" collapsed="false"/>
    <row r="3480" customFormat="false" ht="12.75" hidden="false" customHeight="true" outlineLevel="0" collapsed="false"/>
    <row r="3481" customFormat="false" ht="12.75" hidden="false" customHeight="true" outlineLevel="0" collapsed="false"/>
    <row r="3482" customFormat="false" ht="12.75" hidden="false" customHeight="true" outlineLevel="0" collapsed="false"/>
    <row r="3483" customFormat="false" ht="12.75" hidden="false" customHeight="true" outlineLevel="0" collapsed="false"/>
    <row r="3484" customFormat="false" ht="12.75" hidden="false" customHeight="true" outlineLevel="0" collapsed="false"/>
    <row r="3485" customFormat="false" ht="12.75" hidden="false" customHeight="true" outlineLevel="0" collapsed="false"/>
    <row r="3486" customFormat="false" ht="12.75" hidden="false" customHeight="true" outlineLevel="0" collapsed="false"/>
    <row r="3487" customFormat="false" ht="12.75" hidden="false" customHeight="true" outlineLevel="0" collapsed="false"/>
    <row r="3488" customFormat="false" ht="12.75" hidden="false" customHeight="true" outlineLevel="0" collapsed="false"/>
    <row r="3489" customFormat="false" ht="12.75" hidden="false" customHeight="true" outlineLevel="0" collapsed="false"/>
    <row r="3490" customFormat="false" ht="12.75" hidden="false" customHeight="true" outlineLevel="0" collapsed="false"/>
    <row r="3491" customFormat="false" ht="12.75" hidden="false" customHeight="true" outlineLevel="0" collapsed="false"/>
    <row r="3492" customFormat="false" ht="12.75" hidden="false" customHeight="true" outlineLevel="0" collapsed="false"/>
    <row r="3493" customFormat="false" ht="12.75" hidden="false" customHeight="true" outlineLevel="0" collapsed="false"/>
    <row r="3494" customFormat="false" ht="12.75" hidden="false" customHeight="true" outlineLevel="0" collapsed="false"/>
    <row r="3495" customFormat="false" ht="12.75" hidden="false" customHeight="true" outlineLevel="0" collapsed="false"/>
    <row r="3496" customFormat="false" ht="12.75" hidden="false" customHeight="true" outlineLevel="0" collapsed="false"/>
    <row r="3497" customFormat="false" ht="12.75" hidden="false" customHeight="true" outlineLevel="0" collapsed="false"/>
    <row r="3498" customFormat="false" ht="12.75" hidden="false" customHeight="true" outlineLevel="0" collapsed="false"/>
    <row r="3499" customFormat="false" ht="12.75" hidden="false" customHeight="true" outlineLevel="0" collapsed="false"/>
    <row r="3500" customFormat="false" ht="12.75" hidden="false" customHeight="true" outlineLevel="0" collapsed="false"/>
    <row r="3501" customFormat="false" ht="12.75" hidden="false" customHeight="true" outlineLevel="0" collapsed="false"/>
    <row r="3502" customFormat="false" ht="12.75" hidden="false" customHeight="true" outlineLevel="0" collapsed="false"/>
    <row r="3503" customFormat="false" ht="12.75" hidden="false" customHeight="true" outlineLevel="0" collapsed="false"/>
    <row r="3504" customFormat="false" ht="12.75" hidden="false" customHeight="true" outlineLevel="0" collapsed="false"/>
    <row r="3505" customFormat="false" ht="12.75" hidden="false" customHeight="true" outlineLevel="0" collapsed="false"/>
    <row r="3506" customFormat="false" ht="12.75" hidden="false" customHeight="true" outlineLevel="0" collapsed="false"/>
    <row r="3507" customFormat="false" ht="12.75" hidden="false" customHeight="true" outlineLevel="0" collapsed="false"/>
    <row r="3508" customFormat="false" ht="12.75" hidden="false" customHeight="true" outlineLevel="0" collapsed="false"/>
    <row r="3509" customFormat="false" ht="12.75" hidden="false" customHeight="true" outlineLevel="0" collapsed="false"/>
    <row r="3510" customFormat="false" ht="12.75" hidden="false" customHeight="true" outlineLevel="0" collapsed="false"/>
    <row r="3511" customFormat="false" ht="12.75" hidden="false" customHeight="true" outlineLevel="0" collapsed="false"/>
    <row r="3512" customFormat="false" ht="12.75" hidden="false" customHeight="true" outlineLevel="0" collapsed="false"/>
    <row r="3513" customFormat="false" ht="12.75" hidden="false" customHeight="true" outlineLevel="0" collapsed="false"/>
    <row r="3514" customFormat="false" ht="12.75" hidden="false" customHeight="true" outlineLevel="0" collapsed="false"/>
    <row r="3515" customFormat="false" ht="12.75" hidden="false" customHeight="true" outlineLevel="0" collapsed="false"/>
    <row r="3516" customFormat="false" ht="12.75" hidden="false" customHeight="true" outlineLevel="0" collapsed="false"/>
    <row r="3517" customFormat="false" ht="12.75" hidden="false" customHeight="true" outlineLevel="0" collapsed="false"/>
    <row r="3518" customFormat="false" ht="12.75" hidden="false" customHeight="true" outlineLevel="0" collapsed="false"/>
    <row r="3519" customFormat="false" ht="12.75" hidden="false" customHeight="true" outlineLevel="0" collapsed="false"/>
    <row r="3520" customFormat="false" ht="12.75" hidden="false" customHeight="true" outlineLevel="0" collapsed="false"/>
    <row r="3521" customFormat="false" ht="12.75" hidden="false" customHeight="true" outlineLevel="0" collapsed="false"/>
    <row r="3522" customFormat="false" ht="12.75" hidden="false" customHeight="true" outlineLevel="0" collapsed="false"/>
    <row r="3523" customFormat="false" ht="12.75" hidden="false" customHeight="true" outlineLevel="0" collapsed="false"/>
    <row r="3524" customFormat="false" ht="12.75" hidden="false" customHeight="true" outlineLevel="0" collapsed="false"/>
    <row r="3525" customFormat="false" ht="12.75" hidden="false" customHeight="true" outlineLevel="0" collapsed="false"/>
    <row r="3526" customFormat="false" ht="12.75" hidden="false" customHeight="true" outlineLevel="0" collapsed="false"/>
    <row r="3527" customFormat="false" ht="12.75" hidden="false" customHeight="true" outlineLevel="0" collapsed="false"/>
    <row r="3528" customFormat="false" ht="12.75" hidden="false" customHeight="true" outlineLevel="0" collapsed="false"/>
    <row r="3529" customFormat="false" ht="12.75" hidden="false" customHeight="true" outlineLevel="0" collapsed="false"/>
    <row r="3530" customFormat="false" ht="12.75" hidden="false" customHeight="true" outlineLevel="0" collapsed="false"/>
    <row r="3531" customFormat="false" ht="12.75" hidden="false" customHeight="true" outlineLevel="0" collapsed="false"/>
    <row r="3532" customFormat="false" ht="12.75" hidden="false" customHeight="true" outlineLevel="0" collapsed="false"/>
    <row r="3533" customFormat="false" ht="12.75" hidden="false" customHeight="true" outlineLevel="0" collapsed="false"/>
    <row r="3534" customFormat="false" ht="12.75" hidden="false" customHeight="true" outlineLevel="0" collapsed="false"/>
    <row r="3535" customFormat="false" ht="12.75" hidden="false" customHeight="true" outlineLevel="0" collapsed="false"/>
    <row r="3536" customFormat="false" ht="12.75" hidden="false" customHeight="true" outlineLevel="0" collapsed="false"/>
    <row r="3537" customFormat="false" ht="12.75" hidden="false" customHeight="true" outlineLevel="0" collapsed="false"/>
    <row r="3538" customFormat="false" ht="12.75" hidden="false" customHeight="true" outlineLevel="0" collapsed="false"/>
    <row r="3539" customFormat="false" ht="12.75" hidden="false" customHeight="true" outlineLevel="0" collapsed="false"/>
    <row r="3540" customFormat="false" ht="12.75" hidden="false" customHeight="true" outlineLevel="0" collapsed="false"/>
    <row r="3541" customFormat="false" ht="12.75" hidden="false" customHeight="true" outlineLevel="0" collapsed="false"/>
    <row r="3542" customFormat="false" ht="12.75" hidden="false" customHeight="true" outlineLevel="0" collapsed="false"/>
    <row r="3543" customFormat="false" ht="12.75" hidden="false" customHeight="true" outlineLevel="0" collapsed="false"/>
    <row r="3544" customFormat="false" ht="12.75" hidden="false" customHeight="true" outlineLevel="0" collapsed="false"/>
    <row r="3545" customFormat="false" ht="12.75" hidden="false" customHeight="true" outlineLevel="0" collapsed="false"/>
    <row r="3546" customFormat="false" ht="12.75" hidden="false" customHeight="true" outlineLevel="0" collapsed="false"/>
    <row r="3547" customFormat="false" ht="12.75" hidden="false" customHeight="true" outlineLevel="0" collapsed="false"/>
    <row r="3548" customFormat="false" ht="12.75" hidden="false" customHeight="true" outlineLevel="0" collapsed="false"/>
    <row r="3549" customFormat="false" ht="12.75" hidden="false" customHeight="true" outlineLevel="0" collapsed="false"/>
    <row r="3550" customFormat="false" ht="12.75" hidden="false" customHeight="true" outlineLevel="0" collapsed="false"/>
    <row r="3551" customFormat="false" ht="12.75" hidden="false" customHeight="true" outlineLevel="0" collapsed="false"/>
    <row r="3552" customFormat="false" ht="12.75" hidden="false" customHeight="true" outlineLevel="0" collapsed="false"/>
    <row r="3553" customFormat="false" ht="12.75" hidden="false" customHeight="true" outlineLevel="0" collapsed="false"/>
    <row r="3554" customFormat="false" ht="12.75" hidden="false" customHeight="true" outlineLevel="0" collapsed="false"/>
    <row r="3555" customFormat="false" ht="12.75" hidden="false" customHeight="true" outlineLevel="0" collapsed="false"/>
    <row r="3556" customFormat="false" ht="12.75" hidden="false" customHeight="true" outlineLevel="0" collapsed="false"/>
    <row r="3557" customFormat="false" ht="12.75" hidden="false" customHeight="true" outlineLevel="0" collapsed="false"/>
    <row r="3558" customFormat="false" ht="12.75" hidden="false" customHeight="true" outlineLevel="0" collapsed="false"/>
    <row r="3559" customFormat="false" ht="12.75" hidden="false" customHeight="true" outlineLevel="0" collapsed="false"/>
    <row r="3560" customFormat="false" ht="12.75" hidden="false" customHeight="true" outlineLevel="0" collapsed="false"/>
    <row r="3561" customFormat="false" ht="12.75" hidden="false" customHeight="true" outlineLevel="0" collapsed="false"/>
    <row r="3562" customFormat="false" ht="12.75" hidden="false" customHeight="true" outlineLevel="0" collapsed="false"/>
    <row r="3563" customFormat="false" ht="12.75" hidden="false" customHeight="true" outlineLevel="0" collapsed="false"/>
    <row r="3564" customFormat="false" ht="12.75" hidden="false" customHeight="true" outlineLevel="0" collapsed="false"/>
    <row r="3565" customFormat="false" ht="12.75" hidden="false" customHeight="true" outlineLevel="0" collapsed="false"/>
    <row r="3566" customFormat="false" ht="12.75" hidden="false" customHeight="true" outlineLevel="0" collapsed="false"/>
    <row r="3567" customFormat="false" ht="12.75" hidden="false" customHeight="true" outlineLevel="0" collapsed="false"/>
    <row r="3568" customFormat="false" ht="12.75" hidden="false" customHeight="true" outlineLevel="0" collapsed="false"/>
    <row r="3569" customFormat="false" ht="12.75" hidden="false" customHeight="true" outlineLevel="0" collapsed="false"/>
    <row r="3570" customFormat="false" ht="12.75" hidden="false" customHeight="true" outlineLevel="0" collapsed="false"/>
    <row r="3571" customFormat="false" ht="12.75" hidden="false" customHeight="true" outlineLevel="0" collapsed="false"/>
    <row r="3572" customFormat="false" ht="12.75" hidden="false" customHeight="true" outlineLevel="0" collapsed="false"/>
    <row r="3573" customFormat="false" ht="12.75" hidden="false" customHeight="true" outlineLevel="0" collapsed="false"/>
    <row r="3574" customFormat="false" ht="12.75" hidden="false" customHeight="true" outlineLevel="0" collapsed="false"/>
    <row r="3575" customFormat="false" ht="12.75" hidden="false" customHeight="true" outlineLevel="0" collapsed="false"/>
    <row r="3576" customFormat="false" ht="12.75" hidden="false" customHeight="true" outlineLevel="0" collapsed="false"/>
    <row r="3577" customFormat="false" ht="12.75" hidden="false" customHeight="true" outlineLevel="0" collapsed="false"/>
    <row r="3578" customFormat="false" ht="12.75" hidden="false" customHeight="true" outlineLevel="0" collapsed="false"/>
    <row r="3579" customFormat="false" ht="12.75" hidden="false" customHeight="true" outlineLevel="0" collapsed="false"/>
    <row r="3580" customFormat="false" ht="12.75" hidden="false" customHeight="true" outlineLevel="0" collapsed="false"/>
    <row r="3581" customFormat="false" ht="12.75" hidden="false" customHeight="true" outlineLevel="0" collapsed="false"/>
    <row r="3582" customFormat="false" ht="12.75" hidden="false" customHeight="true" outlineLevel="0" collapsed="false"/>
    <row r="3583" customFormat="false" ht="12.75" hidden="false" customHeight="true" outlineLevel="0" collapsed="false"/>
    <row r="3584" customFormat="false" ht="12.75" hidden="false" customHeight="true" outlineLevel="0" collapsed="false"/>
    <row r="3585" customFormat="false" ht="12.75" hidden="false" customHeight="true" outlineLevel="0" collapsed="false"/>
    <row r="3586" customFormat="false" ht="12.75" hidden="false" customHeight="true" outlineLevel="0" collapsed="false"/>
    <row r="3587" customFormat="false" ht="12.75" hidden="false" customHeight="true" outlineLevel="0" collapsed="false"/>
    <row r="3588" customFormat="false" ht="12.75" hidden="false" customHeight="true" outlineLevel="0" collapsed="false"/>
    <row r="3589" customFormat="false" ht="12.75" hidden="false" customHeight="true" outlineLevel="0" collapsed="false"/>
    <row r="3590" customFormat="false" ht="12.75" hidden="false" customHeight="true" outlineLevel="0" collapsed="false"/>
    <row r="3591" customFormat="false" ht="12.75" hidden="false" customHeight="true" outlineLevel="0" collapsed="false"/>
    <row r="3592" customFormat="false" ht="12.75" hidden="false" customHeight="true" outlineLevel="0" collapsed="false"/>
    <row r="3593" customFormat="false" ht="12.75" hidden="false" customHeight="true" outlineLevel="0" collapsed="false"/>
    <row r="3594" customFormat="false" ht="12.75" hidden="false" customHeight="true" outlineLevel="0" collapsed="false"/>
    <row r="3595" customFormat="false" ht="12.75" hidden="false" customHeight="true" outlineLevel="0" collapsed="false"/>
    <row r="3596" customFormat="false" ht="12.75" hidden="false" customHeight="true" outlineLevel="0" collapsed="false"/>
    <row r="3597" customFormat="false" ht="12.75" hidden="false" customHeight="true" outlineLevel="0" collapsed="false"/>
    <row r="3598" customFormat="false" ht="12.75" hidden="false" customHeight="true" outlineLevel="0" collapsed="false"/>
    <row r="3599" customFormat="false" ht="12.75" hidden="false" customHeight="true" outlineLevel="0" collapsed="false"/>
    <row r="3600" customFormat="false" ht="12.75" hidden="false" customHeight="true" outlineLevel="0" collapsed="false"/>
    <row r="3601" customFormat="false" ht="12.75" hidden="false" customHeight="true" outlineLevel="0" collapsed="false"/>
    <row r="3602" customFormat="false" ht="12.75" hidden="false" customHeight="true" outlineLevel="0" collapsed="false"/>
    <row r="3603" customFormat="false" ht="12.75" hidden="false" customHeight="true" outlineLevel="0" collapsed="false"/>
    <row r="3604" customFormat="false" ht="12.75" hidden="false" customHeight="true" outlineLevel="0" collapsed="false"/>
    <row r="3605" customFormat="false" ht="12.75" hidden="false" customHeight="true" outlineLevel="0" collapsed="false"/>
    <row r="3606" customFormat="false" ht="12.75" hidden="false" customHeight="true" outlineLevel="0" collapsed="false"/>
    <row r="3607" customFormat="false" ht="12.75" hidden="false" customHeight="true" outlineLevel="0" collapsed="false"/>
    <row r="3608" customFormat="false" ht="12.75" hidden="false" customHeight="true" outlineLevel="0" collapsed="false"/>
    <row r="3609" customFormat="false" ht="12.75" hidden="false" customHeight="true" outlineLevel="0" collapsed="false"/>
    <row r="3610" customFormat="false" ht="12.75" hidden="false" customHeight="true" outlineLevel="0" collapsed="false"/>
    <row r="3611" customFormat="false" ht="12.75" hidden="false" customHeight="true" outlineLevel="0" collapsed="false"/>
    <row r="3612" customFormat="false" ht="12.75" hidden="false" customHeight="true" outlineLevel="0" collapsed="false"/>
    <row r="3613" customFormat="false" ht="12.75" hidden="false" customHeight="true" outlineLevel="0" collapsed="false"/>
    <row r="3614" customFormat="false" ht="12.75" hidden="false" customHeight="true" outlineLevel="0" collapsed="false"/>
    <row r="3615" customFormat="false" ht="12.75" hidden="false" customHeight="true" outlineLevel="0" collapsed="false"/>
    <row r="3616" customFormat="false" ht="12.75" hidden="false" customHeight="true" outlineLevel="0" collapsed="false"/>
    <row r="3617" customFormat="false" ht="12.75" hidden="false" customHeight="true" outlineLevel="0" collapsed="false"/>
    <row r="3618" customFormat="false" ht="12.75" hidden="false" customHeight="true" outlineLevel="0" collapsed="false"/>
    <row r="3619" customFormat="false" ht="12.75" hidden="false" customHeight="true" outlineLevel="0" collapsed="false"/>
    <row r="3620" customFormat="false" ht="12.75" hidden="false" customHeight="true" outlineLevel="0" collapsed="false"/>
    <row r="3621" customFormat="false" ht="12.75" hidden="false" customHeight="true" outlineLevel="0" collapsed="false"/>
    <row r="3622" customFormat="false" ht="12.75" hidden="false" customHeight="true" outlineLevel="0" collapsed="false"/>
    <row r="3623" customFormat="false" ht="12.75" hidden="false" customHeight="true" outlineLevel="0" collapsed="false"/>
    <row r="3624" customFormat="false" ht="12.75" hidden="false" customHeight="true" outlineLevel="0" collapsed="false"/>
    <row r="3625" customFormat="false" ht="12.75" hidden="false" customHeight="true" outlineLevel="0" collapsed="false"/>
    <row r="3626" customFormat="false" ht="12.75" hidden="false" customHeight="true" outlineLevel="0" collapsed="false"/>
    <row r="3627" customFormat="false" ht="12.75" hidden="false" customHeight="true" outlineLevel="0" collapsed="false"/>
    <row r="3628" customFormat="false" ht="12.75" hidden="false" customHeight="true" outlineLevel="0" collapsed="false"/>
    <row r="3629" customFormat="false" ht="12.75" hidden="false" customHeight="true" outlineLevel="0" collapsed="false"/>
    <row r="3630" customFormat="false" ht="12.75" hidden="false" customHeight="true" outlineLevel="0" collapsed="false"/>
    <row r="3631" customFormat="false" ht="12.75" hidden="false" customHeight="true" outlineLevel="0" collapsed="false"/>
    <row r="3632" customFormat="false" ht="12.75" hidden="false" customHeight="true" outlineLevel="0" collapsed="false"/>
    <row r="3633" customFormat="false" ht="12.75" hidden="false" customHeight="true" outlineLevel="0" collapsed="false"/>
    <row r="3634" customFormat="false" ht="12.75" hidden="false" customHeight="true" outlineLevel="0" collapsed="false"/>
    <row r="3635" customFormat="false" ht="12.75" hidden="false" customHeight="true" outlineLevel="0" collapsed="false"/>
    <row r="3636" customFormat="false" ht="12.75" hidden="false" customHeight="true" outlineLevel="0" collapsed="false"/>
    <row r="3637" customFormat="false" ht="12.75" hidden="false" customHeight="true" outlineLevel="0" collapsed="false"/>
    <row r="3638" customFormat="false" ht="12.75" hidden="false" customHeight="true" outlineLevel="0" collapsed="false"/>
    <row r="3639" customFormat="false" ht="12.75" hidden="false" customHeight="true" outlineLevel="0" collapsed="false"/>
    <row r="3640" customFormat="false" ht="12.75" hidden="false" customHeight="true" outlineLevel="0" collapsed="false"/>
    <row r="3641" customFormat="false" ht="12.75" hidden="false" customHeight="true" outlineLevel="0" collapsed="false"/>
    <row r="3642" customFormat="false" ht="12.75" hidden="false" customHeight="true" outlineLevel="0" collapsed="false"/>
    <row r="3643" customFormat="false" ht="12.75" hidden="false" customHeight="true" outlineLevel="0" collapsed="false"/>
    <row r="3644" customFormat="false" ht="12.75" hidden="false" customHeight="true" outlineLevel="0" collapsed="false"/>
    <row r="3645" customFormat="false" ht="12.75" hidden="false" customHeight="true" outlineLevel="0" collapsed="false"/>
    <row r="3646" customFormat="false" ht="12.75" hidden="false" customHeight="true" outlineLevel="0" collapsed="false"/>
    <row r="3647" customFormat="false" ht="12.75" hidden="false" customHeight="true" outlineLevel="0" collapsed="false"/>
    <row r="3648" customFormat="false" ht="12.75" hidden="false" customHeight="true" outlineLevel="0" collapsed="false"/>
    <row r="3649" customFormat="false" ht="12.75" hidden="false" customHeight="true" outlineLevel="0" collapsed="false"/>
    <row r="3650" customFormat="false" ht="12.75" hidden="false" customHeight="true" outlineLevel="0" collapsed="false"/>
    <row r="3651" customFormat="false" ht="12.75" hidden="false" customHeight="true" outlineLevel="0" collapsed="false"/>
    <row r="3652" customFormat="false" ht="12.75" hidden="false" customHeight="true" outlineLevel="0" collapsed="false"/>
    <row r="3653" customFormat="false" ht="12.75" hidden="false" customHeight="true" outlineLevel="0" collapsed="false"/>
    <row r="3654" customFormat="false" ht="12.75" hidden="false" customHeight="true" outlineLevel="0" collapsed="false"/>
    <row r="3655" customFormat="false" ht="12.75" hidden="false" customHeight="true" outlineLevel="0" collapsed="false"/>
    <row r="3656" customFormat="false" ht="12.75" hidden="false" customHeight="true" outlineLevel="0" collapsed="false"/>
    <row r="3657" customFormat="false" ht="12.75" hidden="false" customHeight="true" outlineLevel="0" collapsed="false"/>
    <row r="3658" customFormat="false" ht="12.75" hidden="false" customHeight="true" outlineLevel="0" collapsed="false"/>
    <row r="3659" customFormat="false" ht="12.75" hidden="false" customHeight="true" outlineLevel="0" collapsed="false"/>
    <row r="3660" customFormat="false" ht="12.75" hidden="false" customHeight="true" outlineLevel="0" collapsed="false"/>
    <row r="3661" customFormat="false" ht="12.75" hidden="false" customHeight="true" outlineLevel="0" collapsed="false"/>
    <row r="3662" customFormat="false" ht="12.75" hidden="false" customHeight="true" outlineLevel="0" collapsed="false"/>
    <row r="3663" customFormat="false" ht="12.75" hidden="false" customHeight="true" outlineLevel="0" collapsed="false"/>
    <row r="3664" customFormat="false" ht="12.75" hidden="false" customHeight="true" outlineLevel="0" collapsed="false"/>
    <row r="3665" customFormat="false" ht="12.75" hidden="false" customHeight="true" outlineLevel="0" collapsed="false"/>
    <row r="3666" customFormat="false" ht="12.75" hidden="false" customHeight="true" outlineLevel="0" collapsed="false"/>
    <row r="3667" customFormat="false" ht="12.75" hidden="false" customHeight="true" outlineLevel="0" collapsed="false"/>
    <row r="3668" customFormat="false" ht="12.75" hidden="false" customHeight="true" outlineLevel="0" collapsed="false"/>
    <row r="3669" customFormat="false" ht="12.75" hidden="false" customHeight="true" outlineLevel="0" collapsed="false"/>
    <row r="3670" customFormat="false" ht="12.75" hidden="false" customHeight="true" outlineLevel="0" collapsed="false"/>
    <row r="3671" customFormat="false" ht="12.75" hidden="false" customHeight="true" outlineLevel="0" collapsed="false"/>
    <row r="3672" customFormat="false" ht="12.75" hidden="false" customHeight="true" outlineLevel="0" collapsed="false"/>
    <row r="3673" customFormat="false" ht="12.75" hidden="false" customHeight="true" outlineLevel="0" collapsed="false"/>
    <row r="3674" customFormat="false" ht="12.75" hidden="false" customHeight="true" outlineLevel="0" collapsed="false"/>
    <row r="3675" customFormat="false" ht="12.75" hidden="false" customHeight="true" outlineLevel="0" collapsed="false"/>
    <row r="3676" customFormat="false" ht="12.75" hidden="false" customHeight="true" outlineLevel="0" collapsed="false"/>
    <row r="3677" customFormat="false" ht="12.75" hidden="false" customHeight="true" outlineLevel="0" collapsed="false"/>
    <row r="3678" customFormat="false" ht="12.75" hidden="false" customHeight="true" outlineLevel="0" collapsed="false"/>
    <row r="3679" customFormat="false" ht="12.75" hidden="false" customHeight="true" outlineLevel="0" collapsed="false"/>
    <row r="3680" customFormat="false" ht="12.75" hidden="false" customHeight="true" outlineLevel="0" collapsed="false"/>
    <row r="3681" customFormat="false" ht="12.75" hidden="false" customHeight="true" outlineLevel="0" collapsed="false"/>
    <row r="3682" customFormat="false" ht="12.75" hidden="false" customHeight="true" outlineLevel="0" collapsed="false"/>
    <row r="3683" customFormat="false" ht="12.75" hidden="false" customHeight="true" outlineLevel="0" collapsed="false"/>
    <row r="3684" customFormat="false" ht="12.75" hidden="false" customHeight="true" outlineLevel="0" collapsed="false"/>
    <row r="3685" customFormat="false" ht="12.75" hidden="false" customHeight="true" outlineLevel="0" collapsed="false"/>
    <row r="3686" customFormat="false" ht="12.75" hidden="false" customHeight="true" outlineLevel="0" collapsed="false"/>
    <row r="3687" customFormat="false" ht="12.75" hidden="false" customHeight="true" outlineLevel="0" collapsed="false"/>
    <row r="3688" customFormat="false" ht="12.75" hidden="false" customHeight="true" outlineLevel="0" collapsed="false"/>
    <row r="3689" customFormat="false" ht="12.75" hidden="false" customHeight="true" outlineLevel="0" collapsed="false"/>
    <row r="3690" customFormat="false" ht="12.75" hidden="false" customHeight="true" outlineLevel="0" collapsed="false"/>
    <row r="3691" customFormat="false" ht="12.75" hidden="false" customHeight="true" outlineLevel="0" collapsed="false"/>
    <row r="3692" customFormat="false" ht="12.75" hidden="false" customHeight="true" outlineLevel="0" collapsed="false"/>
    <row r="3693" customFormat="false" ht="12.75" hidden="false" customHeight="true" outlineLevel="0" collapsed="false"/>
    <row r="3694" customFormat="false" ht="12.75" hidden="false" customHeight="true" outlineLevel="0" collapsed="false"/>
    <row r="3695" customFormat="false" ht="12.75" hidden="false" customHeight="true" outlineLevel="0" collapsed="false"/>
    <row r="3696" customFormat="false" ht="12.75" hidden="false" customHeight="true" outlineLevel="0" collapsed="false"/>
    <row r="3697" customFormat="false" ht="12.75" hidden="false" customHeight="true" outlineLevel="0" collapsed="false"/>
    <row r="3698" customFormat="false" ht="12.75" hidden="false" customHeight="true" outlineLevel="0" collapsed="false"/>
    <row r="3699" customFormat="false" ht="12.75" hidden="false" customHeight="true" outlineLevel="0" collapsed="false"/>
    <row r="3700" customFormat="false" ht="12.75" hidden="false" customHeight="true" outlineLevel="0" collapsed="false"/>
    <row r="3701" customFormat="false" ht="12.75" hidden="false" customHeight="true" outlineLevel="0" collapsed="false"/>
    <row r="3702" customFormat="false" ht="12.75" hidden="false" customHeight="true" outlineLevel="0" collapsed="false"/>
    <row r="3703" customFormat="false" ht="12.75" hidden="false" customHeight="true" outlineLevel="0" collapsed="false"/>
    <row r="3704" customFormat="false" ht="12.75" hidden="false" customHeight="true" outlineLevel="0" collapsed="false"/>
    <row r="3705" customFormat="false" ht="12.75" hidden="false" customHeight="true" outlineLevel="0" collapsed="false"/>
    <row r="3706" customFormat="false" ht="12.75" hidden="false" customHeight="true" outlineLevel="0" collapsed="false"/>
    <row r="3707" customFormat="false" ht="12.75" hidden="false" customHeight="true" outlineLevel="0" collapsed="false"/>
    <row r="3708" customFormat="false" ht="12.75" hidden="false" customHeight="true" outlineLevel="0" collapsed="false"/>
    <row r="3709" customFormat="false" ht="12.75" hidden="false" customHeight="true" outlineLevel="0" collapsed="false"/>
    <row r="3710" customFormat="false" ht="12.75" hidden="false" customHeight="true" outlineLevel="0" collapsed="false"/>
    <row r="3711" customFormat="false" ht="12.75" hidden="false" customHeight="true" outlineLevel="0" collapsed="false"/>
    <row r="3712" customFormat="false" ht="12.75" hidden="false" customHeight="true" outlineLevel="0" collapsed="false"/>
    <row r="3713" customFormat="false" ht="12.75" hidden="false" customHeight="true" outlineLevel="0" collapsed="false"/>
    <row r="3714" customFormat="false" ht="12.75" hidden="false" customHeight="true" outlineLevel="0" collapsed="false"/>
    <row r="3715" customFormat="false" ht="12.75" hidden="false" customHeight="true" outlineLevel="0" collapsed="false"/>
    <row r="3716" customFormat="false" ht="12.75" hidden="false" customHeight="true" outlineLevel="0" collapsed="false"/>
    <row r="3717" customFormat="false" ht="12.75" hidden="false" customHeight="true" outlineLevel="0" collapsed="false"/>
    <row r="3718" customFormat="false" ht="12.75" hidden="false" customHeight="true" outlineLevel="0" collapsed="false"/>
    <row r="3719" customFormat="false" ht="12.75" hidden="false" customHeight="true" outlineLevel="0" collapsed="false"/>
    <row r="3720" customFormat="false" ht="12.75" hidden="false" customHeight="true" outlineLevel="0" collapsed="false"/>
    <row r="3721" customFormat="false" ht="12.75" hidden="false" customHeight="true" outlineLevel="0" collapsed="false"/>
    <row r="3722" customFormat="false" ht="12.75" hidden="false" customHeight="true" outlineLevel="0" collapsed="false"/>
    <row r="3723" customFormat="false" ht="12.75" hidden="false" customHeight="true" outlineLevel="0" collapsed="false"/>
    <row r="3724" customFormat="false" ht="12.75" hidden="false" customHeight="true" outlineLevel="0" collapsed="false"/>
    <row r="3725" customFormat="false" ht="12.75" hidden="false" customHeight="true" outlineLevel="0" collapsed="false"/>
    <row r="3726" customFormat="false" ht="12.75" hidden="false" customHeight="true" outlineLevel="0" collapsed="false"/>
    <row r="3727" customFormat="false" ht="12.75" hidden="false" customHeight="true" outlineLevel="0" collapsed="false"/>
    <row r="3728" customFormat="false" ht="12.75" hidden="false" customHeight="true" outlineLevel="0" collapsed="false"/>
    <row r="3729" customFormat="false" ht="12.75" hidden="false" customHeight="true" outlineLevel="0" collapsed="false"/>
    <row r="3730" customFormat="false" ht="12.75" hidden="false" customHeight="true" outlineLevel="0" collapsed="false"/>
    <row r="3731" customFormat="false" ht="12.75" hidden="false" customHeight="true" outlineLevel="0" collapsed="false"/>
    <row r="3732" customFormat="false" ht="12.75" hidden="false" customHeight="true" outlineLevel="0" collapsed="false"/>
    <row r="3733" customFormat="false" ht="12.75" hidden="false" customHeight="true" outlineLevel="0" collapsed="false"/>
    <row r="3734" customFormat="false" ht="12.75" hidden="false" customHeight="true" outlineLevel="0" collapsed="false"/>
    <row r="3735" customFormat="false" ht="12.75" hidden="false" customHeight="true" outlineLevel="0" collapsed="false"/>
    <row r="3736" customFormat="false" ht="12.75" hidden="false" customHeight="true" outlineLevel="0" collapsed="false"/>
    <row r="3737" customFormat="false" ht="12.75" hidden="false" customHeight="true" outlineLevel="0" collapsed="false"/>
    <row r="3738" customFormat="false" ht="12.75" hidden="false" customHeight="true" outlineLevel="0" collapsed="false"/>
    <row r="3739" customFormat="false" ht="12.75" hidden="false" customHeight="true" outlineLevel="0" collapsed="false"/>
    <row r="3740" customFormat="false" ht="12.75" hidden="false" customHeight="true" outlineLevel="0" collapsed="false"/>
    <row r="3741" customFormat="false" ht="12.75" hidden="false" customHeight="true" outlineLevel="0" collapsed="false"/>
    <row r="3742" customFormat="false" ht="12.75" hidden="false" customHeight="true" outlineLevel="0" collapsed="false"/>
    <row r="3743" customFormat="false" ht="12.75" hidden="false" customHeight="true" outlineLevel="0" collapsed="false"/>
    <row r="3744" customFormat="false" ht="12.75" hidden="false" customHeight="true" outlineLevel="0" collapsed="false"/>
    <row r="3745" customFormat="false" ht="12.75" hidden="false" customHeight="true" outlineLevel="0" collapsed="false"/>
    <row r="3746" customFormat="false" ht="12.75" hidden="false" customHeight="true" outlineLevel="0" collapsed="false"/>
    <row r="3747" customFormat="false" ht="12.75" hidden="false" customHeight="true" outlineLevel="0" collapsed="false"/>
    <row r="3748" customFormat="false" ht="12.75" hidden="false" customHeight="true" outlineLevel="0" collapsed="false"/>
    <row r="3749" customFormat="false" ht="12.75" hidden="false" customHeight="true" outlineLevel="0" collapsed="false"/>
    <row r="3750" customFormat="false" ht="12.75" hidden="false" customHeight="true" outlineLevel="0" collapsed="false"/>
    <row r="3751" customFormat="false" ht="12.75" hidden="false" customHeight="true" outlineLevel="0" collapsed="false"/>
    <row r="3752" customFormat="false" ht="12.75" hidden="false" customHeight="true" outlineLevel="0" collapsed="false"/>
    <row r="3753" customFormat="false" ht="12.75" hidden="false" customHeight="true" outlineLevel="0" collapsed="false"/>
    <row r="3754" customFormat="false" ht="12.75" hidden="false" customHeight="true" outlineLevel="0" collapsed="false"/>
    <row r="3755" customFormat="false" ht="12.75" hidden="false" customHeight="true" outlineLevel="0" collapsed="false"/>
    <row r="3756" customFormat="false" ht="12.75" hidden="false" customHeight="true" outlineLevel="0" collapsed="false"/>
    <row r="3757" customFormat="false" ht="12.75" hidden="false" customHeight="true" outlineLevel="0" collapsed="false"/>
    <row r="3758" customFormat="false" ht="12.75" hidden="false" customHeight="true" outlineLevel="0" collapsed="false"/>
    <row r="3759" customFormat="false" ht="12.75" hidden="false" customHeight="true" outlineLevel="0" collapsed="false"/>
    <row r="3760" customFormat="false" ht="12.75" hidden="false" customHeight="true" outlineLevel="0" collapsed="false"/>
    <row r="3761" customFormat="false" ht="12.75" hidden="false" customHeight="true" outlineLevel="0" collapsed="false"/>
    <row r="3762" customFormat="false" ht="12.75" hidden="false" customHeight="true" outlineLevel="0" collapsed="false"/>
    <row r="3763" customFormat="false" ht="12.75" hidden="false" customHeight="true" outlineLevel="0" collapsed="false"/>
    <row r="3764" customFormat="false" ht="12.75" hidden="false" customHeight="true" outlineLevel="0" collapsed="false"/>
    <row r="3765" customFormat="false" ht="12.75" hidden="false" customHeight="true" outlineLevel="0" collapsed="false"/>
    <row r="3766" customFormat="false" ht="12.75" hidden="false" customHeight="true" outlineLevel="0" collapsed="false"/>
    <row r="3767" customFormat="false" ht="12.75" hidden="false" customHeight="true" outlineLevel="0" collapsed="false"/>
    <row r="3768" customFormat="false" ht="12.75" hidden="false" customHeight="true" outlineLevel="0" collapsed="false"/>
    <row r="3769" customFormat="false" ht="12.75" hidden="false" customHeight="true" outlineLevel="0" collapsed="false"/>
    <row r="3770" customFormat="false" ht="12.75" hidden="false" customHeight="true" outlineLevel="0" collapsed="false"/>
    <row r="3771" customFormat="false" ht="12.75" hidden="false" customHeight="true" outlineLevel="0" collapsed="false"/>
    <row r="3772" customFormat="false" ht="12.75" hidden="false" customHeight="true" outlineLevel="0" collapsed="false"/>
    <row r="3773" customFormat="false" ht="12.75" hidden="false" customHeight="true" outlineLevel="0" collapsed="false"/>
    <row r="3774" customFormat="false" ht="12.75" hidden="false" customHeight="true" outlineLevel="0" collapsed="false"/>
    <row r="3775" customFormat="false" ht="12.75" hidden="false" customHeight="true" outlineLevel="0" collapsed="false"/>
    <row r="3776" customFormat="false" ht="12.75" hidden="false" customHeight="true" outlineLevel="0" collapsed="false"/>
    <row r="3777" customFormat="false" ht="12.75" hidden="false" customHeight="true" outlineLevel="0" collapsed="false"/>
    <row r="3778" customFormat="false" ht="12.75" hidden="false" customHeight="true" outlineLevel="0" collapsed="false"/>
    <row r="3779" customFormat="false" ht="12.75" hidden="false" customHeight="true" outlineLevel="0" collapsed="false"/>
    <row r="3780" customFormat="false" ht="12.75" hidden="false" customHeight="true" outlineLevel="0" collapsed="false"/>
    <row r="3781" customFormat="false" ht="12.75" hidden="false" customHeight="true" outlineLevel="0" collapsed="false"/>
    <row r="3782" customFormat="false" ht="12.75" hidden="false" customHeight="true" outlineLevel="0" collapsed="false"/>
    <row r="3783" customFormat="false" ht="12.75" hidden="false" customHeight="true" outlineLevel="0" collapsed="false"/>
    <row r="3784" customFormat="false" ht="12.75" hidden="false" customHeight="true" outlineLevel="0" collapsed="false"/>
    <row r="3785" customFormat="false" ht="12.75" hidden="false" customHeight="true" outlineLevel="0" collapsed="false"/>
    <row r="3786" customFormat="false" ht="12.75" hidden="false" customHeight="true" outlineLevel="0" collapsed="false"/>
    <row r="3787" customFormat="false" ht="12.75" hidden="false" customHeight="true" outlineLevel="0" collapsed="false"/>
    <row r="3788" customFormat="false" ht="12.75" hidden="false" customHeight="true" outlineLevel="0" collapsed="false"/>
    <row r="3789" customFormat="false" ht="12.75" hidden="false" customHeight="true" outlineLevel="0" collapsed="false"/>
    <row r="3790" customFormat="false" ht="12.75" hidden="false" customHeight="true" outlineLevel="0" collapsed="false"/>
    <row r="3791" customFormat="false" ht="12.75" hidden="false" customHeight="true" outlineLevel="0" collapsed="false"/>
    <row r="3792" customFormat="false" ht="12.75" hidden="false" customHeight="true" outlineLevel="0" collapsed="false"/>
    <row r="3793" customFormat="false" ht="12.75" hidden="false" customHeight="true" outlineLevel="0" collapsed="false"/>
    <row r="3794" customFormat="false" ht="12.75" hidden="false" customHeight="true" outlineLevel="0" collapsed="false"/>
    <row r="3795" customFormat="false" ht="12.75" hidden="false" customHeight="true" outlineLevel="0" collapsed="false"/>
    <row r="3796" customFormat="false" ht="12.75" hidden="false" customHeight="true" outlineLevel="0" collapsed="false"/>
    <row r="3797" customFormat="false" ht="12.75" hidden="false" customHeight="true" outlineLevel="0" collapsed="false"/>
    <row r="3798" customFormat="false" ht="12.75" hidden="false" customHeight="true" outlineLevel="0" collapsed="false"/>
    <row r="3799" customFormat="false" ht="12.75" hidden="false" customHeight="true" outlineLevel="0" collapsed="false"/>
    <row r="3800" customFormat="false" ht="12.75" hidden="false" customHeight="true" outlineLevel="0" collapsed="false"/>
    <row r="3801" customFormat="false" ht="12.75" hidden="false" customHeight="true" outlineLevel="0" collapsed="false"/>
    <row r="3802" customFormat="false" ht="12.75" hidden="false" customHeight="true" outlineLevel="0" collapsed="false"/>
    <row r="3803" customFormat="false" ht="12.75" hidden="false" customHeight="true" outlineLevel="0" collapsed="false"/>
    <row r="3804" customFormat="false" ht="12.75" hidden="false" customHeight="true" outlineLevel="0" collapsed="false"/>
    <row r="3805" customFormat="false" ht="12.75" hidden="false" customHeight="true" outlineLevel="0" collapsed="false"/>
    <row r="3806" customFormat="false" ht="12.75" hidden="false" customHeight="true" outlineLevel="0" collapsed="false"/>
    <row r="3807" customFormat="false" ht="12.75" hidden="false" customHeight="true" outlineLevel="0" collapsed="false"/>
    <row r="3808" customFormat="false" ht="12.75" hidden="false" customHeight="true" outlineLevel="0" collapsed="false"/>
    <row r="3809" customFormat="false" ht="12.75" hidden="false" customHeight="true" outlineLevel="0" collapsed="false"/>
    <row r="3810" customFormat="false" ht="12.75" hidden="false" customHeight="true" outlineLevel="0" collapsed="false"/>
    <row r="3811" customFormat="false" ht="12.75" hidden="false" customHeight="true" outlineLevel="0" collapsed="false"/>
    <row r="3812" customFormat="false" ht="12.75" hidden="false" customHeight="true" outlineLevel="0" collapsed="false"/>
    <row r="3813" customFormat="false" ht="12.75" hidden="false" customHeight="true" outlineLevel="0" collapsed="false"/>
    <row r="3814" customFormat="false" ht="12.75" hidden="false" customHeight="true" outlineLevel="0" collapsed="false"/>
    <row r="3815" customFormat="false" ht="12.75" hidden="false" customHeight="true" outlineLevel="0" collapsed="false"/>
    <row r="3816" customFormat="false" ht="12.75" hidden="false" customHeight="true" outlineLevel="0" collapsed="false"/>
    <row r="3817" customFormat="false" ht="12.75" hidden="false" customHeight="true" outlineLevel="0" collapsed="false"/>
    <row r="3818" customFormat="false" ht="12.75" hidden="false" customHeight="true" outlineLevel="0" collapsed="false"/>
    <row r="3819" customFormat="false" ht="12.75" hidden="false" customHeight="true" outlineLevel="0" collapsed="false"/>
    <row r="3820" customFormat="false" ht="12.75" hidden="false" customHeight="true" outlineLevel="0" collapsed="false"/>
    <row r="3821" customFormat="false" ht="12.75" hidden="false" customHeight="true" outlineLevel="0" collapsed="false"/>
    <row r="3822" customFormat="false" ht="12.75" hidden="false" customHeight="true" outlineLevel="0" collapsed="false"/>
    <row r="3823" customFormat="false" ht="12.75" hidden="false" customHeight="true" outlineLevel="0" collapsed="false"/>
    <row r="3824" customFormat="false" ht="12.75" hidden="false" customHeight="true" outlineLevel="0" collapsed="false"/>
    <row r="3825" customFormat="false" ht="12.75" hidden="false" customHeight="true" outlineLevel="0" collapsed="false"/>
    <row r="3826" customFormat="false" ht="12.75" hidden="false" customHeight="true" outlineLevel="0" collapsed="false"/>
    <row r="3827" customFormat="false" ht="12.75" hidden="false" customHeight="true" outlineLevel="0" collapsed="false"/>
    <row r="3828" customFormat="false" ht="12.75" hidden="false" customHeight="true" outlineLevel="0" collapsed="false"/>
    <row r="3829" customFormat="false" ht="12.75" hidden="false" customHeight="true" outlineLevel="0" collapsed="false"/>
    <row r="3830" customFormat="false" ht="12.75" hidden="false" customHeight="true" outlineLevel="0" collapsed="false"/>
    <row r="3831" customFormat="false" ht="12.75" hidden="false" customHeight="true" outlineLevel="0" collapsed="false"/>
    <row r="3832" customFormat="false" ht="12.75" hidden="false" customHeight="true" outlineLevel="0" collapsed="false"/>
    <row r="3833" customFormat="false" ht="12.75" hidden="false" customHeight="true" outlineLevel="0" collapsed="false"/>
    <row r="3834" customFormat="false" ht="12.75" hidden="false" customHeight="true" outlineLevel="0" collapsed="false"/>
    <row r="3835" customFormat="false" ht="12.75" hidden="false" customHeight="true" outlineLevel="0" collapsed="false"/>
    <row r="3836" customFormat="false" ht="12.75" hidden="false" customHeight="true" outlineLevel="0" collapsed="false"/>
    <row r="3837" customFormat="false" ht="12.75" hidden="false" customHeight="true" outlineLevel="0" collapsed="false"/>
    <row r="3838" customFormat="false" ht="12.75" hidden="false" customHeight="true" outlineLevel="0" collapsed="false"/>
    <row r="3839" customFormat="false" ht="12.75" hidden="false" customHeight="true" outlineLevel="0" collapsed="false"/>
    <row r="3840" customFormat="false" ht="12.75" hidden="false" customHeight="true" outlineLevel="0" collapsed="false"/>
    <row r="3841" customFormat="false" ht="12.75" hidden="false" customHeight="true" outlineLevel="0" collapsed="false"/>
    <row r="3842" customFormat="false" ht="12.75" hidden="false" customHeight="true" outlineLevel="0" collapsed="false"/>
    <row r="3843" customFormat="false" ht="12.75" hidden="false" customHeight="true" outlineLevel="0" collapsed="false"/>
    <row r="3844" customFormat="false" ht="12.75" hidden="false" customHeight="true" outlineLevel="0" collapsed="false"/>
    <row r="3845" customFormat="false" ht="12.75" hidden="false" customHeight="true" outlineLevel="0" collapsed="false"/>
    <row r="3846" customFormat="false" ht="12.75" hidden="false" customHeight="true" outlineLevel="0" collapsed="false"/>
    <row r="3847" customFormat="false" ht="12.75" hidden="false" customHeight="true" outlineLevel="0" collapsed="false"/>
    <row r="3848" customFormat="false" ht="12.75" hidden="false" customHeight="true" outlineLevel="0" collapsed="false"/>
    <row r="3849" customFormat="false" ht="12.75" hidden="false" customHeight="true" outlineLevel="0" collapsed="false"/>
    <row r="3850" customFormat="false" ht="12.75" hidden="false" customHeight="true" outlineLevel="0" collapsed="false"/>
    <row r="3851" customFormat="false" ht="12.75" hidden="false" customHeight="true" outlineLevel="0" collapsed="false"/>
    <row r="3852" customFormat="false" ht="12.75" hidden="false" customHeight="true" outlineLevel="0" collapsed="false"/>
    <row r="3853" customFormat="false" ht="12.75" hidden="false" customHeight="true" outlineLevel="0" collapsed="false"/>
    <row r="3854" customFormat="false" ht="12.75" hidden="false" customHeight="true" outlineLevel="0" collapsed="false"/>
    <row r="3855" customFormat="false" ht="12.75" hidden="false" customHeight="true" outlineLevel="0" collapsed="false"/>
    <row r="3856" customFormat="false" ht="12.75" hidden="false" customHeight="true" outlineLevel="0" collapsed="false"/>
    <row r="3857" customFormat="false" ht="12.75" hidden="false" customHeight="true" outlineLevel="0" collapsed="false"/>
    <row r="3858" customFormat="false" ht="12.75" hidden="false" customHeight="true" outlineLevel="0" collapsed="false"/>
    <row r="3859" customFormat="false" ht="12.75" hidden="false" customHeight="true" outlineLevel="0" collapsed="false"/>
    <row r="3860" customFormat="false" ht="12.75" hidden="false" customHeight="true" outlineLevel="0" collapsed="false"/>
    <row r="3861" customFormat="false" ht="12.75" hidden="false" customHeight="true" outlineLevel="0" collapsed="false"/>
    <row r="3862" customFormat="false" ht="12.75" hidden="false" customHeight="true" outlineLevel="0" collapsed="false"/>
    <row r="3863" customFormat="false" ht="12.75" hidden="false" customHeight="true" outlineLevel="0" collapsed="false"/>
    <row r="3864" customFormat="false" ht="12.75" hidden="false" customHeight="true" outlineLevel="0" collapsed="false"/>
    <row r="3865" customFormat="false" ht="12.75" hidden="false" customHeight="true" outlineLevel="0" collapsed="false"/>
    <row r="3866" customFormat="false" ht="12.75" hidden="false" customHeight="true" outlineLevel="0" collapsed="false"/>
    <row r="3867" customFormat="false" ht="12.75" hidden="false" customHeight="true" outlineLevel="0" collapsed="false"/>
    <row r="3868" customFormat="false" ht="12.75" hidden="false" customHeight="true" outlineLevel="0" collapsed="false"/>
    <row r="3869" customFormat="false" ht="12.75" hidden="false" customHeight="true" outlineLevel="0" collapsed="false"/>
    <row r="3870" customFormat="false" ht="12.75" hidden="false" customHeight="true" outlineLevel="0" collapsed="false"/>
    <row r="3871" customFormat="false" ht="12.75" hidden="false" customHeight="true" outlineLevel="0" collapsed="false"/>
    <row r="3872" customFormat="false" ht="12.75" hidden="false" customHeight="true" outlineLevel="0" collapsed="false"/>
    <row r="3873" customFormat="false" ht="12.75" hidden="false" customHeight="true" outlineLevel="0" collapsed="false"/>
    <row r="3874" customFormat="false" ht="12.75" hidden="false" customHeight="true" outlineLevel="0" collapsed="false"/>
    <row r="3875" customFormat="false" ht="12.75" hidden="false" customHeight="true" outlineLevel="0" collapsed="false"/>
    <row r="3876" customFormat="false" ht="12.75" hidden="false" customHeight="true" outlineLevel="0" collapsed="false"/>
    <row r="3877" customFormat="false" ht="12.75" hidden="false" customHeight="true" outlineLevel="0" collapsed="false"/>
    <row r="3878" customFormat="false" ht="12.75" hidden="false" customHeight="true" outlineLevel="0" collapsed="false"/>
    <row r="3879" customFormat="false" ht="12.75" hidden="false" customHeight="true" outlineLevel="0" collapsed="false"/>
    <row r="3880" customFormat="false" ht="12.75" hidden="false" customHeight="true" outlineLevel="0" collapsed="false"/>
    <row r="3881" customFormat="false" ht="12.75" hidden="false" customHeight="true" outlineLevel="0" collapsed="false"/>
    <row r="3882" customFormat="false" ht="12.75" hidden="false" customHeight="true" outlineLevel="0" collapsed="false"/>
    <row r="3883" customFormat="false" ht="12.75" hidden="false" customHeight="true" outlineLevel="0" collapsed="false"/>
    <row r="3884" customFormat="false" ht="12.75" hidden="false" customHeight="true" outlineLevel="0" collapsed="false"/>
    <row r="3885" customFormat="false" ht="12.75" hidden="false" customHeight="true" outlineLevel="0" collapsed="false"/>
    <row r="3886" customFormat="false" ht="12.75" hidden="false" customHeight="true" outlineLevel="0" collapsed="false"/>
    <row r="3887" customFormat="false" ht="12.75" hidden="false" customHeight="true" outlineLevel="0" collapsed="false"/>
    <row r="3888" customFormat="false" ht="12.75" hidden="false" customHeight="true" outlineLevel="0" collapsed="false"/>
    <row r="3889" customFormat="false" ht="12.75" hidden="false" customHeight="true" outlineLevel="0" collapsed="false"/>
    <row r="3890" customFormat="false" ht="12.75" hidden="false" customHeight="true" outlineLevel="0" collapsed="false"/>
    <row r="3891" customFormat="false" ht="12.75" hidden="false" customHeight="true" outlineLevel="0" collapsed="false"/>
    <row r="3892" customFormat="false" ht="12.75" hidden="false" customHeight="true" outlineLevel="0" collapsed="false"/>
    <row r="3893" customFormat="false" ht="12.75" hidden="false" customHeight="true" outlineLevel="0" collapsed="false"/>
    <row r="3894" customFormat="false" ht="12.75" hidden="false" customHeight="true" outlineLevel="0" collapsed="false"/>
    <row r="3895" customFormat="false" ht="12.75" hidden="false" customHeight="true" outlineLevel="0" collapsed="false"/>
    <row r="3896" customFormat="false" ht="12.75" hidden="false" customHeight="true" outlineLevel="0" collapsed="false"/>
    <row r="3897" customFormat="false" ht="12.75" hidden="false" customHeight="true" outlineLevel="0" collapsed="false"/>
    <row r="3898" customFormat="false" ht="12.75" hidden="false" customHeight="true" outlineLevel="0" collapsed="false"/>
    <row r="3899" customFormat="false" ht="12.75" hidden="false" customHeight="true" outlineLevel="0" collapsed="false"/>
    <row r="3900" customFormat="false" ht="12.75" hidden="false" customHeight="true" outlineLevel="0" collapsed="false"/>
    <row r="3901" customFormat="false" ht="12.75" hidden="false" customHeight="true" outlineLevel="0" collapsed="false"/>
    <row r="3902" customFormat="false" ht="12.75" hidden="false" customHeight="true" outlineLevel="0" collapsed="false"/>
    <row r="3903" customFormat="false" ht="12.75" hidden="false" customHeight="true" outlineLevel="0" collapsed="false"/>
    <row r="3904" customFormat="false" ht="12.75" hidden="false" customHeight="true" outlineLevel="0" collapsed="false"/>
    <row r="3905" customFormat="false" ht="12.75" hidden="false" customHeight="true" outlineLevel="0" collapsed="false"/>
    <row r="3906" customFormat="false" ht="12.75" hidden="false" customHeight="true" outlineLevel="0" collapsed="false"/>
    <row r="3907" customFormat="false" ht="12.75" hidden="false" customHeight="true" outlineLevel="0" collapsed="false"/>
    <row r="3908" customFormat="false" ht="12.75" hidden="false" customHeight="true" outlineLevel="0" collapsed="false"/>
    <row r="3909" customFormat="false" ht="12.75" hidden="false" customHeight="true" outlineLevel="0" collapsed="false"/>
    <row r="3910" customFormat="false" ht="12.75" hidden="false" customHeight="true" outlineLevel="0" collapsed="false"/>
    <row r="3911" customFormat="false" ht="12.75" hidden="false" customHeight="true" outlineLevel="0" collapsed="false"/>
    <row r="3912" customFormat="false" ht="12.75" hidden="false" customHeight="true" outlineLevel="0" collapsed="false"/>
    <row r="3913" customFormat="false" ht="12.75" hidden="false" customHeight="true" outlineLevel="0" collapsed="false"/>
    <row r="3914" customFormat="false" ht="12.75" hidden="false" customHeight="true" outlineLevel="0" collapsed="false"/>
    <row r="3915" customFormat="false" ht="12.75" hidden="false" customHeight="true" outlineLevel="0" collapsed="false"/>
    <row r="3916" customFormat="false" ht="12.75" hidden="false" customHeight="true" outlineLevel="0" collapsed="false"/>
    <row r="3917" customFormat="false" ht="12.75" hidden="false" customHeight="true" outlineLevel="0" collapsed="false"/>
    <row r="3918" customFormat="false" ht="12.75" hidden="false" customHeight="true" outlineLevel="0" collapsed="false"/>
    <row r="3919" customFormat="false" ht="12.75" hidden="false" customHeight="true" outlineLevel="0" collapsed="false"/>
    <row r="3920" customFormat="false" ht="12.75" hidden="false" customHeight="true" outlineLevel="0" collapsed="false"/>
    <row r="3921" customFormat="false" ht="12.75" hidden="false" customHeight="true" outlineLevel="0" collapsed="false"/>
    <row r="3922" customFormat="false" ht="12.75" hidden="false" customHeight="true" outlineLevel="0" collapsed="false"/>
    <row r="3923" customFormat="false" ht="12.75" hidden="false" customHeight="true" outlineLevel="0" collapsed="false"/>
    <row r="3924" customFormat="false" ht="12.75" hidden="false" customHeight="true" outlineLevel="0" collapsed="false"/>
    <row r="3925" customFormat="false" ht="12.75" hidden="false" customHeight="true" outlineLevel="0" collapsed="false"/>
    <row r="3926" customFormat="false" ht="12.75" hidden="false" customHeight="true" outlineLevel="0" collapsed="false"/>
    <row r="3927" customFormat="false" ht="12.75" hidden="false" customHeight="true" outlineLevel="0" collapsed="false"/>
    <row r="3928" customFormat="false" ht="12.75" hidden="false" customHeight="true" outlineLevel="0" collapsed="false"/>
    <row r="3929" customFormat="false" ht="12.75" hidden="false" customHeight="true" outlineLevel="0" collapsed="false"/>
    <row r="3930" customFormat="false" ht="12.75" hidden="false" customHeight="true" outlineLevel="0" collapsed="false"/>
    <row r="3931" customFormat="false" ht="12.75" hidden="false" customHeight="true" outlineLevel="0" collapsed="false"/>
    <row r="3932" customFormat="false" ht="12.75" hidden="false" customHeight="true" outlineLevel="0" collapsed="false"/>
    <row r="3933" customFormat="false" ht="12.75" hidden="false" customHeight="true" outlineLevel="0" collapsed="false"/>
    <row r="3934" customFormat="false" ht="12.75" hidden="false" customHeight="true" outlineLevel="0" collapsed="false"/>
    <row r="3935" customFormat="false" ht="12.75" hidden="false" customHeight="true" outlineLevel="0" collapsed="false"/>
    <row r="3936" customFormat="false" ht="12.75" hidden="false" customHeight="true" outlineLevel="0" collapsed="false"/>
    <row r="3937" customFormat="false" ht="12.75" hidden="false" customHeight="true" outlineLevel="0" collapsed="false"/>
    <row r="3938" customFormat="false" ht="12.75" hidden="false" customHeight="true" outlineLevel="0" collapsed="false"/>
    <row r="3939" customFormat="false" ht="12.75" hidden="false" customHeight="true" outlineLevel="0" collapsed="false"/>
    <row r="3940" customFormat="false" ht="12.75" hidden="false" customHeight="true" outlineLevel="0" collapsed="false"/>
    <row r="3941" customFormat="false" ht="12.75" hidden="false" customHeight="true" outlineLevel="0" collapsed="false"/>
    <row r="3942" customFormat="false" ht="12.75" hidden="false" customHeight="true" outlineLevel="0" collapsed="false"/>
    <row r="3943" customFormat="false" ht="12.75" hidden="false" customHeight="true" outlineLevel="0" collapsed="false"/>
    <row r="3944" customFormat="false" ht="12.75" hidden="false" customHeight="true" outlineLevel="0" collapsed="false"/>
    <row r="3945" customFormat="false" ht="12.75" hidden="false" customHeight="true" outlineLevel="0" collapsed="false"/>
    <row r="3946" customFormat="false" ht="12.75" hidden="false" customHeight="true" outlineLevel="0" collapsed="false"/>
    <row r="3947" customFormat="false" ht="12.75" hidden="false" customHeight="true" outlineLevel="0" collapsed="false"/>
    <row r="3948" customFormat="false" ht="12.75" hidden="false" customHeight="true" outlineLevel="0" collapsed="false"/>
    <row r="3949" customFormat="false" ht="12.75" hidden="false" customHeight="true" outlineLevel="0" collapsed="false"/>
    <row r="3950" customFormat="false" ht="12.75" hidden="false" customHeight="true" outlineLevel="0" collapsed="false"/>
    <row r="3951" customFormat="false" ht="12.75" hidden="false" customHeight="true" outlineLevel="0" collapsed="false"/>
    <row r="3952" customFormat="false" ht="12.75" hidden="false" customHeight="true" outlineLevel="0" collapsed="false"/>
    <row r="3953" customFormat="false" ht="12.75" hidden="false" customHeight="true" outlineLevel="0" collapsed="false"/>
    <row r="3954" customFormat="false" ht="12.75" hidden="false" customHeight="true" outlineLevel="0" collapsed="false"/>
    <row r="3955" customFormat="false" ht="12.75" hidden="false" customHeight="true" outlineLevel="0" collapsed="false"/>
    <row r="3956" customFormat="false" ht="12.75" hidden="false" customHeight="true" outlineLevel="0" collapsed="false"/>
    <row r="3957" customFormat="false" ht="12.75" hidden="false" customHeight="true" outlineLevel="0" collapsed="false"/>
    <row r="3958" customFormat="false" ht="12.75" hidden="false" customHeight="true" outlineLevel="0" collapsed="false"/>
    <row r="3959" customFormat="false" ht="12.75" hidden="false" customHeight="true" outlineLevel="0" collapsed="false"/>
    <row r="3960" customFormat="false" ht="12.75" hidden="false" customHeight="true" outlineLevel="0" collapsed="false"/>
    <row r="3961" customFormat="false" ht="12.75" hidden="false" customHeight="true" outlineLevel="0" collapsed="false"/>
    <row r="3962" customFormat="false" ht="12.75" hidden="false" customHeight="true" outlineLevel="0" collapsed="false"/>
    <row r="3963" customFormat="false" ht="12.75" hidden="false" customHeight="true" outlineLevel="0" collapsed="false"/>
    <row r="3964" customFormat="false" ht="12.75" hidden="false" customHeight="true" outlineLevel="0" collapsed="false"/>
    <row r="3965" customFormat="false" ht="12.75" hidden="false" customHeight="true" outlineLevel="0" collapsed="false"/>
    <row r="3966" customFormat="false" ht="12.75" hidden="false" customHeight="true" outlineLevel="0" collapsed="false"/>
    <row r="3967" customFormat="false" ht="12.75" hidden="false" customHeight="true" outlineLevel="0" collapsed="false"/>
    <row r="3968" customFormat="false" ht="12.75" hidden="false" customHeight="true" outlineLevel="0" collapsed="false"/>
    <row r="3969" customFormat="false" ht="12.75" hidden="false" customHeight="true" outlineLevel="0" collapsed="false"/>
    <row r="3970" customFormat="false" ht="12.75" hidden="false" customHeight="true" outlineLevel="0" collapsed="false"/>
    <row r="3971" customFormat="false" ht="12.75" hidden="false" customHeight="true" outlineLevel="0" collapsed="false"/>
    <row r="3972" customFormat="false" ht="12.75" hidden="false" customHeight="true" outlineLevel="0" collapsed="false"/>
    <row r="3973" customFormat="false" ht="12.75" hidden="false" customHeight="true" outlineLevel="0" collapsed="false"/>
    <row r="3974" customFormat="false" ht="12.75" hidden="false" customHeight="true" outlineLevel="0" collapsed="false"/>
    <row r="3975" customFormat="false" ht="12.75" hidden="false" customHeight="true" outlineLevel="0" collapsed="false"/>
    <row r="3976" customFormat="false" ht="12.75" hidden="false" customHeight="true" outlineLevel="0" collapsed="false"/>
    <row r="3977" customFormat="false" ht="12.75" hidden="false" customHeight="true" outlineLevel="0" collapsed="false"/>
    <row r="3978" customFormat="false" ht="12.75" hidden="false" customHeight="true" outlineLevel="0" collapsed="false"/>
    <row r="3979" customFormat="false" ht="12.75" hidden="false" customHeight="true" outlineLevel="0" collapsed="false"/>
    <row r="3980" customFormat="false" ht="12.75" hidden="false" customHeight="true" outlineLevel="0" collapsed="false"/>
    <row r="3981" customFormat="false" ht="12.75" hidden="false" customHeight="true" outlineLevel="0" collapsed="false"/>
    <row r="3982" customFormat="false" ht="12.75" hidden="false" customHeight="true" outlineLevel="0" collapsed="false"/>
    <row r="3983" customFormat="false" ht="12.75" hidden="false" customHeight="true" outlineLevel="0" collapsed="false"/>
    <row r="3984" customFormat="false" ht="12.75" hidden="false" customHeight="true" outlineLevel="0" collapsed="false"/>
    <row r="3985" customFormat="false" ht="12.75" hidden="false" customHeight="true" outlineLevel="0" collapsed="false"/>
    <row r="3986" customFormat="false" ht="12.75" hidden="false" customHeight="true" outlineLevel="0" collapsed="false"/>
    <row r="3987" customFormat="false" ht="12.75" hidden="false" customHeight="true" outlineLevel="0" collapsed="false"/>
    <row r="3988" customFormat="false" ht="12.75" hidden="false" customHeight="true" outlineLevel="0" collapsed="false"/>
    <row r="3989" customFormat="false" ht="12.75" hidden="false" customHeight="true" outlineLevel="0" collapsed="false"/>
    <row r="3990" customFormat="false" ht="12.75" hidden="false" customHeight="true" outlineLevel="0" collapsed="false"/>
    <row r="3991" customFormat="false" ht="12.75" hidden="false" customHeight="true" outlineLevel="0" collapsed="false"/>
    <row r="3992" customFormat="false" ht="12.75" hidden="false" customHeight="true" outlineLevel="0" collapsed="false"/>
    <row r="3993" customFormat="false" ht="12.75" hidden="false" customHeight="true" outlineLevel="0" collapsed="false"/>
    <row r="3994" customFormat="false" ht="12.75" hidden="false" customHeight="true" outlineLevel="0" collapsed="false"/>
    <row r="3995" customFormat="false" ht="12.75" hidden="false" customHeight="true" outlineLevel="0" collapsed="false"/>
    <row r="3996" customFormat="false" ht="12.75" hidden="false" customHeight="true" outlineLevel="0" collapsed="false"/>
    <row r="3997" customFormat="false" ht="12.75" hidden="false" customHeight="true" outlineLevel="0" collapsed="false"/>
    <row r="3998" customFormat="false" ht="12.75" hidden="false" customHeight="true" outlineLevel="0" collapsed="false"/>
    <row r="3999" customFormat="false" ht="12.75" hidden="false" customHeight="true" outlineLevel="0" collapsed="false"/>
    <row r="4000" customFormat="false" ht="12.75" hidden="false" customHeight="true" outlineLevel="0" collapsed="false"/>
    <row r="4001" customFormat="false" ht="12.75" hidden="false" customHeight="true" outlineLevel="0" collapsed="false"/>
    <row r="4002" customFormat="false" ht="12.75" hidden="false" customHeight="true" outlineLevel="0" collapsed="false"/>
    <row r="4003" customFormat="false" ht="12.75" hidden="false" customHeight="true" outlineLevel="0" collapsed="false"/>
    <row r="4004" customFormat="false" ht="12.75" hidden="false" customHeight="true" outlineLevel="0" collapsed="false"/>
    <row r="4005" customFormat="false" ht="12.75" hidden="false" customHeight="true" outlineLevel="0" collapsed="false"/>
    <row r="4006" customFormat="false" ht="12.75" hidden="false" customHeight="true" outlineLevel="0" collapsed="false"/>
    <row r="4007" customFormat="false" ht="12.75" hidden="false" customHeight="true" outlineLevel="0" collapsed="false"/>
    <row r="4008" customFormat="false" ht="12.75" hidden="false" customHeight="true" outlineLevel="0" collapsed="false"/>
    <row r="4009" customFormat="false" ht="12.75" hidden="false" customHeight="true" outlineLevel="0" collapsed="false"/>
    <row r="4010" customFormat="false" ht="12.75" hidden="false" customHeight="true" outlineLevel="0" collapsed="false"/>
    <row r="4011" customFormat="false" ht="12.75" hidden="false" customHeight="true" outlineLevel="0" collapsed="false"/>
    <row r="4012" customFormat="false" ht="12.75" hidden="false" customHeight="true" outlineLevel="0" collapsed="false"/>
    <row r="4013" customFormat="false" ht="12.75" hidden="false" customHeight="true" outlineLevel="0" collapsed="false"/>
    <row r="4014" customFormat="false" ht="12.75" hidden="false" customHeight="true" outlineLevel="0" collapsed="false"/>
    <row r="4015" customFormat="false" ht="12.75" hidden="false" customHeight="true" outlineLevel="0" collapsed="false"/>
    <row r="4016" customFormat="false" ht="12.75" hidden="false" customHeight="true" outlineLevel="0" collapsed="false"/>
    <row r="4017" customFormat="false" ht="12.75" hidden="false" customHeight="true" outlineLevel="0" collapsed="false"/>
    <row r="4018" customFormat="false" ht="12.75" hidden="false" customHeight="true" outlineLevel="0" collapsed="false"/>
    <row r="4019" customFormat="false" ht="12.75" hidden="false" customHeight="true" outlineLevel="0" collapsed="false"/>
    <row r="4020" customFormat="false" ht="12.75" hidden="false" customHeight="true" outlineLevel="0" collapsed="false"/>
    <row r="4021" customFormat="false" ht="12.75" hidden="false" customHeight="true" outlineLevel="0" collapsed="false"/>
    <row r="4022" customFormat="false" ht="12.75" hidden="false" customHeight="true" outlineLevel="0" collapsed="false"/>
    <row r="4023" customFormat="false" ht="12.75" hidden="false" customHeight="true" outlineLevel="0" collapsed="false"/>
    <row r="4024" customFormat="false" ht="12.75" hidden="false" customHeight="true" outlineLevel="0" collapsed="false"/>
    <row r="4025" customFormat="false" ht="12.75" hidden="false" customHeight="true" outlineLevel="0" collapsed="false"/>
    <row r="4026" customFormat="false" ht="12.75" hidden="false" customHeight="true" outlineLevel="0" collapsed="false"/>
    <row r="4027" customFormat="false" ht="12.75" hidden="false" customHeight="true" outlineLevel="0" collapsed="false"/>
    <row r="4028" customFormat="false" ht="12.75" hidden="false" customHeight="true" outlineLevel="0" collapsed="false"/>
    <row r="4029" customFormat="false" ht="12.75" hidden="false" customHeight="true" outlineLevel="0" collapsed="false"/>
    <row r="4030" customFormat="false" ht="12.75" hidden="false" customHeight="true" outlineLevel="0" collapsed="false"/>
    <row r="4031" customFormat="false" ht="12.75" hidden="false" customHeight="true" outlineLevel="0" collapsed="false"/>
    <row r="4032" customFormat="false" ht="12.75" hidden="false" customHeight="true" outlineLevel="0" collapsed="false"/>
    <row r="4033" customFormat="false" ht="12.75" hidden="false" customHeight="true" outlineLevel="0" collapsed="false"/>
    <row r="4034" customFormat="false" ht="12.75" hidden="false" customHeight="true" outlineLevel="0" collapsed="false"/>
    <row r="4035" customFormat="false" ht="12.75" hidden="false" customHeight="true" outlineLevel="0" collapsed="false"/>
    <row r="4036" customFormat="false" ht="12.75" hidden="false" customHeight="true" outlineLevel="0" collapsed="false"/>
    <row r="4037" customFormat="false" ht="12.75" hidden="false" customHeight="true" outlineLevel="0" collapsed="false"/>
    <row r="4038" customFormat="false" ht="12.75" hidden="false" customHeight="true" outlineLevel="0" collapsed="false"/>
    <row r="4039" customFormat="false" ht="12.75" hidden="false" customHeight="true" outlineLevel="0" collapsed="false"/>
    <row r="4040" customFormat="false" ht="12.75" hidden="false" customHeight="true" outlineLevel="0" collapsed="false"/>
    <row r="4041" customFormat="false" ht="12.75" hidden="false" customHeight="true" outlineLevel="0" collapsed="false"/>
    <row r="4042" customFormat="false" ht="12.75" hidden="false" customHeight="true" outlineLevel="0" collapsed="false"/>
    <row r="4043" customFormat="false" ht="12.75" hidden="false" customHeight="true" outlineLevel="0" collapsed="false"/>
    <row r="4044" customFormat="false" ht="12.75" hidden="false" customHeight="true" outlineLevel="0" collapsed="false"/>
    <row r="4045" customFormat="false" ht="12.75" hidden="false" customHeight="true" outlineLevel="0" collapsed="false"/>
    <row r="4046" customFormat="false" ht="12.75" hidden="false" customHeight="true" outlineLevel="0" collapsed="false"/>
    <row r="4047" customFormat="false" ht="12.75" hidden="false" customHeight="true" outlineLevel="0" collapsed="false"/>
    <row r="4048" customFormat="false" ht="12.75" hidden="false" customHeight="true" outlineLevel="0" collapsed="false"/>
    <row r="4049" customFormat="false" ht="12.75" hidden="false" customHeight="true" outlineLevel="0" collapsed="false"/>
    <row r="4050" customFormat="false" ht="12.75" hidden="false" customHeight="true" outlineLevel="0" collapsed="false"/>
    <row r="4051" customFormat="false" ht="12.75" hidden="false" customHeight="true" outlineLevel="0" collapsed="false"/>
    <row r="4052" customFormat="false" ht="12.75" hidden="false" customHeight="true" outlineLevel="0" collapsed="false"/>
    <row r="4053" customFormat="false" ht="12.75" hidden="false" customHeight="true" outlineLevel="0" collapsed="false"/>
    <row r="4054" customFormat="false" ht="12.75" hidden="false" customHeight="true" outlineLevel="0" collapsed="false"/>
    <row r="4055" customFormat="false" ht="12.75" hidden="false" customHeight="true" outlineLevel="0" collapsed="false"/>
    <row r="4056" customFormat="false" ht="12.75" hidden="false" customHeight="true" outlineLevel="0" collapsed="false"/>
    <row r="4057" customFormat="false" ht="12.75" hidden="false" customHeight="true" outlineLevel="0" collapsed="false"/>
    <row r="4058" customFormat="false" ht="12.75" hidden="false" customHeight="true" outlineLevel="0" collapsed="false"/>
    <row r="4059" customFormat="false" ht="12.75" hidden="false" customHeight="true" outlineLevel="0" collapsed="false"/>
    <row r="4060" customFormat="false" ht="12.75" hidden="false" customHeight="true" outlineLevel="0" collapsed="false"/>
    <row r="4061" customFormat="false" ht="12.75" hidden="false" customHeight="true" outlineLevel="0" collapsed="false"/>
    <row r="4062" customFormat="false" ht="12.75" hidden="false" customHeight="true" outlineLevel="0" collapsed="false"/>
    <row r="4063" customFormat="false" ht="12.75" hidden="false" customHeight="true" outlineLevel="0" collapsed="false"/>
    <row r="4064" customFormat="false" ht="12.75" hidden="false" customHeight="true" outlineLevel="0" collapsed="false"/>
    <row r="4065" customFormat="false" ht="12.75" hidden="false" customHeight="true" outlineLevel="0" collapsed="false"/>
    <row r="4066" customFormat="false" ht="12.75" hidden="false" customHeight="true" outlineLevel="0" collapsed="false"/>
    <row r="4067" customFormat="false" ht="12.75" hidden="false" customHeight="true" outlineLevel="0" collapsed="false"/>
    <row r="4068" customFormat="false" ht="12.75" hidden="false" customHeight="true" outlineLevel="0" collapsed="false"/>
    <row r="4069" customFormat="false" ht="12.75" hidden="false" customHeight="true" outlineLevel="0" collapsed="false"/>
    <row r="4070" customFormat="false" ht="12.75" hidden="false" customHeight="true" outlineLevel="0" collapsed="false"/>
    <row r="4071" customFormat="false" ht="12.75" hidden="false" customHeight="true" outlineLevel="0" collapsed="false"/>
    <row r="4072" customFormat="false" ht="12.75" hidden="false" customHeight="true" outlineLevel="0" collapsed="false"/>
    <row r="4073" customFormat="false" ht="12.75" hidden="false" customHeight="true" outlineLevel="0" collapsed="false"/>
    <row r="4074" customFormat="false" ht="12.75" hidden="false" customHeight="true" outlineLevel="0" collapsed="false"/>
    <row r="4075" customFormat="false" ht="12.75" hidden="false" customHeight="true" outlineLevel="0" collapsed="false"/>
    <row r="4076" customFormat="false" ht="12.75" hidden="false" customHeight="true" outlineLevel="0" collapsed="false"/>
    <row r="4077" customFormat="false" ht="12.75" hidden="false" customHeight="true" outlineLevel="0" collapsed="false"/>
    <row r="4078" customFormat="false" ht="12.75" hidden="false" customHeight="true" outlineLevel="0" collapsed="false"/>
    <row r="4079" customFormat="false" ht="12.75" hidden="false" customHeight="true" outlineLevel="0" collapsed="false"/>
    <row r="4080" customFormat="false" ht="12.75" hidden="false" customHeight="true" outlineLevel="0" collapsed="false"/>
    <row r="4081" customFormat="false" ht="12.75" hidden="false" customHeight="true" outlineLevel="0" collapsed="false"/>
    <row r="4082" customFormat="false" ht="12.75" hidden="false" customHeight="true" outlineLevel="0" collapsed="false"/>
    <row r="4083" customFormat="false" ht="12.75" hidden="false" customHeight="true" outlineLevel="0" collapsed="false"/>
    <row r="4084" customFormat="false" ht="12.75" hidden="false" customHeight="true" outlineLevel="0" collapsed="false"/>
    <row r="4085" customFormat="false" ht="12.75" hidden="false" customHeight="true" outlineLevel="0" collapsed="false"/>
    <row r="4086" customFormat="false" ht="12.75" hidden="false" customHeight="true" outlineLevel="0" collapsed="false"/>
    <row r="4087" customFormat="false" ht="12.75" hidden="false" customHeight="true" outlineLevel="0" collapsed="false"/>
    <row r="4088" customFormat="false" ht="12.75" hidden="false" customHeight="true" outlineLevel="0" collapsed="false"/>
    <row r="4089" customFormat="false" ht="12.75" hidden="false" customHeight="true" outlineLevel="0" collapsed="false"/>
    <row r="4090" customFormat="false" ht="12.75" hidden="false" customHeight="true" outlineLevel="0" collapsed="false"/>
    <row r="4091" customFormat="false" ht="12.75" hidden="false" customHeight="true" outlineLevel="0" collapsed="false"/>
    <row r="4092" customFormat="false" ht="12.75" hidden="false" customHeight="true" outlineLevel="0" collapsed="false"/>
    <row r="4093" customFormat="false" ht="12.75" hidden="false" customHeight="true" outlineLevel="0" collapsed="false"/>
    <row r="4094" customFormat="false" ht="12.75" hidden="false" customHeight="true" outlineLevel="0" collapsed="false"/>
    <row r="4095" customFormat="false" ht="12.75" hidden="false" customHeight="true" outlineLevel="0" collapsed="false"/>
    <row r="4096" customFormat="false" ht="12.75" hidden="false" customHeight="true" outlineLevel="0" collapsed="false"/>
    <row r="4097" customFormat="false" ht="12.75" hidden="false" customHeight="true" outlineLevel="0" collapsed="false"/>
    <row r="4098" customFormat="false" ht="12.75" hidden="false" customHeight="true" outlineLevel="0" collapsed="false"/>
    <row r="4099" customFormat="false" ht="12.75" hidden="false" customHeight="true" outlineLevel="0" collapsed="false"/>
    <row r="4100" customFormat="false" ht="12.75" hidden="false" customHeight="true" outlineLevel="0" collapsed="false"/>
    <row r="4101" customFormat="false" ht="12.75" hidden="false" customHeight="true" outlineLevel="0" collapsed="false"/>
    <row r="4102" customFormat="false" ht="12.75" hidden="false" customHeight="true" outlineLevel="0" collapsed="false"/>
    <row r="4103" customFormat="false" ht="12.75" hidden="false" customHeight="true" outlineLevel="0" collapsed="false"/>
    <row r="4104" customFormat="false" ht="12.75" hidden="false" customHeight="true" outlineLevel="0" collapsed="false"/>
    <row r="4105" customFormat="false" ht="12.75" hidden="false" customHeight="true" outlineLevel="0" collapsed="false"/>
    <row r="4106" customFormat="false" ht="12.75" hidden="false" customHeight="true" outlineLevel="0" collapsed="false"/>
    <row r="4107" customFormat="false" ht="12.75" hidden="false" customHeight="true" outlineLevel="0" collapsed="false"/>
    <row r="4108" customFormat="false" ht="12.75" hidden="false" customHeight="true" outlineLevel="0" collapsed="false"/>
    <row r="4109" customFormat="false" ht="12.75" hidden="false" customHeight="true" outlineLevel="0" collapsed="false"/>
    <row r="4110" customFormat="false" ht="12.75" hidden="false" customHeight="true" outlineLevel="0" collapsed="false"/>
    <row r="4111" customFormat="false" ht="12.75" hidden="false" customHeight="true" outlineLevel="0" collapsed="false"/>
    <row r="4112" customFormat="false" ht="12.75" hidden="false" customHeight="true" outlineLevel="0" collapsed="false"/>
    <row r="4113" customFormat="false" ht="12.75" hidden="false" customHeight="true" outlineLevel="0" collapsed="false"/>
    <row r="4114" customFormat="false" ht="12.75" hidden="false" customHeight="true" outlineLevel="0" collapsed="false"/>
    <row r="4115" customFormat="false" ht="12.75" hidden="false" customHeight="true" outlineLevel="0" collapsed="false"/>
    <row r="4116" customFormat="false" ht="12.75" hidden="false" customHeight="true" outlineLevel="0" collapsed="false"/>
    <row r="4117" customFormat="false" ht="12.75" hidden="false" customHeight="true" outlineLevel="0" collapsed="false"/>
    <row r="4118" customFormat="false" ht="12.75" hidden="false" customHeight="true" outlineLevel="0" collapsed="false"/>
    <row r="4119" customFormat="false" ht="12.75" hidden="false" customHeight="true" outlineLevel="0" collapsed="false"/>
    <row r="4120" customFormat="false" ht="12.75" hidden="false" customHeight="true" outlineLevel="0" collapsed="false"/>
    <row r="4121" customFormat="false" ht="12.75" hidden="false" customHeight="true" outlineLevel="0" collapsed="false"/>
    <row r="4122" customFormat="false" ht="12.75" hidden="false" customHeight="true" outlineLevel="0" collapsed="false"/>
    <row r="4123" customFormat="false" ht="12.75" hidden="false" customHeight="true" outlineLevel="0" collapsed="false"/>
    <row r="4124" customFormat="false" ht="12.75" hidden="false" customHeight="true" outlineLevel="0" collapsed="false"/>
    <row r="4125" customFormat="false" ht="12.75" hidden="false" customHeight="true" outlineLevel="0" collapsed="false"/>
    <row r="4126" customFormat="false" ht="12.75" hidden="false" customHeight="true" outlineLevel="0" collapsed="false"/>
    <row r="4127" customFormat="false" ht="12.75" hidden="false" customHeight="true" outlineLevel="0" collapsed="false"/>
    <row r="4128" customFormat="false" ht="12.75" hidden="false" customHeight="true" outlineLevel="0" collapsed="false"/>
    <row r="4129" customFormat="false" ht="12.75" hidden="false" customHeight="true" outlineLevel="0" collapsed="false"/>
    <row r="4130" customFormat="false" ht="12.75" hidden="false" customHeight="true" outlineLevel="0" collapsed="false"/>
    <row r="4131" customFormat="false" ht="12.75" hidden="false" customHeight="true" outlineLevel="0" collapsed="false"/>
    <row r="4132" customFormat="false" ht="12.75" hidden="false" customHeight="true" outlineLevel="0" collapsed="false"/>
    <row r="4133" customFormat="false" ht="12.75" hidden="false" customHeight="true" outlineLevel="0" collapsed="false"/>
    <row r="4134" customFormat="false" ht="12.75" hidden="false" customHeight="true" outlineLevel="0" collapsed="false"/>
    <row r="4135" customFormat="false" ht="12.75" hidden="false" customHeight="true" outlineLevel="0" collapsed="false"/>
    <row r="4136" customFormat="false" ht="12.75" hidden="false" customHeight="true" outlineLevel="0" collapsed="false"/>
    <row r="4137" customFormat="false" ht="12.75" hidden="false" customHeight="true" outlineLevel="0" collapsed="false"/>
    <row r="4138" customFormat="false" ht="12.75" hidden="false" customHeight="true" outlineLevel="0" collapsed="false"/>
    <row r="4139" customFormat="false" ht="12.75" hidden="false" customHeight="true" outlineLevel="0" collapsed="false"/>
    <row r="4140" customFormat="false" ht="12.75" hidden="false" customHeight="true" outlineLevel="0" collapsed="false"/>
    <row r="4141" customFormat="false" ht="12.75" hidden="false" customHeight="true" outlineLevel="0" collapsed="false"/>
    <row r="4142" customFormat="false" ht="12.75" hidden="false" customHeight="true" outlineLevel="0" collapsed="false"/>
    <row r="4143" customFormat="false" ht="12.75" hidden="false" customHeight="true" outlineLevel="0" collapsed="false"/>
    <row r="4144" customFormat="false" ht="12.75" hidden="false" customHeight="true" outlineLevel="0" collapsed="false"/>
    <row r="4145" customFormat="false" ht="12.75" hidden="false" customHeight="true" outlineLevel="0" collapsed="false"/>
    <row r="4146" customFormat="false" ht="12.75" hidden="false" customHeight="true" outlineLevel="0" collapsed="false"/>
    <row r="4147" customFormat="false" ht="12.75" hidden="false" customHeight="true" outlineLevel="0" collapsed="false"/>
    <row r="4148" customFormat="false" ht="12.75" hidden="false" customHeight="true" outlineLevel="0" collapsed="false"/>
    <row r="4149" customFormat="false" ht="12.75" hidden="false" customHeight="true" outlineLevel="0" collapsed="false"/>
    <row r="4150" customFormat="false" ht="12.75" hidden="false" customHeight="true" outlineLevel="0" collapsed="false"/>
    <row r="4151" customFormat="false" ht="12.75" hidden="false" customHeight="true" outlineLevel="0" collapsed="false"/>
    <row r="4152" customFormat="false" ht="12.75" hidden="false" customHeight="true" outlineLevel="0" collapsed="false"/>
    <row r="4153" customFormat="false" ht="12.75" hidden="false" customHeight="true" outlineLevel="0" collapsed="false"/>
    <row r="4154" customFormat="false" ht="12.75" hidden="false" customHeight="true" outlineLevel="0" collapsed="false"/>
    <row r="4155" customFormat="false" ht="12.75" hidden="false" customHeight="true" outlineLevel="0" collapsed="false"/>
    <row r="4156" customFormat="false" ht="12.75" hidden="false" customHeight="true" outlineLevel="0" collapsed="false"/>
    <row r="4157" customFormat="false" ht="12.75" hidden="false" customHeight="true" outlineLevel="0" collapsed="false"/>
    <row r="4158" customFormat="false" ht="12.75" hidden="false" customHeight="true" outlineLevel="0" collapsed="false"/>
    <row r="4159" customFormat="false" ht="12.75" hidden="false" customHeight="true" outlineLevel="0" collapsed="false"/>
    <row r="4160" customFormat="false" ht="12.75" hidden="false" customHeight="true" outlineLevel="0" collapsed="false"/>
    <row r="4161" customFormat="false" ht="12.75" hidden="false" customHeight="true" outlineLevel="0" collapsed="false"/>
    <row r="4162" customFormat="false" ht="12.75" hidden="false" customHeight="true" outlineLevel="0" collapsed="false"/>
    <row r="4163" customFormat="false" ht="12.75" hidden="false" customHeight="true" outlineLevel="0" collapsed="false"/>
    <row r="4164" customFormat="false" ht="12.75" hidden="false" customHeight="true" outlineLevel="0" collapsed="false"/>
    <row r="4165" customFormat="false" ht="12.75" hidden="false" customHeight="true" outlineLevel="0" collapsed="false"/>
    <row r="4166" customFormat="false" ht="12.75" hidden="false" customHeight="true" outlineLevel="0" collapsed="false"/>
    <row r="4167" customFormat="false" ht="12.75" hidden="false" customHeight="true" outlineLevel="0" collapsed="false"/>
    <row r="4168" customFormat="false" ht="12.75" hidden="false" customHeight="true" outlineLevel="0" collapsed="false"/>
    <row r="4169" customFormat="false" ht="12.75" hidden="false" customHeight="true" outlineLevel="0" collapsed="false"/>
    <row r="4170" customFormat="false" ht="12.75" hidden="false" customHeight="true" outlineLevel="0" collapsed="false"/>
    <row r="4171" customFormat="false" ht="12.75" hidden="false" customHeight="true" outlineLevel="0" collapsed="false"/>
    <row r="4172" customFormat="false" ht="12.75" hidden="false" customHeight="true" outlineLevel="0" collapsed="false"/>
    <row r="4173" customFormat="false" ht="12.75" hidden="false" customHeight="true" outlineLevel="0" collapsed="false"/>
    <row r="4174" customFormat="false" ht="12.75" hidden="false" customHeight="true" outlineLevel="0" collapsed="false"/>
    <row r="4175" customFormat="false" ht="12.75" hidden="false" customHeight="true" outlineLevel="0" collapsed="false"/>
    <row r="4176" customFormat="false" ht="12.75" hidden="false" customHeight="true" outlineLevel="0" collapsed="false"/>
    <row r="4177" customFormat="false" ht="12.75" hidden="false" customHeight="true" outlineLevel="0" collapsed="false"/>
    <row r="4178" customFormat="false" ht="12.75" hidden="false" customHeight="true" outlineLevel="0" collapsed="false"/>
    <row r="4179" customFormat="false" ht="12.75" hidden="false" customHeight="true" outlineLevel="0" collapsed="false"/>
    <row r="4180" customFormat="false" ht="12.75" hidden="false" customHeight="true" outlineLevel="0" collapsed="false"/>
    <row r="4181" customFormat="false" ht="12.75" hidden="false" customHeight="true" outlineLevel="0" collapsed="false"/>
    <row r="4182" customFormat="false" ht="12.75" hidden="false" customHeight="true" outlineLevel="0" collapsed="false"/>
    <row r="4183" customFormat="false" ht="12.75" hidden="false" customHeight="true" outlineLevel="0" collapsed="false"/>
    <row r="4184" customFormat="false" ht="12.75" hidden="false" customHeight="true" outlineLevel="0" collapsed="false"/>
    <row r="4185" customFormat="false" ht="12.75" hidden="false" customHeight="true" outlineLevel="0" collapsed="false"/>
    <row r="4186" customFormat="false" ht="12.75" hidden="false" customHeight="true" outlineLevel="0" collapsed="false"/>
    <row r="4187" customFormat="false" ht="12.75" hidden="false" customHeight="true" outlineLevel="0" collapsed="false"/>
    <row r="4188" customFormat="false" ht="12.75" hidden="false" customHeight="true" outlineLevel="0" collapsed="false"/>
    <row r="4189" customFormat="false" ht="12.75" hidden="false" customHeight="true" outlineLevel="0" collapsed="false"/>
    <row r="4190" customFormat="false" ht="12.75" hidden="false" customHeight="true" outlineLevel="0" collapsed="false"/>
    <row r="4191" customFormat="false" ht="12.75" hidden="false" customHeight="true" outlineLevel="0" collapsed="false"/>
    <row r="4192" customFormat="false" ht="12.75" hidden="false" customHeight="true" outlineLevel="0" collapsed="false"/>
    <row r="4193" customFormat="false" ht="12.75" hidden="false" customHeight="true" outlineLevel="0" collapsed="false"/>
    <row r="4194" customFormat="false" ht="12.75" hidden="false" customHeight="true" outlineLevel="0" collapsed="false"/>
    <row r="4195" customFormat="false" ht="12.75" hidden="false" customHeight="true" outlineLevel="0" collapsed="false"/>
    <row r="4196" customFormat="false" ht="12.75" hidden="false" customHeight="true" outlineLevel="0" collapsed="false"/>
    <row r="4197" customFormat="false" ht="12.75" hidden="false" customHeight="true" outlineLevel="0" collapsed="false"/>
    <row r="4198" customFormat="false" ht="12.75" hidden="false" customHeight="true" outlineLevel="0" collapsed="false"/>
    <row r="4199" customFormat="false" ht="12.75" hidden="false" customHeight="true" outlineLevel="0" collapsed="false"/>
    <row r="4200" customFormat="false" ht="12.75" hidden="false" customHeight="true" outlineLevel="0" collapsed="false"/>
    <row r="4201" customFormat="false" ht="12.75" hidden="false" customHeight="true" outlineLevel="0" collapsed="false"/>
    <row r="4202" customFormat="false" ht="12.75" hidden="false" customHeight="true" outlineLevel="0" collapsed="false"/>
    <row r="4203" customFormat="false" ht="12.75" hidden="false" customHeight="true" outlineLevel="0" collapsed="false"/>
    <row r="4204" customFormat="false" ht="12.75" hidden="false" customHeight="true" outlineLevel="0" collapsed="false"/>
    <row r="4205" customFormat="false" ht="12.75" hidden="false" customHeight="true" outlineLevel="0" collapsed="false"/>
    <row r="4206" customFormat="false" ht="12.75" hidden="false" customHeight="true" outlineLevel="0" collapsed="false"/>
    <row r="4207" customFormat="false" ht="12.75" hidden="false" customHeight="true" outlineLevel="0" collapsed="false"/>
    <row r="4208" customFormat="false" ht="12.75" hidden="false" customHeight="true" outlineLevel="0" collapsed="false"/>
    <row r="4209" customFormat="false" ht="12.75" hidden="false" customHeight="true" outlineLevel="0" collapsed="false"/>
    <row r="4210" customFormat="false" ht="12.75" hidden="false" customHeight="true" outlineLevel="0" collapsed="false"/>
    <row r="4211" customFormat="false" ht="12.75" hidden="false" customHeight="true" outlineLevel="0" collapsed="false"/>
    <row r="4212" customFormat="false" ht="12.75" hidden="false" customHeight="true" outlineLevel="0" collapsed="false"/>
    <row r="4213" customFormat="false" ht="12.75" hidden="false" customHeight="true" outlineLevel="0" collapsed="false"/>
    <row r="4214" customFormat="false" ht="12.75" hidden="false" customHeight="true" outlineLevel="0" collapsed="false"/>
    <row r="4215" customFormat="false" ht="12.75" hidden="false" customHeight="true" outlineLevel="0" collapsed="false"/>
    <row r="4216" customFormat="false" ht="12.75" hidden="false" customHeight="true" outlineLevel="0" collapsed="false"/>
    <row r="4217" customFormat="false" ht="12.75" hidden="false" customHeight="true" outlineLevel="0" collapsed="false"/>
    <row r="4218" customFormat="false" ht="12.75" hidden="false" customHeight="true" outlineLevel="0" collapsed="false"/>
    <row r="4219" customFormat="false" ht="12.75" hidden="false" customHeight="true" outlineLevel="0" collapsed="false"/>
    <row r="4220" customFormat="false" ht="12.75" hidden="false" customHeight="true" outlineLevel="0" collapsed="false"/>
    <row r="4221" customFormat="false" ht="12.75" hidden="false" customHeight="true" outlineLevel="0" collapsed="false"/>
    <row r="4222" customFormat="false" ht="12.75" hidden="false" customHeight="true" outlineLevel="0" collapsed="false"/>
    <row r="4223" customFormat="false" ht="12.75" hidden="false" customHeight="true" outlineLevel="0" collapsed="false"/>
    <row r="4224" customFormat="false" ht="12.75" hidden="false" customHeight="true" outlineLevel="0" collapsed="false"/>
    <row r="4225" customFormat="false" ht="12.75" hidden="false" customHeight="true" outlineLevel="0" collapsed="false"/>
    <row r="4226" customFormat="false" ht="12.75" hidden="false" customHeight="true" outlineLevel="0" collapsed="false"/>
    <row r="4227" customFormat="false" ht="12.75" hidden="false" customHeight="true" outlineLevel="0" collapsed="false"/>
    <row r="4228" customFormat="false" ht="12.75" hidden="false" customHeight="true" outlineLevel="0" collapsed="false"/>
    <row r="4229" customFormat="false" ht="12.75" hidden="false" customHeight="true" outlineLevel="0" collapsed="false"/>
    <row r="4230" customFormat="false" ht="12.75" hidden="false" customHeight="true" outlineLevel="0" collapsed="false"/>
    <row r="4231" customFormat="false" ht="12.75" hidden="false" customHeight="true" outlineLevel="0" collapsed="false"/>
    <row r="4232" customFormat="false" ht="12.75" hidden="false" customHeight="true" outlineLevel="0" collapsed="false"/>
    <row r="4233" customFormat="false" ht="12.75" hidden="false" customHeight="true" outlineLevel="0" collapsed="false"/>
    <row r="4234" customFormat="false" ht="12.75" hidden="false" customHeight="true" outlineLevel="0" collapsed="false"/>
    <row r="4235" customFormat="false" ht="12.75" hidden="false" customHeight="true" outlineLevel="0" collapsed="false"/>
    <row r="4236" customFormat="false" ht="12.75" hidden="false" customHeight="true" outlineLevel="0" collapsed="false"/>
    <row r="4237" customFormat="false" ht="12.75" hidden="false" customHeight="true" outlineLevel="0" collapsed="false"/>
    <row r="4238" customFormat="false" ht="12.75" hidden="false" customHeight="true" outlineLevel="0" collapsed="false"/>
    <row r="4239" customFormat="false" ht="12.75" hidden="false" customHeight="true" outlineLevel="0" collapsed="false"/>
    <row r="4240" customFormat="false" ht="12.75" hidden="false" customHeight="true" outlineLevel="0" collapsed="false"/>
    <row r="4241" customFormat="false" ht="12.75" hidden="false" customHeight="true" outlineLevel="0" collapsed="false"/>
    <row r="4242" customFormat="false" ht="12.75" hidden="false" customHeight="true" outlineLevel="0" collapsed="false"/>
    <row r="4243" customFormat="false" ht="12.75" hidden="false" customHeight="true" outlineLevel="0" collapsed="false"/>
    <row r="4244" customFormat="false" ht="12.75" hidden="false" customHeight="true" outlineLevel="0" collapsed="false"/>
    <row r="4245" customFormat="false" ht="12.75" hidden="false" customHeight="true" outlineLevel="0" collapsed="false"/>
    <row r="4246" customFormat="false" ht="12.75" hidden="false" customHeight="true" outlineLevel="0" collapsed="false"/>
    <row r="4247" customFormat="false" ht="12.75" hidden="false" customHeight="true" outlineLevel="0" collapsed="false"/>
    <row r="4248" customFormat="false" ht="12.75" hidden="false" customHeight="true" outlineLevel="0" collapsed="false"/>
    <row r="4249" customFormat="false" ht="12.75" hidden="false" customHeight="true" outlineLevel="0" collapsed="false"/>
    <row r="4250" customFormat="false" ht="12.75" hidden="false" customHeight="true" outlineLevel="0" collapsed="false"/>
    <row r="4251" customFormat="false" ht="12.75" hidden="false" customHeight="true" outlineLevel="0" collapsed="false"/>
    <row r="4252" customFormat="false" ht="12.75" hidden="false" customHeight="true" outlineLevel="0" collapsed="false"/>
    <row r="4253" customFormat="false" ht="12.75" hidden="false" customHeight="true" outlineLevel="0" collapsed="false"/>
    <row r="4254" customFormat="false" ht="12.75" hidden="false" customHeight="true" outlineLevel="0" collapsed="false"/>
    <row r="4255" customFormat="false" ht="12.75" hidden="false" customHeight="true" outlineLevel="0" collapsed="false"/>
    <row r="4256" customFormat="false" ht="12.75" hidden="false" customHeight="true" outlineLevel="0" collapsed="false"/>
    <row r="4257" customFormat="false" ht="12.75" hidden="false" customHeight="true" outlineLevel="0" collapsed="false"/>
    <row r="4258" customFormat="false" ht="12.75" hidden="false" customHeight="true" outlineLevel="0" collapsed="false"/>
    <row r="4259" customFormat="false" ht="12.75" hidden="false" customHeight="true" outlineLevel="0" collapsed="false"/>
    <row r="4260" customFormat="false" ht="12.75" hidden="false" customHeight="true" outlineLevel="0" collapsed="false"/>
    <row r="4261" customFormat="false" ht="12.75" hidden="false" customHeight="true" outlineLevel="0" collapsed="false"/>
    <row r="4262" customFormat="false" ht="12.75" hidden="false" customHeight="true" outlineLevel="0" collapsed="false"/>
    <row r="4272" customFormat="false" ht="12.75" hidden="false" customHeight="true" outlineLevel="0" collapsed="false"/>
    <row r="4273" customFormat="false" ht="12.75" hidden="false" customHeight="true" outlineLevel="0" collapsed="false"/>
    <row r="4274" customFormat="false" ht="12.75" hidden="false" customHeight="true" outlineLevel="0" collapsed="false"/>
    <row r="4275" customFormat="false" ht="12.75" hidden="false" customHeight="true" outlineLevel="0" collapsed="false"/>
    <row r="60933" customFormat="false" ht="12.75" hidden="false" customHeight="true" outlineLevel="0" collapsed="false"/>
    <row r="60949" customFormat="false" ht="12.75" hidden="false" customHeight="true" outlineLevel="0" collapsed="false"/>
    <row r="60965" customFormat="false" ht="12.75" hidden="false" customHeight="true" outlineLevel="0" collapsed="false"/>
    <row r="60981" customFormat="false" ht="12.75" hidden="false" customHeight="true" outlineLevel="0" collapsed="false"/>
    <row r="60994" customFormat="false" ht="12.75" hidden="false" customHeight="true" outlineLevel="0" collapsed="false"/>
    <row r="60995" customFormat="false" ht="12.75" hidden="false" customHeight="true" outlineLevel="0" collapsed="false"/>
    <row r="60997" customFormat="false" ht="12.75" hidden="false" customHeight="true" outlineLevel="0" collapsed="false"/>
    <row r="61008" customFormat="false" ht="12.75" hidden="false" customHeight="true" outlineLevel="0" collapsed="false"/>
    <row r="61009" customFormat="false" ht="12.75" hidden="false" customHeight="true" outlineLevel="0" collapsed="false"/>
    <row r="61010" customFormat="false" ht="12.75" hidden="false" customHeight="true" outlineLevel="0" collapsed="false"/>
    <row r="61011" customFormat="false" ht="12.75" hidden="false" customHeight="true" outlineLevel="0" collapsed="false"/>
    <row r="61013" customFormat="false" ht="12.75" hidden="false" customHeight="true" outlineLevel="0" collapsed="false"/>
    <row r="61024" customFormat="false" ht="12.75" hidden="false" customHeight="true" outlineLevel="0" collapsed="false"/>
    <row r="61025" customFormat="false" ht="12.75" hidden="false" customHeight="true" outlineLevel="0" collapsed="false"/>
    <row r="61026" customFormat="false" ht="12.75" hidden="false" customHeight="true" outlineLevel="0" collapsed="false"/>
    <row r="61027" customFormat="false" ht="12.75" hidden="false" customHeight="true" outlineLevel="0" collapsed="false"/>
    <row r="61029" customFormat="false" ht="12.75" hidden="false" customHeight="true" outlineLevel="0" collapsed="false"/>
    <row r="61040" customFormat="false" ht="12.75" hidden="false" customHeight="true" outlineLevel="0" collapsed="false"/>
    <row r="61041" customFormat="false" ht="12.75" hidden="false" customHeight="true" outlineLevel="0" collapsed="false"/>
    <row r="61042" customFormat="false" ht="12.75" hidden="false" customHeight="true" outlineLevel="0" collapsed="false"/>
    <row r="61043" customFormat="false" ht="12.75" hidden="false" customHeight="true" outlineLevel="0" collapsed="false"/>
    <row r="61045" customFormat="false" ht="12.75" hidden="false" customHeight="true" outlineLevel="0" collapsed="false"/>
    <row r="61056" customFormat="false" ht="12.75" hidden="false" customHeight="true" outlineLevel="0" collapsed="false"/>
    <row r="61057" customFormat="false" ht="12.75" hidden="false" customHeight="true" outlineLevel="0" collapsed="false"/>
    <row r="61058" customFormat="false" ht="12.75" hidden="false" customHeight="true" outlineLevel="0" collapsed="false"/>
    <row r="61059" customFormat="false" ht="12.75" hidden="false" customHeight="true" outlineLevel="0" collapsed="false"/>
    <row r="61061" customFormat="false" ht="12.75" hidden="false" customHeight="true" outlineLevel="0" collapsed="false"/>
    <row r="61072" customFormat="false" ht="12.75" hidden="false" customHeight="true" outlineLevel="0" collapsed="false"/>
    <row r="61073" customFormat="false" ht="12.75" hidden="false" customHeight="true" outlineLevel="0" collapsed="false"/>
    <row r="61074" customFormat="false" ht="12.75" hidden="false" customHeight="true" outlineLevel="0" collapsed="false"/>
    <row r="61075" customFormat="false" ht="12.75" hidden="false" customHeight="true" outlineLevel="0" collapsed="false"/>
    <row r="61077" customFormat="false" ht="12.75" hidden="false" customHeight="true" outlineLevel="0" collapsed="false"/>
    <row r="61088" customFormat="false" ht="12.75" hidden="false" customHeight="true" outlineLevel="0" collapsed="false"/>
    <row r="61089" customFormat="false" ht="12.75" hidden="false" customHeight="true" outlineLevel="0" collapsed="false"/>
    <row r="61090" customFormat="false" ht="12.75" hidden="false" customHeight="true" outlineLevel="0" collapsed="false"/>
    <row r="61091" customFormat="false" ht="12.75" hidden="false" customHeight="true" outlineLevel="0" collapsed="false"/>
    <row r="61093" customFormat="false" ht="12.75" hidden="false" customHeight="true" outlineLevel="0" collapsed="false"/>
    <row r="61104" customFormat="false" ht="12.75" hidden="false" customHeight="true" outlineLevel="0" collapsed="false"/>
    <row r="61105" customFormat="false" ht="12.75" hidden="false" customHeight="true" outlineLevel="0" collapsed="false"/>
    <row r="61106" customFormat="false" ht="12.75" hidden="false" customHeight="true" outlineLevel="0" collapsed="false"/>
    <row r="61107" customFormat="false" ht="12.75" hidden="false" customHeight="true" outlineLevel="0" collapsed="false"/>
    <row r="61109" customFormat="false" ht="12.75" hidden="false" customHeight="true" outlineLevel="0" collapsed="false"/>
    <row r="61120" customFormat="false" ht="12.75" hidden="false" customHeight="true" outlineLevel="0" collapsed="false"/>
    <row r="61121" customFormat="false" ht="12.75" hidden="false" customHeight="true" outlineLevel="0" collapsed="false"/>
    <row r="61122" customFormat="false" ht="12.75" hidden="false" customHeight="true" outlineLevel="0" collapsed="false"/>
    <row r="61123" customFormat="false" ht="12.75" hidden="false" customHeight="true" outlineLevel="0" collapsed="false"/>
    <row r="61125" customFormat="false" ht="12.75" hidden="false" customHeight="true" outlineLevel="0" collapsed="false"/>
    <row r="61133" customFormat="false" ht="12.75" hidden="false" customHeight="true" outlineLevel="0" collapsed="false"/>
    <row r="61136" customFormat="false" ht="12.75" hidden="false" customHeight="true" outlineLevel="0" collapsed="false"/>
    <row r="61137" customFormat="false" ht="12.75" hidden="false" customHeight="true" outlineLevel="0" collapsed="false"/>
    <row r="61138" customFormat="false" ht="12.75" hidden="false" customHeight="true" outlineLevel="0" collapsed="false"/>
    <row r="61139" customFormat="false" ht="12.75" hidden="false" customHeight="true" outlineLevel="0" collapsed="false"/>
    <row r="61141" customFormat="false" ht="12.75" hidden="false" customHeight="true" outlineLevel="0" collapsed="false"/>
    <row r="61149" customFormat="false" ht="12.75" hidden="false" customHeight="true" outlineLevel="0" collapsed="false"/>
    <row r="61152" customFormat="false" ht="12.75" hidden="false" customHeight="true" outlineLevel="0" collapsed="false"/>
    <row r="61153" customFormat="false" ht="12.75" hidden="false" customHeight="true" outlineLevel="0" collapsed="false"/>
    <row r="61154" customFormat="false" ht="12.75" hidden="false" customHeight="true" outlineLevel="0" collapsed="false"/>
    <row r="61155" customFormat="false" ht="12.75" hidden="false" customHeight="true" outlineLevel="0" collapsed="false"/>
    <row r="61157" customFormat="false" ht="12.75" hidden="false" customHeight="true" outlineLevel="0" collapsed="false"/>
    <row r="61165" customFormat="false" ht="12.75" hidden="false" customHeight="true" outlineLevel="0" collapsed="false"/>
    <row r="61166" customFormat="false" ht="12.75" hidden="false" customHeight="true" outlineLevel="0" collapsed="false"/>
    <row r="61168" customFormat="false" ht="12.75" hidden="false" customHeight="true" outlineLevel="0" collapsed="false"/>
    <row r="61169" customFormat="false" ht="12.75" hidden="false" customHeight="true" outlineLevel="0" collapsed="false"/>
    <row r="61170" customFormat="false" ht="12.75" hidden="false" customHeight="true" outlineLevel="0" collapsed="false"/>
    <row r="61171" customFormat="false" ht="12.75" hidden="false" customHeight="true" outlineLevel="0" collapsed="false"/>
    <row r="61173" customFormat="false" ht="12.75" hidden="false" customHeight="true" outlineLevel="0" collapsed="false"/>
    <row r="61181" customFormat="false" ht="12.75" hidden="false" customHeight="true" outlineLevel="0" collapsed="false"/>
    <row r="61182" customFormat="false" ht="12.75" hidden="false" customHeight="true" outlineLevel="0" collapsed="false"/>
    <row r="61183" customFormat="false" ht="12.75" hidden="false" customHeight="true" outlineLevel="0" collapsed="false"/>
    <row r="61184" customFormat="false" ht="12.75" hidden="false" customHeight="true" outlineLevel="0" collapsed="false"/>
    <row r="61185" customFormat="false" ht="12.75" hidden="false" customHeight="true" outlineLevel="0" collapsed="false"/>
    <row r="61186" customFormat="false" ht="12.75" hidden="false" customHeight="true" outlineLevel="0" collapsed="false"/>
    <row r="61187" customFormat="false" ht="12.75" hidden="false" customHeight="true" outlineLevel="0" collapsed="false"/>
    <row r="61189" customFormat="false" ht="12.75" hidden="false" customHeight="true" outlineLevel="0" collapsed="false"/>
    <row r="61197" customFormat="false" ht="12.75" hidden="false" customHeight="true" outlineLevel="0" collapsed="false"/>
    <row r="61198" customFormat="false" ht="12.75" hidden="false" customHeight="true" outlineLevel="0" collapsed="false"/>
    <row r="61199" customFormat="false" ht="12.75" hidden="false" customHeight="true" outlineLevel="0" collapsed="false"/>
    <row r="61200" customFormat="false" ht="12.75" hidden="false" customHeight="true" outlineLevel="0" collapsed="false"/>
    <row r="61201" customFormat="false" ht="12.75" hidden="false" customHeight="true" outlineLevel="0" collapsed="false"/>
    <row r="61202" customFormat="false" ht="12.75" hidden="false" customHeight="true" outlineLevel="0" collapsed="false"/>
    <row r="61203" customFormat="false" ht="12.75" hidden="false" customHeight="true" outlineLevel="0" collapsed="false"/>
    <row r="61205" customFormat="false" ht="12.75" hidden="false" customHeight="true" outlineLevel="0" collapsed="false"/>
    <row r="61211" customFormat="false" ht="12.75" hidden="false" customHeight="true" outlineLevel="0" collapsed="false"/>
    <row r="61212" customFormat="false" ht="12.75" hidden="false" customHeight="true" outlineLevel="0" collapsed="false"/>
    <row r="61213" customFormat="false" ht="12.75" hidden="false" customHeight="true" outlineLevel="0" collapsed="false"/>
    <row r="61214" customFormat="false" ht="12.75" hidden="false" customHeight="true" outlineLevel="0" collapsed="false"/>
    <row r="61215" customFormat="false" ht="12.75" hidden="false" customHeight="true" outlineLevel="0" collapsed="false"/>
    <row r="61216" customFormat="false" ht="12.75" hidden="false" customHeight="true" outlineLevel="0" collapsed="false"/>
    <row r="61217" customFormat="false" ht="12.75" hidden="false" customHeight="true" outlineLevel="0" collapsed="false"/>
    <row r="61218" customFormat="false" ht="12.75" hidden="false" customHeight="true" outlineLevel="0" collapsed="false"/>
    <row r="61219" customFormat="false" ht="12.75" hidden="false" customHeight="true" outlineLevel="0" collapsed="false"/>
    <row r="61220" customFormat="false" ht="12.75" hidden="false" customHeight="true" outlineLevel="0" collapsed="false"/>
    <row r="61221" customFormat="false" ht="12.75" hidden="false" customHeight="true" outlineLevel="0" collapsed="false"/>
    <row r="61222" customFormat="false" ht="12.75" hidden="false" customHeight="true" outlineLevel="0" collapsed="false"/>
    <row r="61227" customFormat="false" ht="12.75" hidden="false" customHeight="true" outlineLevel="0" collapsed="false"/>
    <row r="61228" customFormat="false" ht="12.75" hidden="false" customHeight="true" outlineLevel="0" collapsed="false"/>
    <row r="61229" customFormat="false" ht="12.75" hidden="false" customHeight="true" outlineLevel="0" collapsed="false"/>
    <row r="61230" customFormat="false" ht="12.75" hidden="false" customHeight="true" outlineLevel="0" collapsed="false"/>
    <row r="61231" customFormat="false" ht="12.75" hidden="false" customHeight="true" outlineLevel="0" collapsed="false"/>
    <row r="61232" customFormat="false" ht="12.75" hidden="false" customHeight="true" outlineLevel="0" collapsed="false"/>
    <row r="61233" customFormat="false" ht="12.75" hidden="false" customHeight="true" outlineLevel="0" collapsed="false"/>
    <row r="61234" customFormat="false" ht="12.75" hidden="false" customHeight="true" outlineLevel="0" collapsed="false"/>
    <row r="61235" customFormat="false" ht="12.75" hidden="false" customHeight="true" outlineLevel="0" collapsed="false"/>
    <row r="61236" customFormat="false" ht="12.75" hidden="false" customHeight="true" outlineLevel="0" collapsed="false"/>
    <row r="61237" customFormat="false" ht="12.75" hidden="false" customHeight="true" outlineLevel="0" collapsed="false"/>
    <row r="61238" customFormat="false" ht="12.75" hidden="false" customHeight="true" outlineLevel="0" collapsed="false"/>
    <row r="61243" customFormat="false" ht="12.75" hidden="false" customHeight="true" outlineLevel="0" collapsed="false"/>
    <row r="61244" customFormat="false" ht="12.75" hidden="false" customHeight="true" outlineLevel="0" collapsed="false"/>
    <row r="61245" customFormat="false" ht="12.75" hidden="false" customHeight="true" outlineLevel="0" collapsed="false"/>
    <row r="61246" customFormat="false" ht="12.75" hidden="false" customHeight="true" outlineLevel="0" collapsed="false"/>
    <row r="61247" customFormat="false" ht="12.75" hidden="false" customHeight="true" outlineLevel="0" collapsed="false"/>
    <row r="61248" customFormat="false" ht="12.75" hidden="false" customHeight="true" outlineLevel="0" collapsed="false"/>
    <row r="61249" customFormat="false" ht="12.75" hidden="false" customHeight="true" outlineLevel="0" collapsed="false"/>
    <row r="61250" customFormat="false" ht="12.75" hidden="false" customHeight="true" outlineLevel="0" collapsed="false"/>
    <row r="61251" customFormat="false" ht="12.75" hidden="false" customHeight="true" outlineLevel="0" collapsed="false"/>
    <row r="61252" customFormat="false" ht="12.75" hidden="false" customHeight="true" outlineLevel="0" collapsed="false"/>
    <row r="61253" customFormat="false" ht="12.75" hidden="false" customHeight="true" outlineLevel="0" collapsed="false"/>
    <row r="61254" customFormat="false" ht="12.75" hidden="false" customHeight="true" outlineLevel="0" collapsed="false"/>
    <row r="61259" customFormat="false" ht="12.75" hidden="false" customHeight="true" outlineLevel="0" collapsed="false"/>
    <row r="61260" customFormat="false" ht="12.75" hidden="false" customHeight="true" outlineLevel="0" collapsed="false"/>
    <row r="61261" customFormat="false" ht="12.75" hidden="false" customHeight="true" outlineLevel="0" collapsed="false"/>
    <row r="61262" customFormat="false" ht="12.75" hidden="false" customHeight="true" outlineLevel="0" collapsed="false"/>
    <row r="61263" customFormat="false" ht="12.75" hidden="false" customHeight="true" outlineLevel="0" collapsed="false"/>
    <row r="61264" customFormat="false" ht="12.75" hidden="false" customHeight="true" outlineLevel="0" collapsed="false"/>
    <row r="61265" customFormat="false" ht="12.75" hidden="false" customHeight="true" outlineLevel="0" collapsed="false"/>
    <row r="61266" customFormat="false" ht="12.75" hidden="false" customHeight="true" outlineLevel="0" collapsed="false"/>
    <row r="61267" customFormat="false" ht="12.75" hidden="false" customHeight="true" outlineLevel="0" collapsed="false"/>
    <row r="61268" customFormat="false" ht="12.75" hidden="false" customHeight="true" outlineLevel="0" collapsed="false"/>
    <row r="61269" customFormat="false" ht="12.75" hidden="false" customHeight="true" outlineLevel="0" collapsed="false"/>
    <row r="61270" customFormat="false" ht="12.75" hidden="false" customHeight="true" outlineLevel="0" collapsed="false"/>
    <row r="61274" customFormat="false" ht="12.75" hidden="false" customHeight="true" outlineLevel="0" collapsed="false"/>
    <row r="61275" customFormat="false" ht="12.75" hidden="false" customHeight="true" outlineLevel="0" collapsed="false"/>
    <row r="61276" customFormat="false" ht="12.75" hidden="false" customHeight="true" outlineLevel="0" collapsed="false"/>
    <row r="61277" customFormat="false" ht="12.75" hidden="false" customHeight="true" outlineLevel="0" collapsed="false"/>
    <row r="61278" customFormat="false" ht="12.75" hidden="false" customHeight="true" outlineLevel="0" collapsed="false"/>
    <row r="61279" customFormat="false" ht="12.75" hidden="false" customHeight="true" outlineLevel="0" collapsed="false"/>
    <row r="61280" customFormat="false" ht="12.75" hidden="false" customHeight="true" outlineLevel="0" collapsed="false"/>
    <row r="61281" customFormat="false" ht="12.75" hidden="false" customHeight="true" outlineLevel="0" collapsed="false"/>
    <row r="61282" customFormat="false" ht="12.75" hidden="false" customHeight="true" outlineLevel="0" collapsed="false"/>
    <row r="61283" customFormat="false" ht="12.75" hidden="false" customHeight="true" outlineLevel="0" collapsed="false"/>
    <row r="61284" customFormat="false" ht="12.75" hidden="false" customHeight="true" outlineLevel="0" collapsed="false"/>
    <row r="61285" customFormat="false" ht="12.75" hidden="false" customHeight="true" outlineLevel="0" collapsed="false"/>
    <row r="61286" customFormat="false" ht="12.75" hidden="false" customHeight="true" outlineLevel="0" collapsed="false"/>
    <row r="61290" customFormat="false" ht="12.75" hidden="false" customHeight="true" outlineLevel="0" collapsed="false"/>
    <row r="61291" customFormat="false" ht="12.75" hidden="false" customHeight="true" outlineLevel="0" collapsed="false"/>
    <row r="61292" customFormat="false" ht="12.75" hidden="false" customHeight="true" outlineLevel="0" collapsed="false"/>
    <row r="61293" customFormat="false" ht="12.75" hidden="false" customHeight="true" outlineLevel="0" collapsed="false"/>
    <row r="61294" customFormat="false" ht="12.75" hidden="false" customHeight="true" outlineLevel="0" collapsed="false"/>
    <row r="61295" customFormat="false" ht="12.75" hidden="false" customHeight="true" outlineLevel="0" collapsed="false"/>
    <row r="61296" customFormat="false" ht="12.75" hidden="false" customHeight="true" outlineLevel="0" collapsed="false"/>
    <row r="61297" customFormat="false" ht="12.75" hidden="false" customHeight="true" outlineLevel="0" collapsed="false"/>
    <row r="61298" customFormat="false" ht="12.75" hidden="false" customHeight="true" outlineLevel="0" collapsed="false"/>
    <row r="61299" customFormat="false" ht="12.75" hidden="false" customHeight="true" outlineLevel="0" collapsed="false"/>
    <row r="61300" customFormat="false" ht="12.75" hidden="false" customHeight="true" outlineLevel="0" collapsed="false"/>
    <row r="61301" customFormat="false" ht="12.75" hidden="false" customHeight="true" outlineLevel="0" collapsed="false"/>
    <row r="61302" customFormat="false" ht="12.75" hidden="false" customHeight="true" outlineLevel="0" collapsed="false"/>
    <row r="61306" customFormat="false" ht="12.75" hidden="false" customHeight="true" outlineLevel="0" collapsed="false"/>
    <row r="61307" customFormat="false" ht="12.75" hidden="false" customHeight="true" outlineLevel="0" collapsed="false"/>
    <row r="61308" customFormat="false" ht="12.75" hidden="false" customHeight="true" outlineLevel="0" collapsed="false"/>
    <row r="61309" customFormat="false" ht="12.75" hidden="false" customHeight="true" outlineLevel="0" collapsed="false"/>
    <row r="61310" customFormat="false" ht="12.75" hidden="false" customHeight="true" outlineLevel="0" collapsed="false"/>
    <row r="61311" customFormat="false" ht="12.75" hidden="false" customHeight="true" outlineLevel="0" collapsed="false"/>
    <row r="61312" customFormat="false" ht="12.75" hidden="false" customHeight="true" outlineLevel="0" collapsed="false"/>
    <row r="61313" customFormat="false" ht="12.75" hidden="false" customHeight="true" outlineLevel="0" collapsed="false"/>
    <row r="61314" customFormat="false" ht="12.75" hidden="false" customHeight="true" outlineLevel="0" collapsed="false"/>
    <row r="61315" customFormat="false" ht="12.75" hidden="false" customHeight="true" outlineLevel="0" collapsed="false"/>
    <row r="61316" customFormat="false" ht="12.75" hidden="false" customHeight="true" outlineLevel="0" collapsed="false"/>
    <row r="61317" customFormat="false" ht="12.75" hidden="false" customHeight="true" outlineLevel="0" collapsed="false"/>
    <row r="61318" customFormat="false" ht="12.75" hidden="false" customHeight="true" outlineLevel="0" collapsed="false"/>
    <row r="61322" customFormat="false" ht="12.75" hidden="false" customHeight="true" outlineLevel="0" collapsed="false"/>
    <row r="61323" customFormat="false" ht="12.75" hidden="false" customHeight="true" outlineLevel="0" collapsed="false"/>
    <row r="61324" customFormat="false" ht="12.75" hidden="false" customHeight="true" outlineLevel="0" collapsed="false"/>
    <row r="61325" customFormat="false" ht="12.75" hidden="false" customHeight="true" outlineLevel="0" collapsed="false"/>
    <row r="61326" customFormat="false" ht="12.75" hidden="false" customHeight="true" outlineLevel="0" collapsed="false"/>
    <row r="61327" customFormat="false" ht="12.75" hidden="false" customHeight="true" outlineLevel="0" collapsed="false"/>
    <row r="61328" customFormat="false" ht="12.75" hidden="false" customHeight="true" outlineLevel="0" collapsed="false"/>
    <row r="61329" customFormat="false" ht="12.75" hidden="false" customHeight="true" outlineLevel="0" collapsed="false"/>
    <row r="61330" customFormat="false" ht="12.75" hidden="false" customHeight="true" outlineLevel="0" collapsed="false"/>
    <row r="61331" customFormat="false" ht="12.75" hidden="false" customHeight="true" outlineLevel="0" collapsed="false"/>
    <row r="61332" customFormat="false" ht="12.75" hidden="false" customHeight="true" outlineLevel="0" collapsed="false"/>
    <row r="61333" customFormat="false" ht="12.75" hidden="false" customHeight="true" outlineLevel="0" collapsed="false"/>
    <row r="61334" customFormat="false" ht="12.75" hidden="false" customHeight="true" outlineLevel="0" collapsed="false"/>
    <row r="61338" customFormat="false" ht="12.75" hidden="false" customHeight="true" outlineLevel="0" collapsed="false"/>
    <row r="61339" customFormat="false" ht="12.75" hidden="false" customHeight="true" outlineLevel="0" collapsed="false"/>
    <row r="61340" customFormat="false" ht="12.75" hidden="false" customHeight="true" outlineLevel="0" collapsed="false"/>
    <row r="61341" customFormat="false" ht="12.75" hidden="false" customHeight="true" outlineLevel="0" collapsed="false"/>
    <row r="61342" customFormat="false" ht="12.75" hidden="false" customHeight="true" outlineLevel="0" collapsed="false"/>
    <row r="61343" customFormat="false" ht="12.75" hidden="false" customHeight="true" outlineLevel="0" collapsed="false"/>
    <row r="61344" customFormat="false" ht="12.75" hidden="false" customHeight="true" outlineLevel="0" collapsed="false"/>
    <row r="61345" customFormat="false" ht="12.75" hidden="false" customHeight="true" outlineLevel="0" collapsed="false"/>
    <row r="61346" customFormat="false" ht="12.75" hidden="false" customHeight="true" outlineLevel="0" collapsed="false"/>
    <row r="61347" customFormat="false" ht="12.75" hidden="false" customHeight="true" outlineLevel="0" collapsed="false"/>
    <row r="61348" customFormat="false" ht="12.75" hidden="false" customHeight="true" outlineLevel="0" collapsed="false"/>
    <row r="61349" customFormat="false" ht="12.75" hidden="false" customHeight="true" outlineLevel="0" collapsed="false"/>
    <row r="61350" customFormat="false" ht="12.75" hidden="false" customHeight="true" outlineLevel="0" collapsed="false"/>
    <row r="61354" customFormat="false" ht="12.75" hidden="false" customHeight="true" outlineLevel="0" collapsed="false"/>
    <row r="61355" customFormat="false" ht="12.75" hidden="false" customHeight="true" outlineLevel="0" collapsed="false"/>
    <row r="61356" customFormat="false" ht="12.75" hidden="false" customHeight="true" outlineLevel="0" collapsed="false"/>
    <row r="61357" customFormat="false" ht="12.75" hidden="false" customHeight="true" outlineLevel="0" collapsed="false"/>
    <row r="61358" customFormat="false" ht="12.75" hidden="false" customHeight="true" outlineLevel="0" collapsed="false"/>
    <row r="61359" customFormat="false" ht="12.75" hidden="false" customHeight="true" outlineLevel="0" collapsed="false"/>
    <row r="61360" customFormat="false" ht="12.75" hidden="false" customHeight="true" outlineLevel="0" collapsed="false"/>
    <row r="61361" customFormat="false" ht="12.75" hidden="false" customHeight="true" outlineLevel="0" collapsed="false"/>
    <row r="61362" customFormat="false" ht="12.75" hidden="false" customHeight="true" outlineLevel="0" collapsed="false"/>
    <row r="61363" customFormat="false" ht="12.75" hidden="false" customHeight="true" outlineLevel="0" collapsed="false"/>
    <row r="61364" customFormat="false" ht="12.75" hidden="false" customHeight="true" outlineLevel="0" collapsed="false"/>
    <row r="61365" customFormat="false" ht="12.75" hidden="false" customHeight="true" outlineLevel="0" collapsed="false"/>
    <row r="61366" customFormat="false" ht="12.75" hidden="false" customHeight="true" outlineLevel="0" collapsed="false"/>
    <row r="61370" customFormat="false" ht="12.75" hidden="false" customHeight="true" outlineLevel="0" collapsed="false"/>
    <row r="61371" customFormat="false" ht="12.75" hidden="false" customHeight="true" outlineLevel="0" collapsed="false"/>
    <row r="61372" customFormat="false" ht="12.75" hidden="false" customHeight="true" outlineLevel="0" collapsed="false"/>
    <row r="61373" customFormat="false" ht="12.75" hidden="false" customHeight="true" outlineLevel="0" collapsed="false"/>
    <row r="61374" customFormat="false" ht="12.75" hidden="false" customHeight="true" outlineLevel="0" collapsed="false"/>
    <row r="61375" customFormat="false" ht="12.75" hidden="false" customHeight="true" outlineLevel="0" collapsed="false"/>
    <row r="61376" customFormat="false" ht="12.75" hidden="false" customHeight="true" outlineLevel="0" collapsed="false"/>
    <row r="61377" customFormat="false" ht="12.75" hidden="false" customHeight="true" outlineLevel="0" collapsed="false"/>
    <row r="61378" customFormat="false" ht="12.75" hidden="false" customHeight="true" outlineLevel="0" collapsed="false"/>
    <row r="61379" customFormat="false" ht="12.75" hidden="false" customHeight="true" outlineLevel="0" collapsed="false"/>
    <row r="61380" customFormat="false" ht="12.75" hidden="false" customHeight="true" outlineLevel="0" collapsed="false"/>
    <row r="61381" customFormat="false" ht="12.75" hidden="false" customHeight="true" outlineLevel="0" collapsed="false"/>
    <row r="61382" customFormat="false" ht="12.75" hidden="false" customHeight="true" outlineLevel="0" collapsed="false"/>
    <row r="61386" customFormat="false" ht="12.75" hidden="false" customHeight="true" outlineLevel="0" collapsed="false"/>
    <row r="61387" customFormat="false" ht="12.75" hidden="false" customHeight="true" outlineLevel="0" collapsed="false"/>
    <row r="61388" customFormat="false" ht="12.75" hidden="false" customHeight="true" outlineLevel="0" collapsed="false"/>
    <row r="61389" customFormat="false" ht="12.75" hidden="false" customHeight="true" outlineLevel="0" collapsed="false"/>
    <row r="61390" customFormat="false" ht="12.75" hidden="false" customHeight="true" outlineLevel="0" collapsed="false"/>
    <row r="61391" customFormat="false" ht="12.75" hidden="false" customHeight="true" outlineLevel="0" collapsed="false"/>
    <row r="61392" customFormat="false" ht="12.75" hidden="false" customHeight="true" outlineLevel="0" collapsed="false"/>
    <row r="61393" customFormat="false" ht="12.75" hidden="false" customHeight="true" outlineLevel="0" collapsed="false"/>
    <row r="61394" customFormat="false" ht="12.75" hidden="false" customHeight="true" outlineLevel="0" collapsed="false"/>
    <row r="61395" customFormat="false" ht="12.75" hidden="false" customHeight="true" outlineLevel="0" collapsed="false"/>
    <row r="61396" customFormat="false" ht="12.75" hidden="false" customHeight="true" outlineLevel="0" collapsed="false"/>
    <row r="61397" customFormat="false" ht="12.75" hidden="false" customHeight="true" outlineLevel="0" collapsed="false"/>
    <row r="61398" customFormat="false" ht="12.75" hidden="false" customHeight="true" outlineLevel="0" collapsed="false"/>
    <row r="61399" customFormat="false" ht="12.75" hidden="false" customHeight="true" outlineLevel="0" collapsed="false"/>
    <row r="61402" customFormat="false" ht="12.75" hidden="false" customHeight="true" outlineLevel="0" collapsed="false"/>
    <row r="61403" customFormat="false" ht="12.75" hidden="false" customHeight="true" outlineLevel="0" collapsed="false"/>
    <row r="61404" customFormat="false" ht="12.75" hidden="false" customHeight="true" outlineLevel="0" collapsed="false"/>
    <row r="61405" customFormat="false" ht="12.75" hidden="false" customHeight="true" outlineLevel="0" collapsed="false"/>
    <row r="61406" customFormat="false" ht="12.75" hidden="false" customHeight="true" outlineLevel="0" collapsed="false"/>
    <row r="61407" customFormat="false" ht="12.75" hidden="false" customHeight="true" outlineLevel="0" collapsed="false"/>
    <row r="61408" customFormat="false" ht="12.75" hidden="false" customHeight="true" outlineLevel="0" collapsed="false"/>
    <row r="61409" customFormat="false" ht="12.75" hidden="false" customHeight="true" outlineLevel="0" collapsed="false"/>
    <row r="61410" customFormat="false" ht="12.75" hidden="false" customHeight="true" outlineLevel="0" collapsed="false"/>
    <row r="61411" customFormat="false" ht="12.75" hidden="false" customHeight="true" outlineLevel="0" collapsed="false"/>
    <row r="61412" customFormat="false" ht="12.75" hidden="false" customHeight="true" outlineLevel="0" collapsed="false"/>
    <row r="61413" customFormat="false" ht="12.75" hidden="false" customHeight="true" outlineLevel="0" collapsed="false"/>
    <row r="61414" customFormat="false" ht="12.75" hidden="false" customHeight="true" outlineLevel="0" collapsed="false"/>
    <row r="61415" customFormat="false" ht="12.75" hidden="false" customHeight="true" outlineLevel="0" collapsed="false"/>
    <row r="61418" customFormat="false" ht="12.75" hidden="false" customHeight="true" outlineLevel="0" collapsed="false"/>
    <row r="61419" customFormat="false" ht="12.75" hidden="false" customHeight="true" outlineLevel="0" collapsed="false"/>
    <row r="61420" customFormat="false" ht="12.75" hidden="false" customHeight="true" outlineLevel="0" collapsed="false"/>
    <row r="61421" customFormat="false" ht="12.75" hidden="false" customHeight="true" outlineLevel="0" collapsed="false"/>
    <row r="61422" customFormat="false" ht="12.75" hidden="false" customHeight="true" outlineLevel="0" collapsed="false"/>
    <row r="61423" customFormat="false" ht="12.75" hidden="false" customHeight="true" outlineLevel="0" collapsed="false"/>
    <row r="61424" customFormat="false" ht="12.75" hidden="false" customHeight="true" outlineLevel="0" collapsed="false"/>
    <row r="61425" customFormat="false" ht="12.75" hidden="false" customHeight="true" outlineLevel="0" collapsed="false"/>
    <row r="61426" customFormat="false" ht="12.75" hidden="false" customHeight="true" outlineLevel="0" collapsed="false"/>
    <row r="61427" customFormat="false" ht="12.75" hidden="false" customHeight="true" outlineLevel="0" collapsed="false"/>
    <row r="61428" customFormat="false" ht="12.75" hidden="false" customHeight="true" outlineLevel="0" collapsed="false"/>
    <row r="61429" customFormat="false" ht="12.75" hidden="false" customHeight="true" outlineLevel="0" collapsed="false"/>
    <row r="61430" customFormat="false" ht="12.75" hidden="false" customHeight="true" outlineLevel="0" collapsed="false"/>
    <row r="61431" customFormat="false" ht="12.75" hidden="false" customHeight="true" outlineLevel="0" collapsed="false"/>
    <row r="61432" customFormat="false" ht="12.75" hidden="false" customHeight="true" outlineLevel="0" collapsed="false"/>
    <row r="61434" customFormat="false" ht="12.75" hidden="false" customHeight="true" outlineLevel="0" collapsed="false"/>
    <row r="61435" customFormat="false" ht="12.75" hidden="false" customHeight="true" outlineLevel="0" collapsed="false"/>
    <row r="61436" customFormat="false" ht="12.75" hidden="false" customHeight="true" outlineLevel="0" collapsed="false"/>
    <row r="61437" customFormat="false" ht="12.75" hidden="false" customHeight="true" outlineLevel="0" collapsed="false"/>
    <row r="61438" customFormat="false" ht="12.75" hidden="false" customHeight="true" outlineLevel="0" collapsed="false"/>
    <row r="61439" customFormat="false" ht="12.75" hidden="false" customHeight="true" outlineLevel="0" collapsed="false"/>
    <row r="61440" customFormat="false" ht="12.75" hidden="false" customHeight="true" outlineLevel="0" collapsed="false"/>
    <row r="61441" customFormat="false" ht="12.75" hidden="false" customHeight="true" outlineLevel="0" collapsed="false"/>
    <row r="61442" customFormat="false" ht="12.75" hidden="false" customHeight="true" outlineLevel="0" collapsed="false"/>
    <row r="61443" customFormat="false" ht="12.75" hidden="false" customHeight="true" outlineLevel="0" collapsed="false"/>
    <row r="61444" customFormat="false" ht="12.75" hidden="false" customHeight="true" outlineLevel="0" collapsed="false"/>
    <row r="61445" customFormat="false" ht="12.75" hidden="false" customHeight="true" outlineLevel="0" collapsed="false"/>
    <row r="61446" customFormat="false" ht="12.75" hidden="false" customHeight="true" outlineLevel="0" collapsed="false"/>
    <row r="61447" customFormat="false" ht="12.75" hidden="false" customHeight="true" outlineLevel="0" collapsed="false"/>
    <row r="61448" customFormat="false" ht="12.75" hidden="false" customHeight="true" outlineLevel="0" collapsed="false"/>
    <row r="61449" customFormat="false" ht="12.75" hidden="false" customHeight="true" outlineLevel="0" collapsed="false"/>
    <row r="61450" customFormat="false" ht="12.75" hidden="false" customHeight="true" outlineLevel="0" collapsed="false"/>
    <row r="61451" customFormat="false" ht="12.75" hidden="false" customHeight="true" outlineLevel="0" collapsed="false"/>
    <row r="61452" customFormat="false" ht="12.75" hidden="false" customHeight="true" outlineLevel="0" collapsed="false"/>
    <row r="61453" customFormat="false" ht="12.75" hidden="false" customHeight="true" outlineLevel="0" collapsed="false"/>
    <row r="61454" customFormat="false" ht="12.75" hidden="false" customHeight="true" outlineLevel="0" collapsed="false"/>
    <row r="61455" customFormat="false" ht="12.75" hidden="false" customHeight="true" outlineLevel="0" collapsed="false"/>
    <row r="61456" customFormat="false" ht="12.75" hidden="false" customHeight="true" outlineLevel="0" collapsed="false"/>
    <row r="61457" customFormat="false" ht="12.75" hidden="false" customHeight="true" outlineLevel="0" collapsed="false"/>
    <row r="61458" customFormat="false" ht="12.75" hidden="false" customHeight="true" outlineLevel="0" collapsed="false"/>
    <row r="61459" customFormat="false" ht="12.75" hidden="false" customHeight="true" outlineLevel="0" collapsed="false"/>
    <row r="61460" customFormat="false" ht="12.75" hidden="false" customHeight="true" outlineLevel="0" collapsed="false"/>
    <row r="61461" customFormat="false" ht="12.75" hidden="false" customHeight="true" outlineLevel="0" collapsed="false"/>
    <row r="61462" customFormat="false" ht="12.75" hidden="false" customHeight="true" outlineLevel="0" collapsed="false"/>
    <row r="61463" customFormat="false" ht="12.75" hidden="false" customHeight="true" outlineLevel="0" collapsed="false"/>
    <row r="61464" customFormat="false" ht="12.75" hidden="false" customHeight="true" outlineLevel="0" collapsed="false"/>
    <row r="61465" customFormat="false" ht="12.75" hidden="false" customHeight="true" outlineLevel="0" collapsed="false"/>
    <row r="61466" customFormat="false" ht="12.75" hidden="false" customHeight="true" outlineLevel="0" collapsed="false"/>
    <row r="61467" customFormat="false" ht="12.75" hidden="false" customHeight="true" outlineLevel="0" collapsed="false"/>
    <row r="61468" customFormat="false" ht="12.75" hidden="false" customHeight="true" outlineLevel="0" collapsed="false"/>
    <row r="61469" customFormat="false" ht="12.75" hidden="false" customHeight="true" outlineLevel="0" collapsed="false"/>
    <row r="61470" customFormat="false" ht="12.75" hidden="false" customHeight="true" outlineLevel="0" collapsed="false"/>
    <row r="61471" customFormat="false" ht="12.75" hidden="false" customHeight="true" outlineLevel="0" collapsed="false"/>
    <row r="61472" customFormat="false" ht="12.75" hidden="false" customHeight="true" outlineLevel="0" collapsed="false"/>
    <row r="61473" customFormat="false" ht="12.75" hidden="false" customHeight="true" outlineLevel="0" collapsed="false"/>
    <row r="61474" customFormat="false" ht="12.75" hidden="false" customHeight="true" outlineLevel="0" collapsed="false"/>
    <row r="61475" customFormat="false" ht="12.75" hidden="false" customHeight="true" outlineLevel="0" collapsed="false"/>
    <row r="61476" customFormat="false" ht="12.75" hidden="false" customHeight="true" outlineLevel="0" collapsed="false"/>
    <row r="61477" customFormat="false" ht="12.75" hidden="false" customHeight="true" outlineLevel="0" collapsed="false"/>
    <row r="61478" customFormat="false" ht="12.75" hidden="false" customHeight="true" outlineLevel="0" collapsed="false"/>
    <row r="61479" customFormat="false" ht="12.75" hidden="false" customHeight="true" outlineLevel="0" collapsed="false"/>
    <row r="61480" customFormat="false" ht="12.75" hidden="false" customHeight="true" outlineLevel="0" collapsed="false"/>
    <row r="61481" customFormat="false" ht="12.75" hidden="false" customHeight="true" outlineLevel="0" collapsed="false"/>
    <row r="61482" customFormat="false" ht="12.75" hidden="false" customHeight="true" outlineLevel="0" collapsed="false"/>
    <row r="61483" customFormat="false" ht="12.75" hidden="false" customHeight="true" outlineLevel="0" collapsed="false"/>
    <row r="61484" customFormat="false" ht="12.75" hidden="false" customHeight="true" outlineLevel="0" collapsed="false"/>
    <row r="61485" customFormat="false" ht="12.75" hidden="false" customHeight="true" outlineLevel="0" collapsed="false"/>
    <row r="61486" customFormat="false" ht="12.75" hidden="false" customHeight="true" outlineLevel="0" collapsed="false"/>
    <row r="61487" customFormat="false" ht="12.75" hidden="false" customHeight="true" outlineLevel="0" collapsed="false"/>
    <row r="61488" customFormat="false" ht="12.75" hidden="false" customHeight="true" outlineLevel="0" collapsed="false"/>
    <row r="61489" customFormat="false" ht="12.75" hidden="false" customHeight="true" outlineLevel="0" collapsed="false"/>
    <row r="61490" customFormat="false" ht="12.75" hidden="false" customHeight="true" outlineLevel="0" collapsed="false"/>
    <row r="61491" customFormat="false" ht="12.75" hidden="false" customHeight="true" outlineLevel="0" collapsed="false"/>
    <row r="61492" customFormat="false" ht="12.75" hidden="false" customHeight="true" outlineLevel="0" collapsed="false"/>
    <row r="61493" customFormat="false" ht="12.75" hidden="false" customHeight="true" outlineLevel="0" collapsed="false"/>
    <row r="61494" customFormat="false" ht="12.75" hidden="false" customHeight="true" outlineLevel="0" collapsed="false"/>
    <row r="61495" customFormat="false" ht="12.75" hidden="false" customHeight="true" outlineLevel="0" collapsed="false"/>
    <row r="61496" customFormat="false" ht="12.75" hidden="false" customHeight="true" outlineLevel="0" collapsed="false"/>
    <row r="61497" customFormat="false" ht="12.75" hidden="false" customHeight="true" outlineLevel="0" collapsed="false"/>
    <row r="61498" customFormat="false" ht="12.75" hidden="false" customHeight="true" outlineLevel="0" collapsed="false"/>
    <row r="61499" customFormat="false" ht="12.75" hidden="false" customHeight="true" outlineLevel="0" collapsed="false"/>
    <row r="61500" customFormat="false" ht="12.75" hidden="false" customHeight="true" outlineLevel="0" collapsed="false"/>
    <row r="61501" customFormat="false" ht="12.75" hidden="false" customHeight="true" outlineLevel="0" collapsed="false"/>
    <row r="61502" customFormat="false" ht="12.75" hidden="false" customHeight="true" outlineLevel="0" collapsed="false"/>
    <row r="61503" customFormat="false" ht="12.75" hidden="false" customHeight="true" outlineLevel="0" collapsed="false"/>
    <row r="61504" customFormat="false" ht="12.75" hidden="false" customHeight="true" outlineLevel="0" collapsed="false"/>
    <row r="61505" customFormat="false" ht="12.75" hidden="false" customHeight="true" outlineLevel="0" collapsed="false"/>
    <row r="61506" customFormat="false" ht="12.75" hidden="false" customHeight="true" outlineLevel="0" collapsed="false"/>
    <row r="61507" customFormat="false" ht="12.75" hidden="false" customHeight="true" outlineLevel="0" collapsed="false"/>
    <row r="61508" customFormat="false" ht="12.75" hidden="false" customHeight="true" outlineLevel="0" collapsed="false"/>
    <row r="61509" customFormat="false" ht="12.75" hidden="false" customHeight="true" outlineLevel="0" collapsed="false"/>
    <row r="61510" customFormat="false" ht="12.75" hidden="false" customHeight="true" outlineLevel="0" collapsed="false"/>
    <row r="61511" customFormat="false" ht="12.75" hidden="false" customHeight="true" outlineLevel="0" collapsed="false"/>
    <row r="61512" customFormat="false" ht="12.75" hidden="false" customHeight="true" outlineLevel="0" collapsed="false"/>
    <row r="61513" customFormat="false" ht="12.75" hidden="false" customHeight="true" outlineLevel="0" collapsed="false"/>
    <row r="61514" customFormat="false" ht="12.75" hidden="false" customHeight="true" outlineLevel="0" collapsed="false"/>
    <row r="61515" customFormat="false" ht="12.75" hidden="false" customHeight="true" outlineLevel="0" collapsed="false"/>
    <row r="61516" customFormat="false" ht="12.75" hidden="false" customHeight="true" outlineLevel="0" collapsed="false"/>
    <row r="61517" customFormat="false" ht="12.75" hidden="false" customHeight="true" outlineLevel="0" collapsed="false"/>
    <row r="61518" customFormat="false" ht="12.75" hidden="false" customHeight="true" outlineLevel="0" collapsed="false"/>
    <row r="61519" customFormat="false" ht="12.75" hidden="false" customHeight="true" outlineLevel="0" collapsed="false"/>
    <row r="61520" customFormat="false" ht="12.75" hidden="false" customHeight="true" outlineLevel="0" collapsed="false"/>
    <row r="61521" customFormat="false" ht="12.75" hidden="false" customHeight="true" outlineLevel="0" collapsed="false"/>
    <row r="61522" customFormat="false" ht="12.75" hidden="false" customHeight="true" outlineLevel="0" collapsed="false"/>
    <row r="61523" customFormat="false" ht="12.75" hidden="false" customHeight="true" outlineLevel="0" collapsed="false"/>
    <row r="61524" customFormat="false" ht="12.75" hidden="false" customHeight="true" outlineLevel="0" collapsed="false"/>
    <row r="61525" customFormat="false" ht="12.75" hidden="false" customHeight="true" outlineLevel="0" collapsed="false"/>
    <row r="61526" customFormat="false" ht="12.75" hidden="false" customHeight="true" outlineLevel="0" collapsed="false"/>
    <row r="61527" customFormat="false" ht="12.75" hidden="false" customHeight="true" outlineLevel="0" collapsed="false"/>
    <row r="61528" customFormat="false" ht="12.75" hidden="false" customHeight="true" outlineLevel="0" collapsed="false"/>
    <row r="61529" customFormat="false" ht="12.75" hidden="false" customHeight="true" outlineLevel="0" collapsed="false"/>
    <row r="61530" customFormat="false" ht="12.75" hidden="false" customHeight="true" outlineLevel="0" collapsed="false"/>
    <row r="61531" customFormat="false" ht="12.75" hidden="false" customHeight="true" outlineLevel="0" collapsed="false"/>
    <row r="61532" customFormat="false" ht="12.75" hidden="false" customHeight="true" outlineLevel="0" collapsed="false"/>
    <row r="61533" customFormat="false" ht="12.75" hidden="false" customHeight="true" outlineLevel="0" collapsed="false"/>
    <row r="61534" customFormat="false" ht="12.75" hidden="false" customHeight="true" outlineLevel="0" collapsed="false"/>
    <row r="61535" customFormat="false" ht="12.75" hidden="false" customHeight="true" outlineLevel="0" collapsed="false"/>
    <row r="61536" customFormat="false" ht="12.75" hidden="false" customHeight="true" outlineLevel="0" collapsed="false"/>
    <row r="61537" customFormat="false" ht="12.75" hidden="false" customHeight="true" outlineLevel="0" collapsed="false"/>
    <row r="61538" customFormat="false" ht="12.75" hidden="false" customHeight="true" outlineLevel="0" collapsed="false"/>
    <row r="61539" customFormat="false" ht="12.75" hidden="false" customHeight="true" outlineLevel="0" collapsed="false"/>
    <row r="61540" customFormat="false" ht="12.75" hidden="false" customHeight="true" outlineLevel="0" collapsed="false"/>
    <row r="61541" customFormat="false" ht="12.75" hidden="false" customHeight="true" outlineLevel="0" collapsed="false"/>
    <row r="61542" customFormat="false" ht="12.75" hidden="false" customHeight="true" outlineLevel="0" collapsed="false"/>
    <row r="61543" customFormat="false" ht="12.75" hidden="false" customHeight="true" outlineLevel="0" collapsed="false"/>
    <row r="61544" customFormat="false" ht="12.75" hidden="false" customHeight="true" outlineLevel="0" collapsed="false"/>
    <row r="61545" customFormat="false" ht="12.75" hidden="false" customHeight="true" outlineLevel="0" collapsed="false"/>
    <row r="61546" customFormat="false" ht="12.75" hidden="false" customHeight="true" outlineLevel="0" collapsed="false"/>
    <row r="61547" customFormat="false" ht="12.75" hidden="false" customHeight="true" outlineLevel="0" collapsed="false"/>
    <row r="61548" customFormat="false" ht="12.75" hidden="false" customHeight="true" outlineLevel="0" collapsed="false"/>
    <row r="61549" customFormat="false" ht="12.75" hidden="false" customHeight="true" outlineLevel="0" collapsed="false"/>
    <row r="61550" customFormat="false" ht="12.75" hidden="false" customHeight="true" outlineLevel="0" collapsed="false"/>
    <row r="61551" customFormat="false" ht="12.75" hidden="false" customHeight="true" outlineLevel="0" collapsed="false"/>
    <row r="61552" customFormat="false" ht="12.75" hidden="false" customHeight="true" outlineLevel="0" collapsed="false"/>
    <row r="61553" customFormat="false" ht="12.75" hidden="false" customHeight="true" outlineLevel="0" collapsed="false"/>
    <row r="61554" customFormat="false" ht="12.75" hidden="false" customHeight="true" outlineLevel="0" collapsed="false"/>
    <row r="61555" customFormat="false" ht="12.75" hidden="false" customHeight="true" outlineLevel="0" collapsed="false"/>
    <row r="61556" customFormat="false" ht="12.75" hidden="false" customHeight="true" outlineLevel="0" collapsed="false"/>
    <row r="61557" customFormat="false" ht="12.75" hidden="false" customHeight="true" outlineLevel="0" collapsed="false"/>
    <row r="61558" customFormat="false" ht="12.75" hidden="false" customHeight="true" outlineLevel="0" collapsed="false"/>
    <row r="61559" customFormat="false" ht="12.75" hidden="false" customHeight="true" outlineLevel="0" collapsed="false"/>
    <row r="61560" customFormat="false" ht="12.75" hidden="false" customHeight="true" outlineLevel="0" collapsed="false"/>
    <row r="61561" customFormat="false" ht="12.75" hidden="false" customHeight="true" outlineLevel="0" collapsed="false"/>
    <row r="61562" customFormat="false" ht="12.75" hidden="false" customHeight="true" outlineLevel="0" collapsed="false"/>
    <row r="61563" customFormat="false" ht="12.75" hidden="false" customHeight="true" outlineLevel="0" collapsed="false"/>
    <row r="61564" customFormat="false" ht="12.75" hidden="false" customHeight="true" outlineLevel="0" collapsed="false"/>
    <row r="61565" customFormat="false" ht="12.75" hidden="false" customHeight="true" outlineLevel="0" collapsed="false"/>
    <row r="61566" customFormat="false" ht="12.75" hidden="false" customHeight="true" outlineLevel="0" collapsed="false"/>
    <row r="61567" customFormat="false" ht="12.75" hidden="false" customHeight="true" outlineLevel="0" collapsed="false"/>
    <row r="61568" customFormat="false" ht="12.75" hidden="false" customHeight="true" outlineLevel="0" collapsed="false"/>
    <row r="61569" customFormat="false" ht="12.75" hidden="false" customHeight="true" outlineLevel="0" collapsed="false"/>
    <row r="61570" customFormat="false" ht="12.75" hidden="false" customHeight="true" outlineLevel="0" collapsed="false"/>
    <row r="61571" customFormat="false" ht="12.75" hidden="false" customHeight="true" outlineLevel="0" collapsed="false"/>
    <row r="61572" customFormat="false" ht="12.75" hidden="false" customHeight="true" outlineLevel="0" collapsed="false"/>
    <row r="61573" customFormat="false" ht="12.75" hidden="false" customHeight="true" outlineLevel="0" collapsed="false"/>
    <row r="61574" customFormat="false" ht="12.75" hidden="false" customHeight="true" outlineLevel="0" collapsed="false"/>
    <row r="61575" customFormat="false" ht="12.75" hidden="false" customHeight="true" outlineLevel="0" collapsed="false"/>
    <row r="61576" customFormat="false" ht="12.75" hidden="false" customHeight="true" outlineLevel="0" collapsed="false"/>
    <row r="61577" customFormat="false" ht="12.75" hidden="false" customHeight="true" outlineLevel="0" collapsed="false"/>
    <row r="61578" customFormat="false" ht="12.75" hidden="false" customHeight="true" outlineLevel="0" collapsed="false"/>
    <row r="61579" customFormat="false" ht="12.75" hidden="false" customHeight="true" outlineLevel="0" collapsed="false"/>
    <row r="61580" customFormat="false" ht="12.75" hidden="false" customHeight="true" outlineLevel="0" collapsed="false"/>
    <row r="61581" customFormat="false" ht="12.75" hidden="false" customHeight="true" outlineLevel="0" collapsed="false"/>
    <row r="61582" customFormat="false" ht="12.75" hidden="false" customHeight="true" outlineLevel="0" collapsed="false"/>
    <row r="61583" customFormat="false" ht="12.75" hidden="false" customHeight="true" outlineLevel="0" collapsed="false"/>
    <row r="61584" customFormat="false" ht="12.75" hidden="false" customHeight="true" outlineLevel="0" collapsed="false"/>
    <row r="61585" customFormat="false" ht="12.75" hidden="false" customHeight="true" outlineLevel="0" collapsed="false"/>
    <row r="61586" customFormat="false" ht="12.75" hidden="false" customHeight="true" outlineLevel="0" collapsed="false"/>
    <row r="61587" customFormat="false" ht="12.75" hidden="false" customHeight="true" outlineLevel="0" collapsed="false"/>
    <row r="61588" customFormat="false" ht="12.75" hidden="false" customHeight="true" outlineLevel="0" collapsed="false"/>
    <row r="61589" customFormat="false" ht="12.75" hidden="false" customHeight="true" outlineLevel="0" collapsed="false"/>
    <row r="61590" customFormat="false" ht="12.75" hidden="false" customHeight="true" outlineLevel="0" collapsed="false"/>
    <row r="61591" customFormat="false" ht="12.75" hidden="false" customHeight="true" outlineLevel="0" collapsed="false"/>
    <row r="61592" customFormat="false" ht="12.75" hidden="false" customHeight="true" outlineLevel="0" collapsed="false"/>
    <row r="61593" customFormat="false" ht="12.75" hidden="false" customHeight="true" outlineLevel="0" collapsed="false"/>
    <row r="61594" customFormat="false" ht="12.75" hidden="false" customHeight="true" outlineLevel="0" collapsed="false"/>
    <row r="61595" customFormat="false" ht="12.75" hidden="false" customHeight="true" outlineLevel="0" collapsed="false"/>
    <row r="61596" customFormat="false" ht="12.75" hidden="false" customHeight="true" outlineLevel="0" collapsed="false"/>
    <row r="61597" customFormat="false" ht="12.75" hidden="false" customHeight="true" outlineLevel="0" collapsed="false"/>
    <row r="61598" customFormat="false" ht="12.75" hidden="false" customHeight="true" outlineLevel="0" collapsed="false"/>
    <row r="61599" customFormat="false" ht="12.75" hidden="false" customHeight="true" outlineLevel="0" collapsed="false"/>
    <row r="61600" customFormat="false" ht="12.75" hidden="false" customHeight="true" outlineLevel="0" collapsed="false"/>
    <row r="61601" customFormat="false" ht="12.75" hidden="false" customHeight="true" outlineLevel="0" collapsed="false"/>
    <row r="61602" customFormat="false" ht="12.75" hidden="false" customHeight="true" outlineLevel="0" collapsed="false"/>
    <row r="61603" customFormat="false" ht="12.75" hidden="false" customHeight="true" outlineLevel="0" collapsed="false"/>
    <row r="61604" customFormat="false" ht="12.75" hidden="false" customHeight="true" outlineLevel="0" collapsed="false"/>
    <row r="61605" customFormat="false" ht="12.75" hidden="false" customHeight="true" outlineLevel="0" collapsed="false"/>
    <row r="61606" customFormat="false" ht="12.75" hidden="false" customHeight="true" outlineLevel="0" collapsed="false"/>
    <row r="61607" customFormat="false" ht="12.75" hidden="false" customHeight="true" outlineLevel="0" collapsed="false"/>
    <row r="61608" customFormat="false" ht="12.75" hidden="false" customHeight="true" outlineLevel="0" collapsed="false"/>
    <row r="61609" customFormat="false" ht="12.75" hidden="false" customHeight="true" outlineLevel="0" collapsed="false"/>
    <row r="61610" customFormat="false" ht="12.75" hidden="false" customHeight="true" outlineLevel="0" collapsed="false"/>
    <row r="61611" customFormat="false" ht="12.75" hidden="false" customHeight="true" outlineLevel="0" collapsed="false"/>
    <row r="61612" customFormat="false" ht="12.75" hidden="false" customHeight="true" outlineLevel="0" collapsed="false"/>
    <row r="61613" customFormat="false" ht="12.75" hidden="false" customHeight="true" outlineLevel="0" collapsed="false"/>
    <row r="61614" customFormat="false" ht="12.75" hidden="false" customHeight="true" outlineLevel="0" collapsed="false"/>
    <row r="61615" customFormat="false" ht="12.75" hidden="false" customHeight="true" outlineLevel="0" collapsed="false"/>
    <row r="61616" customFormat="false" ht="12.75" hidden="false" customHeight="true" outlineLevel="0" collapsed="false"/>
    <row r="61617" customFormat="false" ht="12.75" hidden="false" customHeight="true" outlineLevel="0" collapsed="false"/>
    <row r="61618" customFormat="false" ht="12.75" hidden="false" customHeight="true" outlineLevel="0" collapsed="false"/>
    <row r="61619" customFormat="false" ht="12.75" hidden="false" customHeight="true" outlineLevel="0" collapsed="false"/>
    <row r="61620" customFormat="false" ht="12.75" hidden="false" customHeight="true" outlineLevel="0" collapsed="false"/>
    <row r="61621" customFormat="false" ht="12.75" hidden="false" customHeight="true" outlineLevel="0" collapsed="false"/>
    <row r="61622" customFormat="false" ht="12.75" hidden="false" customHeight="true" outlineLevel="0" collapsed="false"/>
    <row r="61623" customFormat="false" ht="12.75" hidden="false" customHeight="true" outlineLevel="0" collapsed="false"/>
    <row r="61624" customFormat="false" ht="12.75" hidden="false" customHeight="true" outlineLevel="0" collapsed="false"/>
    <row r="61625" customFormat="false" ht="12.75" hidden="false" customHeight="true" outlineLevel="0" collapsed="false"/>
    <row r="61626" customFormat="false" ht="12.75" hidden="false" customHeight="true" outlineLevel="0" collapsed="false"/>
    <row r="61627" customFormat="false" ht="12.75" hidden="false" customHeight="true" outlineLevel="0" collapsed="false"/>
    <row r="61628" customFormat="false" ht="12.75" hidden="false" customHeight="true" outlineLevel="0" collapsed="false"/>
    <row r="61629" customFormat="false" ht="12.75" hidden="false" customHeight="true" outlineLevel="0" collapsed="false"/>
    <row r="61630" customFormat="false" ht="12.75" hidden="false" customHeight="true" outlineLevel="0" collapsed="false"/>
    <row r="61631" customFormat="false" ht="12.75" hidden="false" customHeight="true" outlineLevel="0" collapsed="false"/>
    <row r="61632" customFormat="false" ht="12.75" hidden="false" customHeight="true" outlineLevel="0" collapsed="false"/>
    <row r="61633" customFormat="false" ht="12.75" hidden="false" customHeight="true" outlineLevel="0" collapsed="false"/>
    <row r="61634" customFormat="false" ht="12.75" hidden="false" customHeight="true" outlineLevel="0" collapsed="false"/>
    <row r="61635" customFormat="false" ht="12.75" hidden="false" customHeight="true" outlineLevel="0" collapsed="false"/>
    <row r="61636" customFormat="false" ht="12.75" hidden="false" customHeight="true" outlineLevel="0" collapsed="false"/>
    <row r="61637" customFormat="false" ht="12.75" hidden="false" customHeight="true" outlineLevel="0" collapsed="false"/>
    <row r="61638" customFormat="false" ht="12.75" hidden="false" customHeight="true" outlineLevel="0" collapsed="false"/>
    <row r="61639" customFormat="false" ht="12.75" hidden="false" customHeight="true" outlineLevel="0" collapsed="false"/>
    <row r="61640" customFormat="false" ht="12.75" hidden="false" customHeight="true" outlineLevel="0" collapsed="false"/>
    <row r="61641" customFormat="false" ht="12.75" hidden="false" customHeight="true" outlineLevel="0" collapsed="false"/>
    <row r="61642" customFormat="false" ht="12.75" hidden="false" customHeight="true" outlineLevel="0" collapsed="false"/>
    <row r="61643" customFormat="false" ht="12.75" hidden="false" customHeight="true" outlineLevel="0" collapsed="false"/>
    <row r="61644" customFormat="false" ht="12.75" hidden="false" customHeight="true" outlineLevel="0" collapsed="false"/>
    <row r="61645" customFormat="false" ht="12.75" hidden="false" customHeight="true" outlineLevel="0" collapsed="false"/>
    <row r="61646" customFormat="false" ht="12.75" hidden="false" customHeight="true" outlineLevel="0" collapsed="false"/>
    <row r="61647" customFormat="false" ht="12.75" hidden="false" customHeight="true" outlineLevel="0" collapsed="false"/>
    <row r="61648" customFormat="false" ht="12.75" hidden="false" customHeight="true" outlineLevel="0" collapsed="false"/>
    <row r="61649" customFormat="false" ht="12.75" hidden="false" customHeight="true" outlineLevel="0" collapsed="false"/>
    <row r="61650" customFormat="false" ht="12.75" hidden="false" customHeight="true" outlineLevel="0" collapsed="false"/>
    <row r="61651" customFormat="false" ht="12.75" hidden="false" customHeight="true" outlineLevel="0" collapsed="false"/>
    <row r="61652" customFormat="false" ht="12.75" hidden="false" customHeight="true" outlineLevel="0" collapsed="false"/>
    <row r="61653" customFormat="false" ht="12.75" hidden="false" customHeight="true" outlineLevel="0" collapsed="false"/>
    <row r="61654" customFormat="false" ht="12.75" hidden="false" customHeight="true" outlineLevel="0" collapsed="false"/>
    <row r="61655" customFormat="false" ht="12.75" hidden="false" customHeight="true" outlineLevel="0" collapsed="false"/>
    <row r="61656" customFormat="false" ht="12.75" hidden="false" customHeight="true" outlineLevel="0" collapsed="false"/>
    <row r="61657" customFormat="false" ht="12.75" hidden="false" customHeight="true" outlineLevel="0" collapsed="false"/>
    <row r="61658" customFormat="false" ht="12.75" hidden="false" customHeight="true" outlineLevel="0" collapsed="false"/>
    <row r="61659" customFormat="false" ht="12.75" hidden="false" customHeight="true" outlineLevel="0" collapsed="false"/>
    <row r="61660" customFormat="false" ht="12.75" hidden="false" customHeight="true" outlineLevel="0" collapsed="false"/>
    <row r="61661" customFormat="false" ht="12.75" hidden="false" customHeight="true" outlineLevel="0" collapsed="false"/>
    <row r="61662" customFormat="false" ht="12.75" hidden="false" customHeight="true" outlineLevel="0" collapsed="false"/>
    <row r="61663" customFormat="false" ht="12.75" hidden="false" customHeight="true" outlineLevel="0" collapsed="false"/>
    <row r="61664" customFormat="false" ht="12.75" hidden="false" customHeight="true" outlineLevel="0" collapsed="false"/>
    <row r="61665" customFormat="false" ht="12.75" hidden="false" customHeight="true" outlineLevel="0" collapsed="false"/>
    <row r="61666" customFormat="false" ht="12.75" hidden="false" customHeight="true" outlineLevel="0" collapsed="false"/>
    <row r="61667" customFormat="false" ht="12.75" hidden="false" customHeight="true" outlineLevel="0" collapsed="false"/>
    <row r="61668" customFormat="false" ht="12.75" hidden="false" customHeight="true" outlineLevel="0" collapsed="false"/>
    <row r="61669" customFormat="false" ht="12.75" hidden="false" customHeight="true" outlineLevel="0" collapsed="false"/>
    <row r="61670" customFormat="false" ht="12.75" hidden="false" customHeight="true" outlineLevel="0" collapsed="false"/>
    <row r="61671" customFormat="false" ht="12.75" hidden="false" customHeight="true" outlineLevel="0" collapsed="false"/>
    <row r="61672" customFormat="false" ht="12.75" hidden="false" customHeight="true" outlineLevel="0" collapsed="false"/>
    <row r="61673" customFormat="false" ht="12.75" hidden="false" customHeight="true" outlineLevel="0" collapsed="false"/>
    <row r="61674" customFormat="false" ht="12.75" hidden="false" customHeight="true" outlineLevel="0" collapsed="false"/>
    <row r="61675" customFormat="false" ht="12.75" hidden="false" customHeight="true" outlineLevel="0" collapsed="false"/>
    <row r="61676" customFormat="false" ht="12.75" hidden="false" customHeight="true" outlineLevel="0" collapsed="false"/>
    <row r="61677" customFormat="false" ht="12.75" hidden="false" customHeight="true" outlineLevel="0" collapsed="false"/>
    <row r="61678" customFormat="false" ht="12.75" hidden="false" customHeight="true" outlineLevel="0" collapsed="false"/>
    <row r="61679" customFormat="false" ht="12.75" hidden="false" customHeight="true" outlineLevel="0" collapsed="false"/>
    <row r="61680" customFormat="false" ht="12.75" hidden="false" customHeight="true" outlineLevel="0" collapsed="false"/>
    <row r="61681" customFormat="false" ht="12.75" hidden="false" customHeight="true" outlineLevel="0" collapsed="false"/>
    <row r="61682" customFormat="false" ht="12.75" hidden="false" customHeight="true" outlineLevel="0" collapsed="false"/>
    <row r="61683" customFormat="false" ht="12.75" hidden="false" customHeight="true" outlineLevel="0" collapsed="false"/>
    <row r="61684" customFormat="false" ht="12.75" hidden="false" customHeight="true" outlineLevel="0" collapsed="false"/>
    <row r="61685" customFormat="false" ht="12.75" hidden="false" customHeight="true" outlineLevel="0" collapsed="false"/>
    <row r="61686" customFormat="false" ht="12.75" hidden="false" customHeight="true" outlineLevel="0" collapsed="false"/>
    <row r="61687" customFormat="false" ht="12.75" hidden="false" customHeight="true" outlineLevel="0" collapsed="false"/>
    <row r="61688" customFormat="false" ht="12.75" hidden="false" customHeight="true" outlineLevel="0" collapsed="false"/>
    <row r="61689" customFormat="false" ht="12.75" hidden="false" customHeight="true" outlineLevel="0" collapsed="false"/>
    <row r="61690" customFormat="false" ht="12.75" hidden="false" customHeight="true" outlineLevel="0" collapsed="false"/>
    <row r="61691" customFormat="false" ht="12.75" hidden="false" customHeight="true" outlineLevel="0" collapsed="false"/>
    <row r="61692" customFormat="false" ht="12.75" hidden="false" customHeight="true" outlineLevel="0" collapsed="false"/>
    <row r="61693" customFormat="false" ht="12.75" hidden="false" customHeight="true" outlineLevel="0" collapsed="false"/>
    <row r="61694" customFormat="false" ht="12.75" hidden="false" customHeight="true" outlineLevel="0" collapsed="false"/>
    <row r="61695" customFormat="false" ht="12.75" hidden="false" customHeight="true" outlineLevel="0" collapsed="false"/>
    <row r="61696" customFormat="false" ht="12.75" hidden="false" customHeight="true" outlineLevel="0" collapsed="false"/>
    <row r="61697" customFormat="false" ht="12.75" hidden="false" customHeight="true" outlineLevel="0" collapsed="false"/>
    <row r="61698" customFormat="false" ht="12.75" hidden="false" customHeight="true" outlineLevel="0" collapsed="false"/>
    <row r="61699" customFormat="false" ht="12.75" hidden="false" customHeight="true" outlineLevel="0" collapsed="false"/>
    <row r="61700" customFormat="false" ht="12.75" hidden="false" customHeight="true" outlineLevel="0" collapsed="false"/>
    <row r="61701" customFormat="false" ht="12.75" hidden="false" customHeight="true" outlineLevel="0" collapsed="false"/>
    <row r="61702" customFormat="false" ht="12.75" hidden="false" customHeight="true" outlineLevel="0" collapsed="false"/>
    <row r="61703" customFormat="false" ht="12.75" hidden="false" customHeight="true" outlineLevel="0" collapsed="false"/>
    <row r="61704" customFormat="false" ht="12.75" hidden="false" customHeight="true" outlineLevel="0" collapsed="false"/>
    <row r="61705" customFormat="false" ht="12.75" hidden="false" customHeight="true" outlineLevel="0" collapsed="false"/>
    <row r="61706" customFormat="false" ht="12.75" hidden="false" customHeight="true" outlineLevel="0" collapsed="false"/>
    <row r="61707" customFormat="false" ht="12.75" hidden="false" customHeight="true" outlineLevel="0" collapsed="false"/>
    <row r="61708" customFormat="false" ht="12.75" hidden="false" customHeight="true" outlineLevel="0" collapsed="false"/>
    <row r="61709" customFormat="false" ht="12.75" hidden="false" customHeight="true" outlineLevel="0" collapsed="false"/>
    <row r="61710" customFormat="false" ht="12.75" hidden="false" customHeight="true" outlineLevel="0" collapsed="false"/>
    <row r="61711" customFormat="false" ht="12.75" hidden="false" customHeight="true" outlineLevel="0" collapsed="false"/>
    <row r="61712" customFormat="false" ht="12.75" hidden="false" customHeight="true" outlineLevel="0" collapsed="false"/>
    <row r="61713" customFormat="false" ht="12.75" hidden="false" customHeight="true" outlineLevel="0" collapsed="false"/>
    <row r="61714" customFormat="false" ht="12.75" hidden="false" customHeight="true" outlineLevel="0" collapsed="false"/>
    <row r="61715" customFormat="false" ht="12.75" hidden="false" customHeight="true" outlineLevel="0" collapsed="false"/>
    <row r="61716" customFormat="false" ht="12.75" hidden="false" customHeight="true" outlineLevel="0" collapsed="false"/>
    <row r="61717" customFormat="false" ht="12.75" hidden="false" customHeight="true" outlineLevel="0" collapsed="false"/>
    <row r="61718" customFormat="false" ht="12.75" hidden="false" customHeight="true" outlineLevel="0" collapsed="false"/>
    <row r="61719" customFormat="false" ht="12.75" hidden="false" customHeight="true" outlineLevel="0" collapsed="false"/>
    <row r="61720" customFormat="false" ht="12.75" hidden="false" customHeight="true" outlineLevel="0" collapsed="false"/>
    <row r="61721" customFormat="false" ht="12.75" hidden="false" customHeight="true" outlineLevel="0" collapsed="false"/>
    <row r="61722" customFormat="false" ht="12.75" hidden="false" customHeight="true" outlineLevel="0" collapsed="false"/>
    <row r="61723" customFormat="false" ht="12.75" hidden="false" customHeight="true" outlineLevel="0" collapsed="false"/>
    <row r="61724" customFormat="false" ht="12.75" hidden="false" customHeight="true" outlineLevel="0" collapsed="false"/>
    <row r="61725" customFormat="false" ht="12.75" hidden="false" customHeight="true" outlineLevel="0" collapsed="false"/>
    <row r="61726" customFormat="false" ht="12.75" hidden="false" customHeight="true" outlineLevel="0" collapsed="false"/>
    <row r="61727" customFormat="false" ht="12.75" hidden="false" customHeight="true" outlineLevel="0" collapsed="false"/>
    <row r="61728" customFormat="false" ht="12.75" hidden="false" customHeight="true" outlineLevel="0" collapsed="false"/>
    <row r="61729" customFormat="false" ht="12.75" hidden="false" customHeight="true" outlineLevel="0" collapsed="false"/>
    <row r="61730" customFormat="false" ht="12.75" hidden="false" customHeight="true" outlineLevel="0" collapsed="false"/>
    <row r="61731" customFormat="false" ht="12.75" hidden="false" customHeight="true" outlineLevel="0" collapsed="false"/>
    <row r="61732" customFormat="false" ht="12.75" hidden="false" customHeight="true" outlineLevel="0" collapsed="false"/>
    <row r="61733" customFormat="false" ht="12.75" hidden="false" customHeight="true" outlineLevel="0" collapsed="false"/>
    <row r="61734" customFormat="false" ht="12.75" hidden="false" customHeight="true" outlineLevel="0" collapsed="false"/>
    <row r="61735" customFormat="false" ht="12.75" hidden="false" customHeight="true" outlineLevel="0" collapsed="false"/>
    <row r="61736" customFormat="false" ht="12.75" hidden="false" customHeight="true" outlineLevel="0" collapsed="false"/>
    <row r="61737" customFormat="false" ht="12.75" hidden="false" customHeight="true" outlineLevel="0" collapsed="false"/>
    <row r="61738" customFormat="false" ht="12.75" hidden="false" customHeight="true" outlineLevel="0" collapsed="false"/>
    <row r="61739" customFormat="false" ht="12.75" hidden="false" customHeight="true" outlineLevel="0" collapsed="false"/>
    <row r="61740" customFormat="false" ht="12.75" hidden="false" customHeight="true" outlineLevel="0" collapsed="false"/>
    <row r="61741" customFormat="false" ht="12.75" hidden="false" customHeight="true" outlineLevel="0" collapsed="false"/>
    <row r="61742" customFormat="false" ht="12.75" hidden="false" customHeight="true" outlineLevel="0" collapsed="false"/>
    <row r="61743" customFormat="false" ht="12.75" hidden="false" customHeight="true" outlineLevel="0" collapsed="false"/>
    <row r="61744" customFormat="false" ht="12.75" hidden="false" customHeight="true" outlineLevel="0" collapsed="false"/>
    <row r="61745" customFormat="false" ht="12.75" hidden="false" customHeight="true" outlineLevel="0" collapsed="false"/>
    <row r="61746" customFormat="false" ht="12.75" hidden="false" customHeight="true" outlineLevel="0" collapsed="false"/>
    <row r="61747" customFormat="false" ht="12.75" hidden="false" customHeight="true" outlineLevel="0" collapsed="false"/>
    <row r="61748" customFormat="false" ht="12.75" hidden="false" customHeight="true" outlineLevel="0" collapsed="false"/>
    <row r="61749" customFormat="false" ht="12.75" hidden="false" customHeight="true" outlineLevel="0" collapsed="false"/>
    <row r="61750" customFormat="false" ht="12.75" hidden="false" customHeight="true" outlineLevel="0" collapsed="false"/>
    <row r="61751" customFormat="false" ht="12.75" hidden="false" customHeight="true" outlineLevel="0" collapsed="false"/>
    <row r="61752" customFormat="false" ht="12.75" hidden="false" customHeight="true" outlineLevel="0" collapsed="false"/>
    <row r="61753" customFormat="false" ht="12.75" hidden="false" customHeight="true" outlineLevel="0" collapsed="false"/>
    <row r="61754" customFormat="false" ht="12.75" hidden="false" customHeight="true" outlineLevel="0" collapsed="false"/>
    <row r="61755" customFormat="false" ht="12.75" hidden="false" customHeight="true" outlineLevel="0" collapsed="false"/>
    <row r="61756" customFormat="false" ht="12.75" hidden="false" customHeight="true" outlineLevel="0" collapsed="false"/>
    <row r="61757" customFormat="false" ht="12.75" hidden="false" customHeight="true" outlineLevel="0" collapsed="false"/>
    <row r="61758" customFormat="false" ht="12.75" hidden="false" customHeight="true" outlineLevel="0" collapsed="false"/>
    <row r="61759" customFormat="false" ht="12.75" hidden="false" customHeight="true" outlineLevel="0" collapsed="false"/>
    <row r="61760" customFormat="false" ht="12.75" hidden="false" customHeight="true" outlineLevel="0" collapsed="false"/>
    <row r="61761" customFormat="false" ht="12.75" hidden="false" customHeight="true" outlineLevel="0" collapsed="false"/>
    <row r="61762" customFormat="false" ht="12.75" hidden="false" customHeight="true" outlineLevel="0" collapsed="false"/>
    <row r="61763" customFormat="false" ht="12.75" hidden="false" customHeight="true" outlineLevel="0" collapsed="false"/>
    <row r="61764" customFormat="false" ht="12.75" hidden="false" customHeight="true" outlineLevel="0" collapsed="false"/>
    <row r="61765" customFormat="false" ht="12.75" hidden="false" customHeight="true" outlineLevel="0" collapsed="false"/>
    <row r="61766" customFormat="false" ht="12.75" hidden="false" customHeight="true" outlineLevel="0" collapsed="false"/>
    <row r="61767" customFormat="false" ht="12.75" hidden="false" customHeight="true" outlineLevel="0" collapsed="false"/>
    <row r="61768" customFormat="false" ht="12.75" hidden="false" customHeight="true" outlineLevel="0" collapsed="false"/>
    <row r="61769" customFormat="false" ht="12.75" hidden="false" customHeight="true" outlineLevel="0" collapsed="false"/>
    <row r="61770" customFormat="false" ht="12.75" hidden="false" customHeight="true" outlineLevel="0" collapsed="false"/>
    <row r="61771" customFormat="false" ht="12.75" hidden="false" customHeight="true" outlineLevel="0" collapsed="false"/>
    <row r="61772" customFormat="false" ht="12.75" hidden="false" customHeight="true" outlineLevel="0" collapsed="false"/>
    <row r="61773" customFormat="false" ht="12.75" hidden="false" customHeight="true" outlineLevel="0" collapsed="false"/>
    <row r="61774" customFormat="false" ht="12.75" hidden="false" customHeight="true" outlineLevel="0" collapsed="false"/>
    <row r="61775" customFormat="false" ht="12.75" hidden="false" customHeight="true" outlineLevel="0" collapsed="false"/>
    <row r="61776" customFormat="false" ht="12.75" hidden="false" customHeight="true" outlineLevel="0" collapsed="false"/>
    <row r="61777" customFormat="false" ht="12.75" hidden="false" customHeight="true" outlineLevel="0" collapsed="false"/>
    <row r="61778" customFormat="false" ht="12.75" hidden="false" customHeight="true" outlineLevel="0" collapsed="false"/>
    <row r="61779" customFormat="false" ht="12.75" hidden="false" customHeight="true" outlineLevel="0" collapsed="false"/>
    <row r="61780" customFormat="false" ht="12.75" hidden="false" customHeight="true" outlineLevel="0" collapsed="false"/>
    <row r="61781" customFormat="false" ht="12.75" hidden="false" customHeight="true" outlineLevel="0" collapsed="false"/>
    <row r="61782" customFormat="false" ht="12.75" hidden="false" customHeight="true" outlineLevel="0" collapsed="false"/>
    <row r="61783" customFormat="false" ht="12.75" hidden="false" customHeight="true" outlineLevel="0" collapsed="false"/>
    <row r="61784" customFormat="false" ht="12.75" hidden="false" customHeight="true" outlineLevel="0" collapsed="false"/>
    <row r="61785" customFormat="false" ht="12.75" hidden="false" customHeight="true" outlineLevel="0" collapsed="false"/>
    <row r="61786" customFormat="false" ht="12.75" hidden="false" customHeight="true" outlineLevel="0" collapsed="false"/>
    <row r="61787" customFormat="false" ht="12.75" hidden="false" customHeight="true" outlineLevel="0" collapsed="false"/>
    <row r="61788" customFormat="false" ht="12.75" hidden="false" customHeight="true" outlineLevel="0" collapsed="false"/>
    <row r="61789" customFormat="false" ht="12.75" hidden="false" customHeight="true" outlineLevel="0" collapsed="false"/>
    <row r="61790" customFormat="false" ht="12.75" hidden="false" customHeight="true" outlineLevel="0" collapsed="false"/>
    <row r="61791" customFormat="false" ht="12.75" hidden="false" customHeight="true" outlineLevel="0" collapsed="false"/>
    <row r="61792" customFormat="false" ht="12.75" hidden="false" customHeight="true" outlineLevel="0" collapsed="false"/>
    <row r="61793" customFormat="false" ht="12.75" hidden="false" customHeight="true" outlineLevel="0" collapsed="false"/>
    <row r="61794" customFormat="false" ht="12.75" hidden="false" customHeight="true" outlineLevel="0" collapsed="false"/>
    <row r="61795" customFormat="false" ht="12.75" hidden="false" customHeight="true" outlineLevel="0" collapsed="false"/>
    <row r="61796" customFormat="false" ht="12.75" hidden="false" customHeight="true" outlineLevel="0" collapsed="false"/>
    <row r="61797" customFormat="false" ht="12.75" hidden="false" customHeight="true" outlineLevel="0" collapsed="false"/>
    <row r="61798" customFormat="false" ht="12.75" hidden="false" customHeight="true" outlineLevel="0" collapsed="false"/>
    <row r="61799" customFormat="false" ht="12.75" hidden="false" customHeight="true" outlineLevel="0" collapsed="false"/>
    <row r="61800" customFormat="false" ht="12.75" hidden="false" customHeight="true" outlineLevel="0" collapsed="false"/>
    <row r="61801" customFormat="false" ht="12.75" hidden="false" customHeight="true" outlineLevel="0" collapsed="false"/>
    <row r="61802" customFormat="false" ht="12.75" hidden="false" customHeight="true" outlineLevel="0" collapsed="false"/>
    <row r="61803" customFormat="false" ht="12.75" hidden="false" customHeight="true" outlineLevel="0" collapsed="false"/>
    <row r="61804" customFormat="false" ht="12.75" hidden="false" customHeight="true" outlineLevel="0" collapsed="false"/>
    <row r="61805" customFormat="false" ht="12.75" hidden="false" customHeight="true" outlineLevel="0" collapsed="false"/>
    <row r="61806" customFormat="false" ht="12.75" hidden="false" customHeight="true" outlineLevel="0" collapsed="false"/>
    <row r="61807" customFormat="false" ht="12.75" hidden="false" customHeight="true" outlineLevel="0" collapsed="false"/>
    <row r="61808" customFormat="false" ht="12.75" hidden="false" customHeight="true" outlineLevel="0" collapsed="false"/>
    <row r="61809" customFormat="false" ht="12.75" hidden="false" customHeight="true" outlineLevel="0" collapsed="false"/>
    <row r="61810" customFormat="false" ht="12.75" hidden="false" customHeight="true" outlineLevel="0" collapsed="false"/>
    <row r="61811" customFormat="false" ht="12.75" hidden="false" customHeight="true" outlineLevel="0" collapsed="false"/>
    <row r="61812" customFormat="false" ht="12.75" hidden="false" customHeight="true" outlineLevel="0" collapsed="false"/>
    <row r="61813" customFormat="false" ht="12.75" hidden="false" customHeight="true" outlineLevel="0" collapsed="false"/>
    <row r="61814" customFormat="false" ht="12.75" hidden="false" customHeight="true" outlineLevel="0" collapsed="false"/>
    <row r="61815" customFormat="false" ht="12.75" hidden="false" customHeight="true" outlineLevel="0" collapsed="false"/>
    <row r="61816" customFormat="false" ht="12.75" hidden="false" customHeight="true" outlineLevel="0" collapsed="false"/>
    <row r="61817" customFormat="false" ht="12.75" hidden="false" customHeight="true" outlineLevel="0" collapsed="false"/>
    <row r="61818" customFormat="false" ht="12.75" hidden="false" customHeight="true" outlineLevel="0" collapsed="false"/>
    <row r="61819" customFormat="false" ht="12.75" hidden="false" customHeight="true" outlineLevel="0" collapsed="false"/>
    <row r="61820" customFormat="false" ht="12.75" hidden="false" customHeight="true" outlineLevel="0" collapsed="false"/>
    <row r="61821" customFormat="false" ht="12.75" hidden="false" customHeight="true" outlineLevel="0" collapsed="false"/>
    <row r="61822" customFormat="false" ht="12.75" hidden="false" customHeight="true" outlineLevel="0" collapsed="false"/>
    <row r="61823" customFormat="false" ht="12.75" hidden="false" customHeight="true" outlineLevel="0" collapsed="false"/>
    <row r="61824" customFormat="false" ht="12.75" hidden="false" customHeight="true" outlineLevel="0" collapsed="false"/>
    <row r="61825" customFormat="false" ht="12.75" hidden="false" customHeight="true" outlineLevel="0" collapsed="false"/>
    <row r="61826" customFormat="false" ht="12.75" hidden="false" customHeight="true" outlineLevel="0" collapsed="false"/>
    <row r="61827" customFormat="false" ht="12.75" hidden="false" customHeight="true" outlineLevel="0" collapsed="false"/>
    <row r="61828" customFormat="false" ht="12.75" hidden="false" customHeight="true" outlineLevel="0" collapsed="false"/>
    <row r="61829" customFormat="false" ht="12.75" hidden="false" customHeight="true" outlineLevel="0" collapsed="false"/>
    <row r="61830" customFormat="false" ht="12.75" hidden="false" customHeight="true" outlineLevel="0" collapsed="false"/>
    <row r="61831" customFormat="false" ht="12.75" hidden="false" customHeight="true" outlineLevel="0" collapsed="false"/>
    <row r="61832" customFormat="false" ht="12.75" hidden="false" customHeight="true" outlineLevel="0" collapsed="false"/>
    <row r="61833" customFormat="false" ht="12.75" hidden="false" customHeight="true" outlineLevel="0" collapsed="false"/>
    <row r="61834" customFormat="false" ht="12.75" hidden="false" customHeight="true" outlineLevel="0" collapsed="false"/>
    <row r="61835" customFormat="false" ht="12.75" hidden="false" customHeight="true" outlineLevel="0" collapsed="false"/>
    <row r="61836" customFormat="false" ht="12.75" hidden="false" customHeight="true" outlineLevel="0" collapsed="false"/>
    <row r="61837" customFormat="false" ht="12.75" hidden="false" customHeight="true" outlineLevel="0" collapsed="false"/>
    <row r="61838" customFormat="false" ht="12.75" hidden="false" customHeight="true" outlineLevel="0" collapsed="false"/>
    <row r="61839" customFormat="false" ht="12.75" hidden="false" customHeight="true" outlineLevel="0" collapsed="false"/>
    <row r="61840" customFormat="false" ht="12.75" hidden="false" customHeight="true" outlineLevel="0" collapsed="false"/>
    <row r="61841" customFormat="false" ht="12.75" hidden="false" customHeight="true" outlineLevel="0" collapsed="false"/>
    <row r="61842" customFormat="false" ht="12.75" hidden="false" customHeight="true" outlineLevel="0" collapsed="false"/>
    <row r="61843" customFormat="false" ht="12.75" hidden="false" customHeight="true" outlineLevel="0" collapsed="false"/>
    <row r="61844" customFormat="false" ht="12.75" hidden="false" customHeight="true" outlineLevel="0" collapsed="false"/>
    <row r="61845" customFormat="false" ht="12.75" hidden="false" customHeight="true" outlineLevel="0" collapsed="false"/>
    <row r="61846" customFormat="false" ht="12.75" hidden="false" customHeight="true" outlineLevel="0" collapsed="false"/>
    <row r="61847" customFormat="false" ht="12.75" hidden="false" customHeight="true" outlineLevel="0" collapsed="false"/>
    <row r="61848" customFormat="false" ht="12.75" hidden="false" customHeight="true" outlineLevel="0" collapsed="false"/>
    <row r="61849" customFormat="false" ht="12.75" hidden="false" customHeight="true" outlineLevel="0" collapsed="false"/>
    <row r="61850" customFormat="false" ht="12.75" hidden="false" customHeight="true" outlineLevel="0" collapsed="false"/>
    <row r="61851" customFormat="false" ht="12.75" hidden="false" customHeight="true" outlineLevel="0" collapsed="false"/>
    <row r="61852" customFormat="false" ht="12.75" hidden="false" customHeight="true" outlineLevel="0" collapsed="false"/>
    <row r="61853" customFormat="false" ht="12.75" hidden="false" customHeight="true" outlineLevel="0" collapsed="false"/>
    <row r="61854" customFormat="false" ht="12.75" hidden="false" customHeight="true" outlineLevel="0" collapsed="false"/>
    <row r="61855" customFormat="false" ht="12.75" hidden="false" customHeight="true" outlineLevel="0" collapsed="false"/>
    <row r="61856" customFormat="false" ht="12.75" hidden="false" customHeight="true" outlineLevel="0" collapsed="false"/>
    <row r="61857" customFormat="false" ht="12.75" hidden="false" customHeight="true" outlineLevel="0" collapsed="false"/>
    <row r="61858" customFormat="false" ht="12.75" hidden="false" customHeight="true" outlineLevel="0" collapsed="false"/>
    <row r="61859" customFormat="false" ht="12.75" hidden="false" customHeight="true" outlineLevel="0" collapsed="false"/>
    <row r="61860" customFormat="false" ht="12.75" hidden="false" customHeight="true" outlineLevel="0" collapsed="false"/>
    <row r="61861" customFormat="false" ht="12.75" hidden="false" customHeight="true" outlineLevel="0" collapsed="false"/>
    <row r="61862" customFormat="false" ht="12.75" hidden="false" customHeight="true" outlineLevel="0" collapsed="false"/>
    <row r="61863" customFormat="false" ht="12.75" hidden="false" customHeight="true" outlineLevel="0" collapsed="false"/>
    <row r="61864" customFormat="false" ht="12.75" hidden="false" customHeight="true" outlineLevel="0" collapsed="false"/>
    <row r="61865" customFormat="false" ht="12.75" hidden="false" customHeight="true" outlineLevel="0" collapsed="false"/>
    <row r="61866" customFormat="false" ht="12.75" hidden="false" customHeight="true" outlineLevel="0" collapsed="false"/>
    <row r="61867" customFormat="false" ht="12.75" hidden="false" customHeight="true" outlineLevel="0" collapsed="false"/>
    <row r="61868" customFormat="false" ht="12.75" hidden="false" customHeight="true" outlineLevel="0" collapsed="false"/>
    <row r="61869" customFormat="false" ht="12.75" hidden="false" customHeight="true" outlineLevel="0" collapsed="false"/>
    <row r="61870" customFormat="false" ht="12.75" hidden="false" customHeight="true" outlineLevel="0" collapsed="false"/>
    <row r="61871" customFormat="false" ht="12.75" hidden="false" customHeight="true" outlineLevel="0" collapsed="false"/>
    <row r="61872" customFormat="false" ht="12.75" hidden="false" customHeight="true" outlineLevel="0" collapsed="false"/>
    <row r="61873" customFormat="false" ht="12.75" hidden="false" customHeight="true" outlineLevel="0" collapsed="false"/>
    <row r="61874" customFormat="false" ht="12.75" hidden="false" customHeight="true" outlineLevel="0" collapsed="false"/>
    <row r="61875" customFormat="false" ht="12.75" hidden="false" customHeight="true" outlineLevel="0" collapsed="false"/>
    <row r="61876" customFormat="false" ht="12.75" hidden="false" customHeight="true" outlineLevel="0" collapsed="false"/>
    <row r="61877" customFormat="false" ht="12.75" hidden="false" customHeight="true" outlineLevel="0" collapsed="false"/>
    <row r="61878" customFormat="false" ht="12.75" hidden="false" customHeight="true" outlineLevel="0" collapsed="false"/>
    <row r="61879" customFormat="false" ht="12.75" hidden="false" customHeight="true" outlineLevel="0" collapsed="false"/>
    <row r="61880" customFormat="false" ht="12.75" hidden="false" customHeight="true" outlineLevel="0" collapsed="false"/>
    <row r="61881" customFormat="false" ht="12.75" hidden="false" customHeight="true" outlineLevel="0" collapsed="false"/>
    <row r="61882" customFormat="false" ht="12.75" hidden="false" customHeight="true" outlineLevel="0" collapsed="false"/>
    <row r="61883" customFormat="false" ht="12.75" hidden="false" customHeight="true" outlineLevel="0" collapsed="false"/>
    <row r="61884" customFormat="false" ht="12.75" hidden="false" customHeight="true" outlineLevel="0" collapsed="false"/>
    <row r="61885" customFormat="false" ht="12.75" hidden="false" customHeight="true" outlineLevel="0" collapsed="false"/>
    <row r="61886" customFormat="false" ht="12.75" hidden="false" customHeight="true" outlineLevel="0" collapsed="false"/>
    <row r="61887" customFormat="false" ht="12.75" hidden="false" customHeight="true" outlineLevel="0" collapsed="false"/>
    <row r="61888" customFormat="false" ht="12.75" hidden="false" customHeight="true" outlineLevel="0" collapsed="false"/>
    <row r="61889" customFormat="false" ht="12.75" hidden="false" customHeight="true" outlineLevel="0" collapsed="false"/>
    <row r="61890" customFormat="false" ht="12.75" hidden="false" customHeight="true" outlineLevel="0" collapsed="false"/>
    <row r="61891" customFormat="false" ht="12.75" hidden="false" customHeight="true" outlineLevel="0" collapsed="false"/>
    <row r="61892" customFormat="false" ht="12.75" hidden="false" customHeight="true" outlineLevel="0" collapsed="false"/>
    <row r="61893" customFormat="false" ht="12.75" hidden="false" customHeight="true" outlineLevel="0" collapsed="false"/>
    <row r="61894" customFormat="false" ht="12.75" hidden="false" customHeight="true" outlineLevel="0" collapsed="false"/>
    <row r="61895" customFormat="false" ht="12.75" hidden="false" customHeight="true" outlineLevel="0" collapsed="false"/>
    <row r="61896" customFormat="false" ht="12.75" hidden="false" customHeight="true" outlineLevel="0" collapsed="false"/>
    <row r="61897" customFormat="false" ht="12.75" hidden="false" customHeight="true" outlineLevel="0" collapsed="false"/>
    <row r="61898" customFormat="false" ht="12.75" hidden="false" customHeight="true" outlineLevel="0" collapsed="false"/>
    <row r="61899" customFormat="false" ht="12.75" hidden="false" customHeight="true" outlineLevel="0" collapsed="false"/>
    <row r="61900" customFormat="false" ht="12.75" hidden="false" customHeight="true" outlineLevel="0" collapsed="false"/>
    <row r="61901" customFormat="false" ht="12.75" hidden="false" customHeight="true" outlineLevel="0" collapsed="false"/>
    <row r="61902" customFormat="false" ht="12.75" hidden="false" customHeight="true" outlineLevel="0" collapsed="false"/>
    <row r="61903" customFormat="false" ht="12.75" hidden="false" customHeight="true" outlineLevel="0" collapsed="false"/>
    <row r="61904" customFormat="false" ht="12.75" hidden="false" customHeight="true" outlineLevel="0" collapsed="false"/>
    <row r="61905" customFormat="false" ht="12.75" hidden="false" customHeight="true" outlineLevel="0" collapsed="false"/>
    <row r="61906" customFormat="false" ht="12.75" hidden="false" customHeight="true" outlineLevel="0" collapsed="false"/>
    <row r="61907" customFormat="false" ht="12.75" hidden="false" customHeight="true" outlineLevel="0" collapsed="false"/>
    <row r="61908" customFormat="false" ht="12.75" hidden="false" customHeight="true" outlineLevel="0" collapsed="false"/>
    <row r="61909" customFormat="false" ht="12.75" hidden="false" customHeight="true" outlineLevel="0" collapsed="false"/>
    <row r="61910" customFormat="false" ht="12.75" hidden="false" customHeight="true" outlineLevel="0" collapsed="false"/>
    <row r="61911" customFormat="false" ht="12.75" hidden="false" customHeight="true" outlineLevel="0" collapsed="false"/>
    <row r="61912" customFormat="false" ht="12.75" hidden="false" customHeight="true" outlineLevel="0" collapsed="false"/>
    <row r="61913" customFormat="false" ht="12.75" hidden="false" customHeight="true" outlineLevel="0" collapsed="false"/>
    <row r="61914" customFormat="false" ht="12.75" hidden="false" customHeight="true" outlineLevel="0" collapsed="false"/>
    <row r="61915" customFormat="false" ht="12.75" hidden="false" customHeight="true" outlineLevel="0" collapsed="false"/>
    <row r="61916" customFormat="false" ht="12.75" hidden="false" customHeight="true" outlineLevel="0" collapsed="false"/>
    <row r="61917" customFormat="false" ht="12.75" hidden="false" customHeight="true" outlineLevel="0" collapsed="false"/>
    <row r="61918" customFormat="false" ht="12.75" hidden="false" customHeight="true" outlineLevel="0" collapsed="false"/>
    <row r="61919" customFormat="false" ht="12.75" hidden="false" customHeight="true" outlineLevel="0" collapsed="false"/>
    <row r="61920" customFormat="false" ht="12.75" hidden="false" customHeight="true" outlineLevel="0" collapsed="false"/>
    <row r="61921" customFormat="false" ht="12.75" hidden="false" customHeight="true" outlineLevel="0" collapsed="false"/>
    <row r="61922" customFormat="false" ht="12.75" hidden="false" customHeight="true" outlineLevel="0" collapsed="false"/>
    <row r="61923" customFormat="false" ht="12.75" hidden="false" customHeight="true" outlineLevel="0" collapsed="false"/>
    <row r="61924" customFormat="false" ht="12.75" hidden="false" customHeight="true" outlineLevel="0" collapsed="false"/>
    <row r="61925" customFormat="false" ht="12.75" hidden="false" customHeight="true" outlineLevel="0" collapsed="false"/>
    <row r="61926" customFormat="false" ht="12.75" hidden="false" customHeight="true" outlineLevel="0" collapsed="false"/>
    <row r="61927" customFormat="false" ht="12.75" hidden="false" customHeight="true" outlineLevel="0" collapsed="false"/>
    <row r="61928" customFormat="false" ht="12.75" hidden="false" customHeight="true" outlineLevel="0" collapsed="false"/>
    <row r="61929" customFormat="false" ht="12.75" hidden="false" customHeight="true" outlineLevel="0" collapsed="false"/>
    <row r="61930" customFormat="false" ht="12.75" hidden="false" customHeight="true" outlineLevel="0" collapsed="false"/>
    <row r="61931" customFormat="false" ht="12.75" hidden="false" customHeight="true" outlineLevel="0" collapsed="false"/>
    <row r="61932" customFormat="false" ht="12.75" hidden="false" customHeight="true" outlineLevel="0" collapsed="false"/>
    <row r="61933" customFormat="false" ht="12.75" hidden="false" customHeight="true" outlineLevel="0" collapsed="false"/>
    <row r="61934" customFormat="false" ht="12.75" hidden="false" customHeight="true" outlineLevel="0" collapsed="false"/>
    <row r="61935" customFormat="false" ht="12.75" hidden="false" customHeight="true" outlineLevel="0" collapsed="false"/>
    <row r="61936" customFormat="false" ht="12.75" hidden="false" customHeight="true" outlineLevel="0" collapsed="false"/>
    <row r="61937" customFormat="false" ht="12.75" hidden="false" customHeight="true" outlineLevel="0" collapsed="false"/>
    <row r="61938" customFormat="false" ht="12.75" hidden="false" customHeight="true" outlineLevel="0" collapsed="false"/>
    <row r="61939" customFormat="false" ht="12.75" hidden="false" customHeight="true" outlineLevel="0" collapsed="false"/>
    <row r="61940" customFormat="false" ht="12.75" hidden="false" customHeight="true" outlineLevel="0" collapsed="false"/>
    <row r="61941" customFormat="false" ht="12.75" hidden="false" customHeight="true" outlineLevel="0" collapsed="false"/>
    <row r="61942" customFormat="false" ht="12.75" hidden="false" customHeight="true" outlineLevel="0" collapsed="false"/>
    <row r="61943" customFormat="false" ht="12.75" hidden="false" customHeight="true" outlineLevel="0" collapsed="false"/>
    <row r="61944" customFormat="false" ht="12.75" hidden="false" customHeight="true" outlineLevel="0" collapsed="false"/>
    <row r="61945" customFormat="false" ht="12.75" hidden="false" customHeight="true" outlineLevel="0" collapsed="false"/>
    <row r="61946" customFormat="false" ht="12.75" hidden="false" customHeight="true" outlineLevel="0" collapsed="false"/>
    <row r="61947" customFormat="false" ht="12.75" hidden="false" customHeight="true" outlineLevel="0" collapsed="false"/>
    <row r="61948" customFormat="false" ht="12.75" hidden="false" customHeight="true" outlineLevel="0" collapsed="false"/>
    <row r="61949" customFormat="false" ht="12.75" hidden="false" customHeight="true" outlineLevel="0" collapsed="false"/>
    <row r="61950" customFormat="false" ht="12.75" hidden="false" customHeight="true" outlineLevel="0" collapsed="false"/>
    <row r="61951" customFormat="false" ht="12.75" hidden="false" customHeight="true" outlineLevel="0" collapsed="false"/>
    <row r="61952" customFormat="false" ht="12.75" hidden="false" customHeight="true" outlineLevel="0" collapsed="false"/>
    <row r="61953" customFormat="false" ht="12.75" hidden="false" customHeight="true" outlineLevel="0" collapsed="false"/>
    <row r="61954" customFormat="false" ht="12.75" hidden="false" customHeight="true" outlineLevel="0" collapsed="false"/>
    <row r="61955" customFormat="false" ht="12.75" hidden="false" customHeight="true" outlineLevel="0" collapsed="false"/>
    <row r="61956" customFormat="false" ht="12.75" hidden="false" customHeight="true" outlineLevel="0" collapsed="false"/>
    <row r="61957" customFormat="false" ht="12.75" hidden="false" customHeight="true" outlineLevel="0" collapsed="false"/>
    <row r="61958" customFormat="false" ht="12.75" hidden="false" customHeight="true" outlineLevel="0" collapsed="false"/>
    <row r="61959" customFormat="false" ht="12.75" hidden="false" customHeight="true" outlineLevel="0" collapsed="false"/>
    <row r="61960" customFormat="false" ht="12.75" hidden="false" customHeight="true" outlineLevel="0" collapsed="false"/>
    <row r="61961" customFormat="false" ht="12.75" hidden="false" customHeight="true" outlineLevel="0" collapsed="false"/>
    <row r="61962" customFormat="false" ht="12.75" hidden="false" customHeight="true" outlineLevel="0" collapsed="false"/>
    <row r="61963" customFormat="false" ht="12.75" hidden="false" customHeight="true" outlineLevel="0" collapsed="false"/>
    <row r="61964" customFormat="false" ht="12.75" hidden="false" customHeight="true" outlineLevel="0" collapsed="false"/>
    <row r="61965" customFormat="false" ht="12.75" hidden="false" customHeight="true" outlineLevel="0" collapsed="false"/>
    <row r="61966" customFormat="false" ht="12.75" hidden="false" customHeight="true" outlineLevel="0" collapsed="false"/>
    <row r="61967" customFormat="false" ht="12.75" hidden="false" customHeight="true" outlineLevel="0" collapsed="false"/>
    <row r="61968" customFormat="false" ht="12.75" hidden="false" customHeight="true" outlineLevel="0" collapsed="false"/>
    <row r="61969" customFormat="false" ht="12.75" hidden="false" customHeight="true" outlineLevel="0" collapsed="false"/>
    <row r="61970" customFormat="false" ht="12.75" hidden="false" customHeight="true" outlineLevel="0" collapsed="false"/>
    <row r="61971" customFormat="false" ht="12.75" hidden="false" customHeight="true" outlineLevel="0" collapsed="false"/>
    <row r="61972" customFormat="false" ht="12.75" hidden="false" customHeight="true" outlineLevel="0" collapsed="false"/>
    <row r="61973" customFormat="false" ht="12.75" hidden="false" customHeight="true" outlineLevel="0" collapsed="false"/>
    <row r="61974" customFormat="false" ht="12.75" hidden="false" customHeight="true" outlineLevel="0" collapsed="false"/>
    <row r="61975" customFormat="false" ht="12.75" hidden="false" customHeight="true" outlineLevel="0" collapsed="false"/>
    <row r="61976" customFormat="false" ht="12.75" hidden="false" customHeight="true" outlineLevel="0" collapsed="false"/>
    <row r="61977" customFormat="false" ht="12.75" hidden="false" customHeight="true" outlineLevel="0" collapsed="false"/>
    <row r="61978" customFormat="false" ht="12.75" hidden="false" customHeight="true" outlineLevel="0" collapsed="false"/>
    <row r="61979" customFormat="false" ht="12.75" hidden="false" customHeight="true" outlineLevel="0" collapsed="false"/>
    <row r="61980" customFormat="false" ht="12.75" hidden="false" customHeight="true" outlineLevel="0" collapsed="false"/>
    <row r="61981" customFormat="false" ht="12.75" hidden="false" customHeight="true" outlineLevel="0" collapsed="false"/>
    <row r="61982" customFormat="false" ht="12.75" hidden="false" customHeight="true" outlineLevel="0" collapsed="false"/>
    <row r="61983" customFormat="false" ht="12.75" hidden="false" customHeight="true" outlineLevel="0" collapsed="false"/>
    <row r="61984" customFormat="false" ht="12.75" hidden="false" customHeight="true" outlineLevel="0" collapsed="false"/>
    <row r="61985" customFormat="false" ht="12.75" hidden="false" customHeight="true" outlineLevel="0" collapsed="false"/>
    <row r="61986" customFormat="false" ht="12.75" hidden="false" customHeight="true" outlineLevel="0" collapsed="false"/>
    <row r="61987" customFormat="false" ht="12.75" hidden="false" customHeight="true" outlineLevel="0" collapsed="false"/>
    <row r="61988" customFormat="false" ht="12.75" hidden="false" customHeight="true" outlineLevel="0" collapsed="false"/>
    <row r="61989" customFormat="false" ht="12.75" hidden="false" customHeight="true" outlineLevel="0" collapsed="false"/>
    <row r="61990" customFormat="false" ht="12.75" hidden="false" customHeight="true" outlineLevel="0" collapsed="false"/>
    <row r="61991" customFormat="false" ht="12.75" hidden="false" customHeight="true" outlineLevel="0" collapsed="false"/>
    <row r="61992" customFormat="false" ht="12.75" hidden="false" customHeight="true" outlineLevel="0" collapsed="false"/>
    <row r="61993" customFormat="false" ht="12.75" hidden="false" customHeight="true" outlineLevel="0" collapsed="false"/>
    <row r="61994" customFormat="false" ht="12.75" hidden="false" customHeight="true" outlineLevel="0" collapsed="false"/>
    <row r="61995" customFormat="false" ht="12.75" hidden="false" customHeight="true" outlineLevel="0" collapsed="false"/>
    <row r="61996" customFormat="false" ht="12.75" hidden="false" customHeight="true" outlineLevel="0" collapsed="false"/>
    <row r="61997" customFormat="false" ht="12.75" hidden="false" customHeight="true" outlineLevel="0" collapsed="false"/>
    <row r="61998" customFormat="false" ht="12.75" hidden="false" customHeight="true" outlineLevel="0" collapsed="false"/>
    <row r="61999" customFormat="false" ht="12.75" hidden="false" customHeight="true" outlineLevel="0" collapsed="false"/>
    <row r="62000" customFormat="false" ht="12.75" hidden="false" customHeight="true" outlineLevel="0" collapsed="false"/>
    <row r="62001" customFormat="false" ht="12.75" hidden="false" customHeight="true" outlineLevel="0" collapsed="false"/>
    <row r="62002" customFormat="false" ht="12.75" hidden="false" customHeight="true" outlineLevel="0" collapsed="false"/>
    <row r="62003" customFormat="false" ht="12.75" hidden="false" customHeight="true" outlineLevel="0" collapsed="false"/>
    <row r="62004" customFormat="false" ht="12.75" hidden="false" customHeight="true" outlineLevel="0" collapsed="false"/>
    <row r="62005" customFormat="false" ht="12.75" hidden="false" customHeight="true" outlineLevel="0" collapsed="false"/>
    <row r="62006" customFormat="false" ht="12.75" hidden="false" customHeight="true" outlineLevel="0" collapsed="false"/>
    <row r="62007" customFormat="false" ht="12.75" hidden="false" customHeight="true" outlineLevel="0" collapsed="false"/>
    <row r="62008" customFormat="false" ht="12.75" hidden="false" customHeight="true" outlineLevel="0" collapsed="false"/>
    <row r="62009" customFormat="false" ht="12.75" hidden="false" customHeight="true" outlineLevel="0" collapsed="false"/>
    <row r="62010" customFormat="false" ht="12.75" hidden="false" customHeight="true" outlineLevel="0" collapsed="false"/>
    <row r="62011" customFormat="false" ht="12.75" hidden="false" customHeight="true" outlineLevel="0" collapsed="false"/>
    <row r="62012" customFormat="false" ht="12.75" hidden="false" customHeight="true" outlineLevel="0" collapsed="false"/>
    <row r="62013" customFormat="false" ht="12.75" hidden="false" customHeight="true" outlineLevel="0" collapsed="false"/>
    <row r="62014" customFormat="false" ht="12.75" hidden="false" customHeight="true" outlineLevel="0" collapsed="false"/>
    <row r="62015" customFormat="false" ht="12.75" hidden="false" customHeight="true" outlineLevel="0" collapsed="false"/>
    <row r="62016" customFormat="false" ht="12.75" hidden="false" customHeight="true" outlineLevel="0" collapsed="false"/>
    <row r="62017" customFormat="false" ht="12.75" hidden="false" customHeight="true" outlineLevel="0" collapsed="false"/>
    <row r="62018" customFormat="false" ht="12.75" hidden="false" customHeight="true" outlineLevel="0" collapsed="false"/>
    <row r="62019" customFormat="false" ht="12.75" hidden="false" customHeight="true" outlineLevel="0" collapsed="false"/>
    <row r="62020" customFormat="false" ht="12.75" hidden="false" customHeight="true" outlineLevel="0" collapsed="false"/>
    <row r="62021" customFormat="false" ht="12.75" hidden="false" customHeight="true" outlineLevel="0" collapsed="false"/>
    <row r="62022" customFormat="false" ht="12.75" hidden="false" customHeight="true" outlineLevel="0" collapsed="false"/>
    <row r="62023" customFormat="false" ht="12.75" hidden="false" customHeight="true" outlineLevel="0" collapsed="false"/>
    <row r="62024" customFormat="false" ht="12.75" hidden="false" customHeight="true" outlineLevel="0" collapsed="false"/>
    <row r="62025" customFormat="false" ht="12.75" hidden="false" customHeight="true" outlineLevel="0" collapsed="false"/>
    <row r="62026" customFormat="false" ht="12.75" hidden="false" customHeight="true" outlineLevel="0" collapsed="false"/>
    <row r="62027" customFormat="false" ht="12.75" hidden="false" customHeight="true" outlineLevel="0" collapsed="false"/>
    <row r="62028" customFormat="false" ht="12.75" hidden="false" customHeight="true" outlineLevel="0" collapsed="false"/>
    <row r="62029" customFormat="false" ht="12.75" hidden="false" customHeight="true" outlineLevel="0" collapsed="false"/>
    <row r="62030" customFormat="false" ht="12.75" hidden="false" customHeight="true" outlineLevel="0" collapsed="false"/>
    <row r="62031" customFormat="false" ht="12.75" hidden="false" customHeight="true" outlineLevel="0" collapsed="false"/>
    <row r="62032" customFormat="false" ht="12.75" hidden="false" customHeight="true" outlineLevel="0" collapsed="false"/>
    <row r="62033" customFormat="false" ht="12.75" hidden="false" customHeight="true" outlineLevel="0" collapsed="false"/>
    <row r="62034" customFormat="false" ht="12.75" hidden="false" customHeight="true" outlineLevel="0" collapsed="false"/>
    <row r="62035" customFormat="false" ht="12.75" hidden="false" customHeight="true" outlineLevel="0" collapsed="false"/>
    <row r="62036" customFormat="false" ht="12.75" hidden="false" customHeight="true" outlineLevel="0" collapsed="false"/>
    <row r="62037" customFormat="false" ht="12.75" hidden="false" customHeight="true" outlineLevel="0" collapsed="false"/>
    <row r="62038" customFormat="false" ht="12.75" hidden="false" customHeight="true" outlineLevel="0" collapsed="false"/>
    <row r="62039" customFormat="false" ht="12.75" hidden="false" customHeight="true" outlineLevel="0" collapsed="false"/>
    <row r="62040" customFormat="false" ht="12.75" hidden="false" customHeight="true" outlineLevel="0" collapsed="false"/>
    <row r="62041" customFormat="false" ht="12.75" hidden="false" customHeight="true" outlineLevel="0" collapsed="false"/>
    <row r="62042" customFormat="false" ht="12.75" hidden="false" customHeight="true" outlineLevel="0" collapsed="false"/>
    <row r="62043" customFormat="false" ht="12.75" hidden="false" customHeight="true" outlineLevel="0" collapsed="false"/>
    <row r="62044" customFormat="false" ht="12.75" hidden="false" customHeight="true" outlineLevel="0" collapsed="false"/>
    <row r="62045" customFormat="false" ht="12.75" hidden="false" customHeight="true" outlineLevel="0" collapsed="false"/>
    <row r="62046" customFormat="false" ht="12.75" hidden="false" customHeight="true" outlineLevel="0" collapsed="false"/>
    <row r="62047" customFormat="false" ht="12.75" hidden="false" customHeight="true" outlineLevel="0" collapsed="false"/>
    <row r="62048" customFormat="false" ht="12.75" hidden="false" customHeight="true" outlineLevel="0" collapsed="false"/>
    <row r="62049" customFormat="false" ht="12.75" hidden="false" customHeight="true" outlineLevel="0" collapsed="false"/>
    <row r="62050" customFormat="false" ht="12.75" hidden="false" customHeight="true" outlineLevel="0" collapsed="false"/>
    <row r="62051" customFormat="false" ht="12.75" hidden="false" customHeight="true" outlineLevel="0" collapsed="false"/>
    <row r="62052" customFormat="false" ht="12.75" hidden="false" customHeight="true" outlineLevel="0" collapsed="false"/>
    <row r="62053" customFormat="false" ht="12.75" hidden="false" customHeight="true" outlineLevel="0" collapsed="false"/>
    <row r="62054" customFormat="false" ht="12.75" hidden="false" customHeight="true" outlineLevel="0" collapsed="false"/>
    <row r="62055" customFormat="false" ht="12.75" hidden="false" customHeight="true" outlineLevel="0" collapsed="false"/>
    <row r="62056" customFormat="false" ht="12.75" hidden="false" customHeight="true" outlineLevel="0" collapsed="false"/>
    <row r="62057" customFormat="false" ht="12.75" hidden="false" customHeight="true" outlineLevel="0" collapsed="false"/>
    <row r="62058" customFormat="false" ht="12.75" hidden="false" customHeight="true" outlineLevel="0" collapsed="false"/>
    <row r="62059" customFormat="false" ht="12.75" hidden="false" customHeight="true" outlineLevel="0" collapsed="false"/>
    <row r="62060" customFormat="false" ht="12.75" hidden="false" customHeight="true" outlineLevel="0" collapsed="false"/>
    <row r="62061" customFormat="false" ht="12.75" hidden="false" customHeight="true" outlineLevel="0" collapsed="false"/>
    <row r="62062" customFormat="false" ht="12.75" hidden="false" customHeight="true" outlineLevel="0" collapsed="false"/>
    <row r="62063" customFormat="false" ht="12.75" hidden="false" customHeight="true" outlineLevel="0" collapsed="false"/>
    <row r="62064" customFormat="false" ht="12.75" hidden="false" customHeight="true" outlineLevel="0" collapsed="false"/>
    <row r="62065" customFormat="false" ht="12.75" hidden="false" customHeight="true" outlineLevel="0" collapsed="false"/>
    <row r="62066" customFormat="false" ht="12.75" hidden="false" customHeight="true" outlineLevel="0" collapsed="false"/>
    <row r="62067" customFormat="false" ht="12.75" hidden="false" customHeight="true" outlineLevel="0" collapsed="false"/>
    <row r="62068" customFormat="false" ht="12.75" hidden="false" customHeight="true" outlineLevel="0" collapsed="false"/>
    <row r="62069" customFormat="false" ht="12.75" hidden="false" customHeight="true" outlineLevel="0" collapsed="false"/>
    <row r="62070" customFormat="false" ht="12.75" hidden="false" customHeight="true" outlineLevel="0" collapsed="false"/>
    <row r="62071" customFormat="false" ht="12.75" hidden="false" customHeight="true" outlineLevel="0" collapsed="false"/>
    <row r="62072" customFormat="false" ht="12.75" hidden="false" customHeight="true" outlineLevel="0" collapsed="false"/>
    <row r="62073" customFormat="false" ht="12.75" hidden="false" customHeight="true" outlineLevel="0" collapsed="false"/>
    <row r="62074" customFormat="false" ht="12.75" hidden="false" customHeight="true" outlineLevel="0" collapsed="false"/>
    <row r="62075" customFormat="false" ht="12.75" hidden="false" customHeight="true" outlineLevel="0" collapsed="false"/>
    <row r="62076" customFormat="false" ht="12.75" hidden="false" customHeight="true" outlineLevel="0" collapsed="false"/>
    <row r="62077" customFormat="false" ht="12.75" hidden="false" customHeight="true" outlineLevel="0" collapsed="false"/>
    <row r="62078" customFormat="false" ht="12.75" hidden="false" customHeight="true" outlineLevel="0" collapsed="false"/>
    <row r="62079" customFormat="false" ht="12.75" hidden="false" customHeight="true" outlineLevel="0" collapsed="false"/>
    <row r="62080" customFormat="false" ht="12.75" hidden="false" customHeight="true" outlineLevel="0" collapsed="false"/>
    <row r="62081" customFormat="false" ht="12.75" hidden="false" customHeight="true" outlineLevel="0" collapsed="false"/>
    <row r="62082" customFormat="false" ht="12.75" hidden="false" customHeight="true" outlineLevel="0" collapsed="false"/>
    <row r="62083" customFormat="false" ht="12.75" hidden="false" customHeight="true" outlineLevel="0" collapsed="false"/>
    <row r="62084" customFormat="false" ht="12.75" hidden="false" customHeight="true" outlineLevel="0" collapsed="false"/>
    <row r="62085" customFormat="false" ht="12.75" hidden="false" customHeight="true" outlineLevel="0" collapsed="false"/>
    <row r="62086" customFormat="false" ht="12.75" hidden="false" customHeight="true" outlineLevel="0" collapsed="false"/>
    <row r="62087" customFormat="false" ht="12.75" hidden="false" customHeight="true" outlineLevel="0" collapsed="false"/>
    <row r="62088" customFormat="false" ht="12.75" hidden="false" customHeight="true" outlineLevel="0" collapsed="false"/>
    <row r="62089" customFormat="false" ht="12.75" hidden="false" customHeight="true" outlineLevel="0" collapsed="false"/>
    <row r="62090" customFormat="false" ht="12.75" hidden="false" customHeight="true" outlineLevel="0" collapsed="false"/>
    <row r="62091" customFormat="false" ht="12.75" hidden="false" customHeight="true" outlineLevel="0" collapsed="false"/>
    <row r="62092" customFormat="false" ht="12.75" hidden="false" customHeight="true" outlineLevel="0" collapsed="false"/>
    <row r="62093" customFormat="false" ht="12.75" hidden="false" customHeight="true" outlineLevel="0" collapsed="false"/>
    <row r="62094" customFormat="false" ht="12.75" hidden="false" customHeight="true" outlineLevel="0" collapsed="false"/>
    <row r="62095" customFormat="false" ht="12.75" hidden="false" customHeight="true" outlineLevel="0" collapsed="false"/>
    <row r="62096" customFormat="false" ht="12.75" hidden="false" customHeight="true" outlineLevel="0" collapsed="false"/>
    <row r="62097" customFormat="false" ht="12.75" hidden="false" customHeight="true" outlineLevel="0" collapsed="false"/>
    <row r="62098" customFormat="false" ht="12.75" hidden="false" customHeight="true" outlineLevel="0" collapsed="false"/>
    <row r="62099" customFormat="false" ht="12.75" hidden="false" customHeight="true" outlineLevel="0" collapsed="false"/>
    <row r="62100" customFormat="false" ht="12.75" hidden="false" customHeight="true" outlineLevel="0" collapsed="false"/>
    <row r="62101" customFormat="false" ht="12.75" hidden="false" customHeight="true" outlineLevel="0" collapsed="false"/>
    <row r="62102" customFormat="false" ht="12.75" hidden="false" customHeight="true" outlineLevel="0" collapsed="false"/>
    <row r="62103" customFormat="false" ht="12.75" hidden="false" customHeight="true" outlineLevel="0" collapsed="false"/>
    <row r="62104" customFormat="false" ht="12.75" hidden="false" customHeight="true" outlineLevel="0" collapsed="false"/>
    <row r="62105" customFormat="false" ht="12.75" hidden="false" customHeight="true" outlineLevel="0" collapsed="false"/>
    <row r="62106" customFormat="false" ht="12.75" hidden="false" customHeight="true" outlineLevel="0" collapsed="false"/>
    <row r="62107" customFormat="false" ht="12.75" hidden="false" customHeight="true" outlineLevel="0" collapsed="false"/>
    <row r="62108" customFormat="false" ht="12.75" hidden="false" customHeight="true" outlineLevel="0" collapsed="false"/>
    <row r="62109" customFormat="false" ht="12.75" hidden="false" customHeight="true" outlineLevel="0" collapsed="false"/>
    <row r="62110" customFormat="false" ht="12.75" hidden="false" customHeight="true" outlineLevel="0" collapsed="false"/>
    <row r="62111" customFormat="false" ht="12.75" hidden="false" customHeight="true" outlineLevel="0" collapsed="false"/>
    <row r="62112" customFormat="false" ht="12.75" hidden="false" customHeight="true" outlineLevel="0" collapsed="false"/>
    <row r="62113" customFormat="false" ht="12.75" hidden="false" customHeight="true" outlineLevel="0" collapsed="false"/>
    <row r="62114" customFormat="false" ht="12.75" hidden="false" customHeight="true" outlineLevel="0" collapsed="false"/>
    <row r="62115" customFormat="false" ht="12.75" hidden="false" customHeight="true" outlineLevel="0" collapsed="false"/>
    <row r="62116" customFormat="false" ht="12.75" hidden="false" customHeight="true" outlineLevel="0" collapsed="false"/>
    <row r="62117" customFormat="false" ht="12.75" hidden="false" customHeight="true" outlineLevel="0" collapsed="false"/>
    <row r="62118" customFormat="false" ht="12.75" hidden="false" customHeight="true" outlineLevel="0" collapsed="false"/>
    <row r="62119" customFormat="false" ht="12.75" hidden="false" customHeight="true" outlineLevel="0" collapsed="false"/>
    <row r="62120" customFormat="false" ht="12.75" hidden="false" customHeight="true" outlineLevel="0" collapsed="false"/>
    <row r="62121" customFormat="false" ht="12.75" hidden="false" customHeight="true" outlineLevel="0" collapsed="false"/>
    <row r="62122" customFormat="false" ht="12.75" hidden="false" customHeight="true" outlineLevel="0" collapsed="false"/>
    <row r="62123" customFormat="false" ht="12.75" hidden="false" customHeight="true" outlineLevel="0" collapsed="false"/>
    <row r="62124" customFormat="false" ht="12.75" hidden="false" customHeight="true" outlineLevel="0" collapsed="false"/>
    <row r="62125" customFormat="false" ht="12.75" hidden="false" customHeight="true" outlineLevel="0" collapsed="false"/>
    <row r="62126" customFormat="false" ht="12.75" hidden="false" customHeight="true" outlineLevel="0" collapsed="false"/>
    <row r="62127" customFormat="false" ht="12.75" hidden="false" customHeight="true" outlineLevel="0" collapsed="false"/>
    <row r="62128" customFormat="false" ht="12.75" hidden="false" customHeight="true" outlineLevel="0" collapsed="false"/>
    <row r="62129" customFormat="false" ht="12.75" hidden="false" customHeight="true" outlineLevel="0" collapsed="false"/>
    <row r="62130" customFormat="false" ht="12.75" hidden="false" customHeight="true" outlineLevel="0" collapsed="false"/>
    <row r="62131" customFormat="false" ht="12.75" hidden="false" customHeight="true" outlineLevel="0" collapsed="false"/>
    <row r="62132" customFormat="false" ht="12.75" hidden="false" customHeight="true" outlineLevel="0" collapsed="false"/>
    <row r="62133" customFormat="false" ht="12.75" hidden="false" customHeight="true" outlineLevel="0" collapsed="false"/>
    <row r="62134" customFormat="false" ht="12.75" hidden="false" customHeight="true" outlineLevel="0" collapsed="false"/>
    <row r="62135" customFormat="false" ht="12.75" hidden="false" customHeight="true" outlineLevel="0" collapsed="false"/>
    <row r="62136" customFormat="false" ht="12.75" hidden="false" customHeight="true" outlineLevel="0" collapsed="false"/>
    <row r="62137" customFormat="false" ht="12.75" hidden="false" customHeight="true" outlineLevel="0" collapsed="false"/>
    <row r="62138" customFormat="false" ht="12.75" hidden="false" customHeight="true" outlineLevel="0" collapsed="false"/>
    <row r="62139" customFormat="false" ht="12.75" hidden="false" customHeight="true" outlineLevel="0" collapsed="false"/>
    <row r="62140" customFormat="false" ht="12.75" hidden="false" customHeight="true" outlineLevel="0" collapsed="false"/>
    <row r="62141" customFormat="false" ht="12.75" hidden="false" customHeight="true" outlineLevel="0" collapsed="false"/>
    <row r="62142" customFormat="false" ht="12.75" hidden="false" customHeight="true" outlineLevel="0" collapsed="false"/>
    <row r="62143" customFormat="false" ht="12.75" hidden="false" customHeight="true" outlineLevel="0" collapsed="false"/>
    <row r="62144" customFormat="false" ht="12.75" hidden="false" customHeight="true" outlineLevel="0" collapsed="false"/>
    <row r="62145" customFormat="false" ht="12.75" hidden="false" customHeight="true" outlineLevel="0" collapsed="false"/>
    <row r="62146" customFormat="false" ht="12.75" hidden="false" customHeight="true" outlineLevel="0" collapsed="false"/>
    <row r="62147" customFormat="false" ht="12.75" hidden="false" customHeight="true" outlineLevel="0" collapsed="false"/>
    <row r="62148" customFormat="false" ht="12.75" hidden="false" customHeight="true" outlineLevel="0" collapsed="false"/>
    <row r="62149" customFormat="false" ht="12.75" hidden="false" customHeight="true" outlineLevel="0" collapsed="false"/>
    <row r="62150" customFormat="false" ht="12.75" hidden="false" customHeight="true" outlineLevel="0" collapsed="false"/>
    <row r="62151" customFormat="false" ht="12.75" hidden="false" customHeight="true" outlineLevel="0" collapsed="false"/>
    <row r="62152" customFormat="false" ht="12.75" hidden="false" customHeight="true" outlineLevel="0" collapsed="false"/>
    <row r="62153" customFormat="false" ht="12.75" hidden="false" customHeight="true" outlineLevel="0" collapsed="false"/>
    <row r="62154" customFormat="false" ht="12.75" hidden="false" customHeight="true" outlineLevel="0" collapsed="false"/>
    <row r="62155" customFormat="false" ht="12.75" hidden="false" customHeight="true" outlineLevel="0" collapsed="false"/>
    <row r="62156" customFormat="false" ht="12.75" hidden="false" customHeight="true" outlineLevel="0" collapsed="false"/>
    <row r="62157" customFormat="false" ht="12.75" hidden="false" customHeight="true" outlineLevel="0" collapsed="false"/>
    <row r="62158" customFormat="false" ht="12.75" hidden="false" customHeight="true" outlineLevel="0" collapsed="false"/>
    <row r="62159" customFormat="false" ht="12.75" hidden="false" customHeight="true" outlineLevel="0" collapsed="false"/>
    <row r="62160" customFormat="false" ht="12.75" hidden="false" customHeight="true" outlineLevel="0" collapsed="false"/>
    <row r="62161" customFormat="false" ht="12.75" hidden="false" customHeight="true" outlineLevel="0" collapsed="false"/>
    <row r="62162" customFormat="false" ht="12.75" hidden="false" customHeight="true" outlineLevel="0" collapsed="false"/>
    <row r="62163" customFormat="false" ht="12.75" hidden="false" customHeight="true" outlineLevel="0" collapsed="false"/>
    <row r="62164" customFormat="false" ht="12.75" hidden="false" customHeight="true" outlineLevel="0" collapsed="false"/>
    <row r="62165" customFormat="false" ht="12.75" hidden="false" customHeight="true" outlineLevel="0" collapsed="false"/>
    <row r="62166" customFormat="false" ht="12.75" hidden="false" customHeight="true" outlineLevel="0" collapsed="false"/>
    <row r="62167" customFormat="false" ht="12.75" hidden="false" customHeight="true" outlineLevel="0" collapsed="false"/>
    <row r="62168" customFormat="false" ht="12.75" hidden="false" customHeight="true" outlineLevel="0" collapsed="false"/>
    <row r="62169" customFormat="false" ht="12.75" hidden="false" customHeight="true" outlineLevel="0" collapsed="false"/>
    <row r="62170" customFormat="false" ht="12.75" hidden="false" customHeight="true" outlineLevel="0" collapsed="false"/>
    <row r="62171" customFormat="false" ht="12.75" hidden="false" customHeight="true" outlineLevel="0" collapsed="false"/>
    <row r="62172" customFormat="false" ht="12.75" hidden="false" customHeight="true" outlineLevel="0" collapsed="false"/>
    <row r="62173" customFormat="false" ht="12.75" hidden="false" customHeight="true" outlineLevel="0" collapsed="false"/>
    <row r="62174" customFormat="false" ht="12.75" hidden="false" customHeight="true" outlineLevel="0" collapsed="false"/>
    <row r="62175" customFormat="false" ht="12.75" hidden="false" customHeight="true" outlineLevel="0" collapsed="false"/>
    <row r="62176" customFormat="false" ht="12.75" hidden="false" customHeight="true" outlineLevel="0" collapsed="false"/>
    <row r="62177" customFormat="false" ht="12.75" hidden="false" customHeight="true" outlineLevel="0" collapsed="false"/>
    <row r="62178" customFormat="false" ht="12.75" hidden="false" customHeight="true" outlineLevel="0" collapsed="false"/>
    <row r="62179" customFormat="false" ht="12.75" hidden="false" customHeight="true" outlineLevel="0" collapsed="false"/>
    <row r="62180" customFormat="false" ht="12.75" hidden="false" customHeight="true" outlineLevel="0" collapsed="false"/>
    <row r="62181" customFormat="false" ht="12.75" hidden="false" customHeight="true" outlineLevel="0" collapsed="false"/>
    <row r="62182" customFormat="false" ht="12.75" hidden="false" customHeight="true" outlineLevel="0" collapsed="false"/>
    <row r="62183" customFormat="false" ht="12.75" hidden="false" customHeight="true" outlineLevel="0" collapsed="false"/>
    <row r="62184" customFormat="false" ht="12.75" hidden="false" customHeight="true" outlineLevel="0" collapsed="false"/>
    <row r="62185" customFormat="false" ht="12.75" hidden="false" customHeight="true" outlineLevel="0" collapsed="false"/>
    <row r="62186" customFormat="false" ht="12.75" hidden="false" customHeight="true" outlineLevel="0" collapsed="false"/>
    <row r="62187" customFormat="false" ht="12.75" hidden="false" customHeight="true" outlineLevel="0" collapsed="false"/>
    <row r="62188" customFormat="false" ht="12.75" hidden="false" customHeight="true" outlineLevel="0" collapsed="false"/>
    <row r="62189" customFormat="false" ht="12.75" hidden="false" customHeight="true" outlineLevel="0" collapsed="false"/>
    <row r="62190" customFormat="false" ht="12.75" hidden="false" customHeight="true" outlineLevel="0" collapsed="false"/>
    <row r="62191" customFormat="false" ht="12.75" hidden="false" customHeight="true" outlineLevel="0" collapsed="false"/>
    <row r="62192" customFormat="false" ht="12.75" hidden="false" customHeight="true" outlineLevel="0" collapsed="false"/>
    <row r="62193" customFormat="false" ht="12.75" hidden="false" customHeight="true" outlineLevel="0" collapsed="false"/>
    <row r="62194" customFormat="false" ht="12.75" hidden="false" customHeight="true" outlineLevel="0" collapsed="false"/>
    <row r="62195" customFormat="false" ht="12.75" hidden="false" customHeight="true" outlineLevel="0" collapsed="false"/>
    <row r="62196" customFormat="false" ht="12.75" hidden="false" customHeight="true" outlineLevel="0" collapsed="false"/>
    <row r="62197" customFormat="false" ht="12.75" hidden="false" customHeight="true" outlineLevel="0" collapsed="false"/>
    <row r="62198" customFormat="false" ht="12.75" hidden="false" customHeight="true" outlineLevel="0" collapsed="false"/>
    <row r="62199" customFormat="false" ht="12.75" hidden="false" customHeight="true" outlineLevel="0" collapsed="false"/>
    <row r="62200" customFormat="false" ht="12.75" hidden="false" customHeight="true" outlineLevel="0" collapsed="false"/>
    <row r="62201" customFormat="false" ht="12.75" hidden="false" customHeight="true" outlineLevel="0" collapsed="false"/>
    <row r="62202" customFormat="false" ht="12.75" hidden="false" customHeight="true" outlineLevel="0" collapsed="false"/>
    <row r="62203" customFormat="false" ht="12.75" hidden="false" customHeight="true" outlineLevel="0" collapsed="false"/>
    <row r="62204" customFormat="false" ht="12.75" hidden="false" customHeight="true" outlineLevel="0" collapsed="false"/>
    <row r="62205" customFormat="false" ht="12.75" hidden="false" customHeight="true" outlineLevel="0" collapsed="false"/>
    <row r="62206" customFormat="false" ht="12.75" hidden="false" customHeight="true" outlineLevel="0" collapsed="false"/>
    <row r="62207" customFormat="false" ht="12.75" hidden="false" customHeight="true" outlineLevel="0" collapsed="false"/>
    <row r="62208" customFormat="false" ht="12.75" hidden="false" customHeight="true" outlineLevel="0" collapsed="false"/>
    <row r="62209" customFormat="false" ht="12.75" hidden="false" customHeight="true" outlineLevel="0" collapsed="false"/>
    <row r="62210" customFormat="false" ht="12.75" hidden="false" customHeight="true" outlineLevel="0" collapsed="false"/>
    <row r="62211" customFormat="false" ht="12.75" hidden="false" customHeight="true" outlineLevel="0" collapsed="false"/>
    <row r="62212" customFormat="false" ht="12.75" hidden="false" customHeight="true" outlineLevel="0" collapsed="false"/>
    <row r="62213" customFormat="false" ht="12.75" hidden="false" customHeight="true" outlineLevel="0" collapsed="false"/>
    <row r="62214" customFormat="false" ht="12.75" hidden="false" customHeight="true" outlineLevel="0" collapsed="false"/>
    <row r="62215" customFormat="false" ht="12.75" hidden="false" customHeight="true" outlineLevel="0" collapsed="false"/>
    <row r="62216" customFormat="false" ht="12.75" hidden="false" customHeight="true" outlineLevel="0" collapsed="false"/>
    <row r="62217" customFormat="false" ht="12.75" hidden="false" customHeight="true" outlineLevel="0" collapsed="false"/>
    <row r="62218" customFormat="false" ht="12.75" hidden="false" customHeight="true" outlineLevel="0" collapsed="false"/>
    <row r="62219" customFormat="false" ht="12.75" hidden="false" customHeight="true" outlineLevel="0" collapsed="false"/>
    <row r="62220" customFormat="false" ht="12.75" hidden="false" customHeight="true" outlineLevel="0" collapsed="false"/>
    <row r="62221" customFormat="false" ht="12.75" hidden="false" customHeight="true" outlineLevel="0" collapsed="false"/>
    <row r="62222" customFormat="false" ht="12.75" hidden="false" customHeight="true" outlineLevel="0" collapsed="false"/>
    <row r="62223" customFormat="false" ht="12.75" hidden="false" customHeight="true" outlineLevel="0" collapsed="false"/>
    <row r="62224" customFormat="false" ht="12.75" hidden="false" customHeight="true" outlineLevel="0" collapsed="false"/>
    <row r="62225" customFormat="false" ht="12.75" hidden="false" customHeight="true" outlineLevel="0" collapsed="false"/>
    <row r="62226" customFormat="false" ht="12.75" hidden="false" customHeight="true" outlineLevel="0" collapsed="false"/>
    <row r="62227" customFormat="false" ht="12.75" hidden="false" customHeight="true" outlineLevel="0" collapsed="false"/>
    <row r="62228" customFormat="false" ht="12.75" hidden="false" customHeight="true" outlineLevel="0" collapsed="false"/>
    <row r="62229" customFormat="false" ht="12.75" hidden="false" customHeight="true" outlineLevel="0" collapsed="false"/>
    <row r="62230" customFormat="false" ht="12.75" hidden="false" customHeight="true" outlineLevel="0" collapsed="false"/>
    <row r="62231" customFormat="false" ht="12.75" hidden="false" customHeight="true" outlineLevel="0" collapsed="false"/>
    <row r="62232" customFormat="false" ht="12.75" hidden="false" customHeight="true" outlineLevel="0" collapsed="false"/>
    <row r="62233" customFormat="false" ht="12.75" hidden="false" customHeight="true" outlineLevel="0" collapsed="false"/>
    <row r="62234" customFormat="false" ht="12.75" hidden="false" customHeight="true" outlineLevel="0" collapsed="false"/>
    <row r="62235" customFormat="false" ht="12.75" hidden="false" customHeight="true" outlineLevel="0" collapsed="false"/>
    <row r="62236" customFormat="false" ht="12.75" hidden="false" customHeight="true" outlineLevel="0" collapsed="false"/>
    <row r="62237" customFormat="false" ht="12.75" hidden="false" customHeight="true" outlineLevel="0" collapsed="false"/>
    <row r="62238" customFormat="false" ht="12.75" hidden="false" customHeight="true" outlineLevel="0" collapsed="false"/>
    <row r="62239" customFormat="false" ht="12.75" hidden="false" customHeight="true" outlineLevel="0" collapsed="false"/>
    <row r="62240" customFormat="false" ht="12.75" hidden="false" customHeight="true" outlineLevel="0" collapsed="false"/>
    <row r="62241" customFormat="false" ht="12.75" hidden="false" customHeight="true" outlineLevel="0" collapsed="false"/>
    <row r="62242" customFormat="false" ht="12.75" hidden="false" customHeight="true" outlineLevel="0" collapsed="false"/>
    <row r="62243" customFormat="false" ht="12.75" hidden="false" customHeight="true" outlineLevel="0" collapsed="false"/>
    <row r="62244" customFormat="false" ht="12.75" hidden="false" customHeight="true" outlineLevel="0" collapsed="false"/>
    <row r="62245" customFormat="false" ht="12.75" hidden="false" customHeight="true" outlineLevel="0" collapsed="false"/>
    <row r="62246" customFormat="false" ht="12.75" hidden="false" customHeight="true" outlineLevel="0" collapsed="false"/>
    <row r="62247" customFormat="false" ht="12.75" hidden="false" customHeight="true" outlineLevel="0" collapsed="false"/>
    <row r="62248" customFormat="false" ht="12.75" hidden="false" customHeight="true" outlineLevel="0" collapsed="false"/>
    <row r="62249" customFormat="false" ht="12.75" hidden="false" customHeight="true" outlineLevel="0" collapsed="false"/>
    <row r="62250" customFormat="false" ht="12.75" hidden="false" customHeight="true" outlineLevel="0" collapsed="false"/>
    <row r="62251" customFormat="false" ht="12.75" hidden="false" customHeight="true" outlineLevel="0" collapsed="false"/>
    <row r="62252" customFormat="false" ht="12.75" hidden="false" customHeight="true" outlineLevel="0" collapsed="false"/>
    <row r="62253" customFormat="false" ht="12.75" hidden="false" customHeight="true" outlineLevel="0" collapsed="false"/>
    <row r="62254" customFormat="false" ht="12.75" hidden="false" customHeight="true" outlineLevel="0" collapsed="false"/>
    <row r="62255" customFormat="false" ht="12.75" hidden="false" customHeight="true" outlineLevel="0" collapsed="false"/>
    <row r="62256" customFormat="false" ht="12.75" hidden="false" customHeight="true" outlineLevel="0" collapsed="false"/>
    <row r="62257" customFormat="false" ht="12.75" hidden="false" customHeight="true" outlineLevel="0" collapsed="false"/>
    <row r="62258" customFormat="false" ht="12.75" hidden="false" customHeight="true" outlineLevel="0" collapsed="false"/>
    <row r="62259" customFormat="false" ht="12.75" hidden="false" customHeight="true" outlineLevel="0" collapsed="false"/>
    <row r="62260" customFormat="false" ht="12.75" hidden="false" customHeight="true" outlineLevel="0" collapsed="false"/>
    <row r="62261" customFormat="false" ht="12.75" hidden="false" customHeight="true" outlineLevel="0" collapsed="false"/>
    <row r="62262" customFormat="false" ht="12.75" hidden="false" customHeight="true" outlineLevel="0" collapsed="false"/>
    <row r="62263" customFormat="false" ht="12.75" hidden="false" customHeight="true" outlineLevel="0" collapsed="false"/>
    <row r="62264" customFormat="false" ht="12.75" hidden="false" customHeight="true" outlineLevel="0" collapsed="false"/>
    <row r="62265" customFormat="false" ht="12.75" hidden="false" customHeight="true" outlineLevel="0" collapsed="false"/>
    <row r="62266" customFormat="false" ht="12.75" hidden="false" customHeight="true" outlineLevel="0" collapsed="false"/>
    <row r="62267" customFormat="false" ht="12.75" hidden="false" customHeight="true" outlineLevel="0" collapsed="false"/>
    <row r="62268" customFormat="false" ht="12.75" hidden="false" customHeight="true" outlineLevel="0" collapsed="false"/>
    <row r="62269" customFormat="false" ht="12.75" hidden="false" customHeight="true" outlineLevel="0" collapsed="false"/>
    <row r="62270" customFormat="false" ht="12.75" hidden="false" customHeight="true" outlineLevel="0" collapsed="false"/>
    <row r="62271" customFormat="false" ht="12.75" hidden="false" customHeight="true" outlineLevel="0" collapsed="false"/>
    <row r="62272" customFormat="false" ht="12.75" hidden="false" customHeight="true" outlineLevel="0" collapsed="false"/>
    <row r="62273" customFormat="false" ht="12.75" hidden="false" customHeight="true" outlineLevel="0" collapsed="false"/>
    <row r="62274" customFormat="false" ht="12.75" hidden="false" customHeight="true" outlineLevel="0" collapsed="false"/>
    <row r="62275" customFormat="false" ht="12.75" hidden="false" customHeight="true" outlineLevel="0" collapsed="false"/>
    <row r="62276" customFormat="false" ht="12.75" hidden="false" customHeight="true" outlineLevel="0" collapsed="false"/>
    <row r="62277" customFormat="false" ht="12.75" hidden="false" customHeight="true" outlineLevel="0" collapsed="false"/>
    <row r="62278" customFormat="false" ht="12.75" hidden="false" customHeight="true" outlineLevel="0" collapsed="false"/>
    <row r="62279" customFormat="false" ht="12.75" hidden="false" customHeight="true" outlineLevel="0" collapsed="false"/>
    <row r="62280" customFormat="false" ht="12.75" hidden="false" customHeight="true" outlineLevel="0" collapsed="false"/>
    <row r="62281" customFormat="false" ht="12.75" hidden="false" customHeight="true" outlineLevel="0" collapsed="false"/>
    <row r="62282" customFormat="false" ht="12.75" hidden="false" customHeight="true" outlineLevel="0" collapsed="false"/>
    <row r="62283" customFormat="false" ht="12.75" hidden="false" customHeight="true" outlineLevel="0" collapsed="false"/>
    <row r="62284" customFormat="false" ht="12.75" hidden="false" customHeight="true" outlineLevel="0" collapsed="false"/>
    <row r="62285" customFormat="false" ht="12.75" hidden="false" customHeight="true" outlineLevel="0" collapsed="false"/>
    <row r="62286" customFormat="false" ht="12.75" hidden="false" customHeight="true" outlineLevel="0" collapsed="false"/>
    <row r="62287" customFormat="false" ht="12.75" hidden="false" customHeight="true" outlineLevel="0" collapsed="false"/>
    <row r="62288" customFormat="false" ht="12.75" hidden="false" customHeight="true" outlineLevel="0" collapsed="false"/>
    <row r="62289" customFormat="false" ht="12.75" hidden="false" customHeight="true" outlineLevel="0" collapsed="false"/>
    <row r="62290" customFormat="false" ht="12.75" hidden="false" customHeight="true" outlineLevel="0" collapsed="false"/>
    <row r="62291" customFormat="false" ht="12.75" hidden="false" customHeight="true" outlineLevel="0" collapsed="false"/>
    <row r="62292" customFormat="false" ht="12.75" hidden="false" customHeight="true" outlineLevel="0" collapsed="false"/>
    <row r="62293" customFormat="false" ht="12.75" hidden="false" customHeight="true" outlineLevel="0" collapsed="false"/>
    <row r="62294" customFormat="false" ht="12.75" hidden="false" customHeight="true" outlineLevel="0" collapsed="false"/>
    <row r="62295" customFormat="false" ht="12.75" hidden="false" customHeight="true" outlineLevel="0" collapsed="false"/>
    <row r="62296" customFormat="false" ht="12.75" hidden="false" customHeight="true" outlineLevel="0" collapsed="false"/>
    <row r="62297" customFormat="false" ht="12.75" hidden="false" customHeight="true" outlineLevel="0" collapsed="false"/>
    <row r="62298" customFormat="false" ht="12.75" hidden="false" customHeight="true" outlineLevel="0" collapsed="false"/>
    <row r="62299" customFormat="false" ht="12.75" hidden="false" customHeight="true" outlineLevel="0" collapsed="false"/>
    <row r="62300" customFormat="false" ht="12.75" hidden="false" customHeight="true" outlineLevel="0" collapsed="false"/>
    <row r="62301" customFormat="false" ht="12.75" hidden="false" customHeight="true" outlineLevel="0" collapsed="false"/>
    <row r="62302" customFormat="false" ht="12.75" hidden="false" customHeight="true" outlineLevel="0" collapsed="false"/>
    <row r="62303" customFormat="false" ht="12.75" hidden="false" customHeight="true" outlineLevel="0" collapsed="false"/>
    <row r="62304" customFormat="false" ht="12.75" hidden="false" customHeight="true" outlineLevel="0" collapsed="false"/>
    <row r="62305" customFormat="false" ht="12.75" hidden="false" customHeight="true" outlineLevel="0" collapsed="false"/>
    <row r="62306" customFormat="false" ht="12.75" hidden="false" customHeight="true" outlineLevel="0" collapsed="false"/>
    <row r="62307" customFormat="false" ht="12.75" hidden="false" customHeight="true" outlineLevel="0" collapsed="false"/>
    <row r="62308" customFormat="false" ht="12.75" hidden="false" customHeight="true" outlineLevel="0" collapsed="false"/>
    <row r="62309" customFormat="false" ht="12.75" hidden="false" customHeight="true" outlineLevel="0" collapsed="false"/>
    <row r="62310" customFormat="false" ht="12.75" hidden="false" customHeight="true" outlineLevel="0" collapsed="false"/>
    <row r="62311" customFormat="false" ht="12.75" hidden="false" customHeight="true" outlineLevel="0" collapsed="false"/>
    <row r="62312" customFormat="false" ht="12.75" hidden="false" customHeight="true" outlineLevel="0" collapsed="false"/>
    <row r="62313" customFormat="false" ht="12.75" hidden="false" customHeight="true" outlineLevel="0" collapsed="false"/>
    <row r="62314" customFormat="false" ht="12.75" hidden="false" customHeight="true" outlineLevel="0" collapsed="false"/>
    <row r="62315" customFormat="false" ht="12.75" hidden="false" customHeight="true" outlineLevel="0" collapsed="false"/>
    <row r="62316" customFormat="false" ht="12.75" hidden="false" customHeight="true" outlineLevel="0" collapsed="false"/>
    <row r="62317" customFormat="false" ht="12.75" hidden="false" customHeight="true" outlineLevel="0" collapsed="false"/>
    <row r="62318" customFormat="false" ht="12.75" hidden="false" customHeight="true" outlineLevel="0" collapsed="false"/>
    <row r="62319" customFormat="false" ht="12.75" hidden="false" customHeight="true" outlineLevel="0" collapsed="false"/>
    <row r="62320" customFormat="false" ht="12.75" hidden="false" customHeight="true" outlineLevel="0" collapsed="false"/>
    <row r="62321" customFormat="false" ht="12.75" hidden="false" customHeight="true" outlineLevel="0" collapsed="false"/>
    <row r="62322" customFormat="false" ht="12.75" hidden="false" customHeight="true" outlineLevel="0" collapsed="false"/>
    <row r="62323" customFormat="false" ht="12.75" hidden="false" customHeight="true" outlineLevel="0" collapsed="false"/>
    <row r="62324" customFormat="false" ht="12.75" hidden="false" customHeight="true" outlineLevel="0" collapsed="false"/>
    <row r="62325" customFormat="false" ht="12.75" hidden="false" customHeight="true" outlineLevel="0" collapsed="false"/>
    <row r="62326" customFormat="false" ht="12.75" hidden="false" customHeight="true" outlineLevel="0" collapsed="false"/>
    <row r="62327" customFormat="false" ht="12.75" hidden="false" customHeight="true" outlineLevel="0" collapsed="false"/>
    <row r="62328" customFormat="false" ht="12.75" hidden="false" customHeight="true" outlineLevel="0" collapsed="false"/>
    <row r="62329" customFormat="false" ht="12.75" hidden="false" customHeight="true" outlineLevel="0" collapsed="false"/>
    <row r="62330" customFormat="false" ht="12.75" hidden="false" customHeight="true" outlineLevel="0" collapsed="false"/>
    <row r="62331" customFormat="false" ht="12.75" hidden="false" customHeight="true" outlineLevel="0" collapsed="false"/>
    <row r="62332" customFormat="false" ht="12.75" hidden="false" customHeight="true" outlineLevel="0" collapsed="false"/>
    <row r="62333" customFormat="false" ht="12.75" hidden="false" customHeight="true" outlineLevel="0" collapsed="false"/>
    <row r="62334" customFormat="false" ht="12.75" hidden="false" customHeight="true" outlineLevel="0" collapsed="false"/>
    <row r="62335" customFormat="false" ht="12.75" hidden="false" customHeight="true" outlineLevel="0" collapsed="false"/>
    <row r="62336" customFormat="false" ht="12.75" hidden="false" customHeight="true" outlineLevel="0" collapsed="false"/>
    <row r="62337" customFormat="false" ht="12.75" hidden="false" customHeight="true" outlineLevel="0" collapsed="false"/>
    <row r="62338" customFormat="false" ht="12.75" hidden="false" customHeight="true" outlineLevel="0" collapsed="false"/>
    <row r="62339" customFormat="false" ht="12.75" hidden="false" customHeight="true" outlineLevel="0" collapsed="false"/>
    <row r="62340" customFormat="false" ht="12.75" hidden="false" customHeight="true" outlineLevel="0" collapsed="false"/>
    <row r="62341" customFormat="false" ht="12.75" hidden="false" customHeight="true" outlineLevel="0" collapsed="false"/>
    <row r="62342" customFormat="false" ht="12.75" hidden="false" customHeight="true" outlineLevel="0" collapsed="false"/>
    <row r="62343" customFormat="false" ht="12.75" hidden="false" customHeight="true" outlineLevel="0" collapsed="false"/>
    <row r="62344" customFormat="false" ht="12.75" hidden="false" customHeight="true" outlineLevel="0" collapsed="false"/>
    <row r="62345" customFormat="false" ht="12.75" hidden="false" customHeight="true" outlineLevel="0" collapsed="false"/>
    <row r="62346" customFormat="false" ht="12.75" hidden="false" customHeight="true" outlineLevel="0" collapsed="false"/>
    <row r="62347" customFormat="false" ht="12.75" hidden="false" customHeight="true" outlineLevel="0" collapsed="false"/>
    <row r="62348" customFormat="false" ht="12.75" hidden="false" customHeight="true" outlineLevel="0" collapsed="false"/>
    <row r="62349" customFormat="false" ht="12.75" hidden="false" customHeight="true" outlineLevel="0" collapsed="false"/>
    <row r="62350" customFormat="false" ht="12.75" hidden="false" customHeight="true" outlineLevel="0" collapsed="false"/>
    <row r="62351" customFormat="false" ht="12.75" hidden="false" customHeight="true" outlineLevel="0" collapsed="false"/>
    <row r="62352" customFormat="false" ht="12.75" hidden="false" customHeight="true" outlineLevel="0" collapsed="false"/>
    <row r="62353" customFormat="false" ht="12.75" hidden="false" customHeight="true" outlineLevel="0" collapsed="false"/>
    <row r="62354" customFormat="false" ht="12.75" hidden="false" customHeight="true" outlineLevel="0" collapsed="false"/>
    <row r="62355" customFormat="false" ht="12.75" hidden="false" customHeight="true" outlineLevel="0" collapsed="false"/>
    <row r="62356" customFormat="false" ht="12.75" hidden="false" customHeight="true" outlineLevel="0" collapsed="false"/>
    <row r="62357" customFormat="false" ht="12.75" hidden="false" customHeight="true" outlineLevel="0" collapsed="false"/>
    <row r="62358" customFormat="false" ht="12.75" hidden="false" customHeight="true" outlineLevel="0" collapsed="false"/>
    <row r="62359" customFormat="false" ht="12.75" hidden="false" customHeight="true" outlineLevel="0" collapsed="false"/>
    <row r="62360" customFormat="false" ht="12.75" hidden="false" customHeight="true" outlineLevel="0" collapsed="false"/>
    <row r="62361" customFormat="false" ht="12.75" hidden="false" customHeight="true" outlineLevel="0" collapsed="false"/>
    <row r="62362" customFormat="false" ht="12.75" hidden="false" customHeight="true" outlineLevel="0" collapsed="false"/>
    <row r="62363" customFormat="false" ht="12.75" hidden="false" customHeight="true" outlineLevel="0" collapsed="false"/>
    <row r="62364" customFormat="false" ht="12.75" hidden="false" customHeight="true" outlineLevel="0" collapsed="false"/>
    <row r="62365" customFormat="false" ht="12.75" hidden="false" customHeight="true" outlineLevel="0" collapsed="false"/>
    <row r="62366" customFormat="false" ht="12.75" hidden="false" customHeight="true" outlineLevel="0" collapsed="false"/>
    <row r="62367" customFormat="false" ht="12.75" hidden="false" customHeight="true" outlineLevel="0" collapsed="false"/>
    <row r="62368" customFormat="false" ht="12.75" hidden="false" customHeight="true" outlineLevel="0" collapsed="false"/>
    <row r="62369" customFormat="false" ht="12.75" hidden="false" customHeight="true" outlineLevel="0" collapsed="false"/>
    <row r="62370" customFormat="false" ht="12.75" hidden="false" customHeight="true" outlineLevel="0" collapsed="false"/>
    <row r="62371" customFormat="false" ht="12.75" hidden="false" customHeight="true" outlineLevel="0" collapsed="false"/>
    <row r="62372" customFormat="false" ht="12.75" hidden="false" customHeight="true" outlineLevel="0" collapsed="false"/>
    <row r="62373" customFormat="false" ht="12.75" hidden="false" customHeight="true" outlineLevel="0" collapsed="false"/>
    <row r="62374" customFormat="false" ht="12.75" hidden="false" customHeight="true" outlineLevel="0" collapsed="false"/>
    <row r="62375" customFormat="false" ht="12.75" hidden="false" customHeight="true" outlineLevel="0" collapsed="false"/>
    <row r="62376" customFormat="false" ht="12.75" hidden="false" customHeight="true" outlineLevel="0" collapsed="false"/>
    <row r="62377" customFormat="false" ht="12.75" hidden="false" customHeight="true" outlineLevel="0" collapsed="false"/>
    <row r="62378" customFormat="false" ht="12.75" hidden="false" customHeight="true" outlineLevel="0" collapsed="false"/>
    <row r="62379" customFormat="false" ht="12.75" hidden="false" customHeight="true" outlineLevel="0" collapsed="false"/>
    <row r="62380" customFormat="false" ht="12.75" hidden="false" customHeight="true" outlineLevel="0" collapsed="false"/>
    <row r="62381" customFormat="false" ht="12.75" hidden="false" customHeight="true" outlineLevel="0" collapsed="false"/>
    <row r="62382" customFormat="false" ht="12.75" hidden="false" customHeight="true" outlineLevel="0" collapsed="false"/>
    <row r="62383" customFormat="false" ht="12.75" hidden="false" customHeight="true" outlineLevel="0" collapsed="false"/>
    <row r="62384" customFormat="false" ht="12.75" hidden="false" customHeight="true" outlineLevel="0" collapsed="false"/>
    <row r="62385" customFormat="false" ht="12.75" hidden="false" customHeight="true" outlineLevel="0" collapsed="false"/>
    <row r="62386" customFormat="false" ht="12.75" hidden="false" customHeight="true" outlineLevel="0" collapsed="false"/>
    <row r="62387" customFormat="false" ht="12.75" hidden="false" customHeight="true" outlineLevel="0" collapsed="false"/>
    <row r="62388" customFormat="false" ht="12.75" hidden="false" customHeight="true" outlineLevel="0" collapsed="false"/>
    <row r="62389" customFormat="false" ht="12.75" hidden="false" customHeight="true" outlineLevel="0" collapsed="false"/>
    <row r="62390" customFormat="false" ht="12.75" hidden="false" customHeight="true" outlineLevel="0" collapsed="false"/>
    <row r="62391" customFormat="false" ht="12.75" hidden="false" customHeight="true" outlineLevel="0" collapsed="false"/>
    <row r="62392" customFormat="false" ht="12.75" hidden="false" customHeight="true" outlineLevel="0" collapsed="false"/>
    <row r="62393" customFormat="false" ht="12.75" hidden="false" customHeight="true" outlineLevel="0" collapsed="false"/>
    <row r="62394" customFormat="false" ht="12.75" hidden="false" customHeight="true" outlineLevel="0" collapsed="false"/>
    <row r="62395" customFormat="false" ht="12.75" hidden="false" customHeight="true" outlineLevel="0" collapsed="false"/>
    <row r="62396" customFormat="false" ht="12.75" hidden="false" customHeight="true" outlineLevel="0" collapsed="false"/>
    <row r="62397" customFormat="false" ht="12.75" hidden="false" customHeight="true" outlineLevel="0" collapsed="false"/>
    <row r="62398" customFormat="false" ht="12.75" hidden="false" customHeight="true" outlineLevel="0" collapsed="false"/>
    <row r="62399" customFormat="false" ht="12.75" hidden="false" customHeight="true" outlineLevel="0" collapsed="false"/>
    <row r="62400" customFormat="false" ht="12.75" hidden="false" customHeight="true" outlineLevel="0" collapsed="false"/>
    <row r="62401" customFormat="false" ht="12.75" hidden="false" customHeight="true" outlineLevel="0" collapsed="false"/>
    <row r="62402" customFormat="false" ht="12.75" hidden="false" customHeight="true" outlineLevel="0" collapsed="false"/>
    <row r="62403" customFormat="false" ht="12.75" hidden="false" customHeight="true" outlineLevel="0" collapsed="false"/>
    <row r="62404" customFormat="false" ht="12.75" hidden="false" customHeight="true" outlineLevel="0" collapsed="false"/>
    <row r="62405" customFormat="false" ht="12.75" hidden="false" customHeight="true" outlineLevel="0" collapsed="false"/>
    <row r="62406" customFormat="false" ht="12.75" hidden="false" customHeight="true" outlineLevel="0" collapsed="false"/>
    <row r="62407" customFormat="false" ht="12.75" hidden="false" customHeight="true" outlineLevel="0" collapsed="false"/>
    <row r="62408" customFormat="false" ht="12.75" hidden="false" customHeight="true" outlineLevel="0" collapsed="false"/>
    <row r="62409" customFormat="false" ht="12.75" hidden="false" customHeight="true" outlineLevel="0" collapsed="false"/>
    <row r="62410" customFormat="false" ht="12.75" hidden="false" customHeight="true" outlineLevel="0" collapsed="false"/>
    <row r="62411" customFormat="false" ht="12.75" hidden="false" customHeight="true" outlineLevel="0" collapsed="false"/>
    <row r="62412" customFormat="false" ht="12.75" hidden="false" customHeight="true" outlineLevel="0" collapsed="false"/>
    <row r="62413" customFormat="false" ht="12.75" hidden="false" customHeight="true" outlineLevel="0" collapsed="false"/>
    <row r="62414" customFormat="false" ht="12.75" hidden="false" customHeight="true" outlineLevel="0" collapsed="false"/>
    <row r="62415" customFormat="false" ht="12.75" hidden="false" customHeight="true" outlineLevel="0" collapsed="false"/>
    <row r="62416" customFormat="false" ht="12.75" hidden="false" customHeight="true" outlineLevel="0" collapsed="false"/>
    <row r="62417" customFormat="false" ht="12.75" hidden="false" customHeight="true" outlineLevel="0" collapsed="false"/>
    <row r="62418" customFormat="false" ht="12.75" hidden="false" customHeight="true" outlineLevel="0" collapsed="false"/>
    <row r="62419" customFormat="false" ht="12.75" hidden="false" customHeight="true" outlineLevel="0" collapsed="false"/>
    <row r="62420" customFormat="false" ht="12.75" hidden="false" customHeight="true" outlineLevel="0" collapsed="false"/>
    <row r="62421" customFormat="false" ht="12.75" hidden="false" customHeight="true" outlineLevel="0" collapsed="false"/>
    <row r="62422" customFormat="false" ht="12.75" hidden="false" customHeight="true" outlineLevel="0" collapsed="false"/>
    <row r="62423" customFormat="false" ht="12.75" hidden="false" customHeight="true" outlineLevel="0" collapsed="false"/>
    <row r="62424" customFormat="false" ht="12.75" hidden="false" customHeight="true" outlineLevel="0" collapsed="false"/>
    <row r="62425" customFormat="false" ht="12.75" hidden="false" customHeight="true" outlineLevel="0" collapsed="false"/>
    <row r="62426" customFormat="false" ht="12.75" hidden="false" customHeight="true" outlineLevel="0" collapsed="false"/>
    <row r="62427" customFormat="false" ht="12.75" hidden="false" customHeight="true" outlineLevel="0" collapsed="false"/>
    <row r="62428" customFormat="false" ht="12.75" hidden="false" customHeight="true" outlineLevel="0" collapsed="false"/>
    <row r="62429" customFormat="false" ht="12.75" hidden="false" customHeight="true" outlineLevel="0" collapsed="false"/>
    <row r="62430" customFormat="false" ht="12.75" hidden="false" customHeight="true" outlineLevel="0" collapsed="false"/>
    <row r="62431" customFormat="false" ht="12.75" hidden="false" customHeight="true" outlineLevel="0" collapsed="false"/>
    <row r="62432" customFormat="false" ht="12.75" hidden="false" customHeight="true" outlineLevel="0" collapsed="false"/>
    <row r="62433" customFormat="false" ht="12.75" hidden="false" customHeight="true" outlineLevel="0" collapsed="false"/>
    <row r="62434" customFormat="false" ht="12.75" hidden="false" customHeight="true" outlineLevel="0" collapsed="false"/>
    <row r="62435" customFormat="false" ht="12.75" hidden="false" customHeight="true" outlineLevel="0" collapsed="false"/>
    <row r="62436" customFormat="false" ht="12.75" hidden="false" customHeight="true" outlineLevel="0" collapsed="false"/>
    <row r="62437" customFormat="false" ht="12.75" hidden="false" customHeight="true" outlineLevel="0" collapsed="false"/>
    <row r="62438" customFormat="false" ht="12.75" hidden="false" customHeight="true" outlineLevel="0" collapsed="false"/>
    <row r="62439" customFormat="false" ht="12.75" hidden="false" customHeight="true" outlineLevel="0" collapsed="false"/>
    <row r="62440" customFormat="false" ht="12.75" hidden="false" customHeight="true" outlineLevel="0" collapsed="false"/>
    <row r="62441" customFormat="false" ht="12.75" hidden="false" customHeight="true" outlineLevel="0" collapsed="false"/>
    <row r="62442" customFormat="false" ht="12.75" hidden="false" customHeight="true" outlineLevel="0" collapsed="false"/>
    <row r="62443" customFormat="false" ht="12.75" hidden="false" customHeight="true" outlineLevel="0" collapsed="false"/>
    <row r="62444" customFormat="false" ht="12.75" hidden="false" customHeight="true" outlineLevel="0" collapsed="false"/>
    <row r="62445" customFormat="false" ht="12.75" hidden="false" customHeight="true" outlineLevel="0" collapsed="false"/>
    <row r="62446" customFormat="false" ht="12.75" hidden="false" customHeight="true" outlineLevel="0" collapsed="false"/>
    <row r="62447" customFormat="false" ht="12.75" hidden="false" customHeight="true" outlineLevel="0" collapsed="false"/>
    <row r="62448" customFormat="false" ht="12.75" hidden="false" customHeight="true" outlineLevel="0" collapsed="false"/>
    <row r="62449" customFormat="false" ht="12.75" hidden="false" customHeight="true" outlineLevel="0" collapsed="false"/>
    <row r="62450" customFormat="false" ht="12.75" hidden="false" customHeight="true" outlineLevel="0" collapsed="false"/>
    <row r="62451" customFormat="false" ht="12.75" hidden="false" customHeight="true" outlineLevel="0" collapsed="false"/>
    <row r="62452" customFormat="false" ht="12.75" hidden="false" customHeight="true" outlineLevel="0" collapsed="false"/>
    <row r="62453" customFormat="false" ht="12.75" hidden="false" customHeight="true" outlineLevel="0" collapsed="false"/>
    <row r="62454" customFormat="false" ht="12.75" hidden="false" customHeight="true" outlineLevel="0" collapsed="false"/>
    <row r="62455" customFormat="false" ht="12.75" hidden="false" customHeight="true" outlineLevel="0" collapsed="false"/>
    <row r="62456" customFormat="false" ht="12.75" hidden="false" customHeight="true" outlineLevel="0" collapsed="false"/>
    <row r="62457" customFormat="false" ht="12.75" hidden="false" customHeight="true" outlineLevel="0" collapsed="false"/>
    <row r="62458" customFormat="false" ht="12.75" hidden="false" customHeight="true" outlineLevel="0" collapsed="false"/>
    <row r="62459" customFormat="false" ht="12.75" hidden="false" customHeight="true" outlineLevel="0" collapsed="false"/>
    <row r="62460" customFormat="false" ht="12.75" hidden="false" customHeight="true" outlineLevel="0" collapsed="false"/>
    <row r="62461" customFormat="false" ht="12.75" hidden="false" customHeight="true" outlineLevel="0" collapsed="false"/>
    <row r="62462" customFormat="false" ht="12.75" hidden="false" customHeight="true" outlineLevel="0" collapsed="false"/>
    <row r="62463" customFormat="false" ht="12.75" hidden="false" customHeight="true" outlineLevel="0" collapsed="false"/>
    <row r="62464" customFormat="false" ht="12.75" hidden="false" customHeight="true" outlineLevel="0" collapsed="false"/>
    <row r="62465" customFormat="false" ht="12.75" hidden="false" customHeight="true" outlineLevel="0" collapsed="false"/>
    <row r="62466" customFormat="false" ht="12.75" hidden="false" customHeight="true" outlineLevel="0" collapsed="false"/>
    <row r="62467" customFormat="false" ht="12.75" hidden="false" customHeight="true" outlineLevel="0" collapsed="false"/>
    <row r="62468" customFormat="false" ht="12.75" hidden="false" customHeight="true" outlineLevel="0" collapsed="false"/>
    <row r="62469" customFormat="false" ht="12.75" hidden="false" customHeight="true" outlineLevel="0" collapsed="false"/>
    <row r="62470" customFormat="false" ht="12.75" hidden="false" customHeight="true" outlineLevel="0" collapsed="false"/>
    <row r="62471" customFormat="false" ht="12.75" hidden="false" customHeight="true" outlineLevel="0" collapsed="false"/>
    <row r="62472" customFormat="false" ht="12.75" hidden="false" customHeight="true" outlineLevel="0" collapsed="false"/>
    <row r="62473" customFormat="false" ht="12.75" hidden="false" customHeight="true" outlineLevel="0" collapsed="false"/>
    <row r="62474" customFormat="false" ht="12.75" hidden="false" customHeight="true" outlineLevel="0" collapsed="false"/>
    <row r="62475" customFormat="false" ht="12.75" hidden="false" customHeight="true" outlineLevel="0" collapsed="false"/>
    <row r="62476" customFormat="false" ht="12.75" hidden="false" customHeight="true" outlineLevel="0" collapsed="false"/>
    <row r="62477" customFormat="false" ht="12.75" hidden="false" customHeight="true" outlineLevel="0" collapsed="false"/>
    <row r="62478" customFormat="false" ht="12.75" hidden="false" customHeight="true" outlineLevel="0" collapsed="false"/>
    <row r="62479" customFormat="false" ht="12.75" hidden="false" customHeight="true" outlineLevel="0" collapsed="false"/>
    <row r="62480" customFormat="false" ht="12.75" hidden="false" customHeight="true" outlineLevel="0" collapsed="false"/>
    <row r="62481" customFormat="false" ht="12.75" hidden="false" customHeight="true" outlineLevel="0" collapsed="false"/>
    <row r="62482" customFormat="false" ht="12.75" hidden="false" customHeight="true" outlineLevel="0" collapsed="false"/>
    <row r="62483" customFormat="false" ht="12.75" hidden="false" customHeight="true" outlineLevel="0" collapsed="false"/>
    <row r="62484" customFormat="false" ht="12.75" hidden="false" customHeight="true" outlineLevel="0" collapsed="false"/>
    <row r="62485" customFormat="false" ht="12.75" hidden="false" customHeight="true" outlineLevel="0" collapsed="false"/>
    <row r="62486" customFormat="false" ht="12.75" hidden="false" customHeight="true" outlineLevel="0" collapsed="false"/>
    <row r="62487" customFormat="false" ht="12.75" hidden="false" customHeight="true" outlineLevel="0" collapsed="false"/>
    <row r="62488" customFormat="false" ht="12.75" hidden="false" customHeight="true" outlineLevel="0" collapsed="false"/>
    <row r="62489" customFormat="false" ht="12.75" hidden="false" customHeight="true" outlineLevel="0" collapsed="false"/>
    <row r="62490" customFormat="false" ht="12.75" hidden="false" customHeight="true" outlineLevel="0" collapsed="false"/>
    <row r="62491" customFormat="false" ht="12.75" hidden="false" customHeight="true" outlineLevel="0" collapsed="false"/>
    <row r="62492" customFormat="false" ht="12.75" hidden="false" customHeight="true" outlineLevel="0" collapsed="false"/>
    <row r="62493" customFormat="false" ht="12.75" hidden="false" customHeight="true" outlineLevel="0" collapsed="false"/>
    <row r="62494" customFormat="false" ht="12.75" hidden="false" customHeight="true" outlineLevel="0" collapsed="false"/>
    <row r="62495" customFormat="false" ht="12.75" hidden="false" customHeight="true" outlineLevel="0" collapsed="false"/>
    <row r="62496" customFormat="false" ht="12.75" hidden="false" customHeight="true" outlineLevel="0" collapsed="false"/>
    <row r="62497" customFormat="false" ht="12.75" hidden="false" customHeight="true" outlineLevel="0" collapsed="false"/>
    <row r="62498" customFormat="false" ht="12.75" hidden="false" customHeight="true" outlineLevel="0" collapsed="false"/>
    <row r="62499" customFormat="false" ht="12.75" hidden="false" customHeight="true" outlineLevel="0" collapsed="false"/>
    <row r="62500" customFormat="false" ht="12.75" hidden="false" customHeight="true" outlineLevel="0" collapsed="false"/>
    <row r="62501" customFormat="false" ht="12.75" hidden="false" customHeight="true" outlineLevel="0" collapsed="false"/>
    <row r="62502" customFormat="false" ht="12.75" hidden="false" customHeight="true" outlineLevel="0" collapsed="false"/>
    <row r="62503" customFormat="false" ht="12.75" hidden="false" customHeight="true" outlineLevel="0" collapsed="false"/>
    <row r="62504" customFormat="false" ht="12.75" hidden="false" customHeight="true" outlineLevel="0" collapsed="false"/>
    <row r="62505" customFormat="false" ht="12.75" hidden="false" customHeight="true" outlineLevel="0" collapsed="false"/>
    <row r="62506" customFormat="false" ht="12.75" hidden="false" customHeight="true" outlineLevel="0" collapsed="false"/>
    <row r="62507" customFormat="false" ht="12.75" hidden="false" customHeight="true" outlineLevel="0" collapsed="false"/>
    <row r="62508" customFormat="false" ht="12.75" hidden="false" customHeight="true" outlineLevel="0" collapsed="false"/>
    <row r="62509" customFormat="false" ht="12.75" hidden="false" customHeight="true" outlineLevel="0" collapsed="false"/>
    <row r="62510" customFormat="false" ht="12.75" hidden="false" customHeight="true" outlineLevel="0" collapsed="false"/>
    <row r="62511" customFormat="false" ht="12.75" hidden="false" customHeight="true" outlineLevel="0" collapsed="false"/>
    <row r="62512" customFormat="false" ht="12.75" hidden="false" customHeight="true" outlineLevel="0" collapsed="false"/>
    <row r="62513" customFormat="false" ht="12.75" hidden="false" customHeight="true" outlineLevel="0" collapsed="false"/>
    <row r="62514" customFormat="false" ht="12.75" hidden="false" customHeight="true" outlineLevel="0" collapsed="false"/>
    <row r="62515" customFormat="false" ht="12.75" hidden="false" customHeight="true" outlineLevel="0" collapsed="false"/>
    <row r="62516" customFormat="false" ht="12.75" hidden="false" customHeight="true" outlineLevel="0" collapsed="false"/>
    <row r="62517" customFormat="false" ht="12.75" hidden="false" customHeight="true" outlineLevel="0" collapsed="false"/>
    <row r="62518" customFormat="false" ht="12.75" hidden="false" customHeight="true" outlineLevel="0" collapsed="false"/>
    <row r="62519" customFormat="false" ht="12.75" hidden="false" customHeight="true" outlineLevel="0" collapsed="false"/>
    <row r="62520" customFormat="false" ht="12.75" hidden="false" customHeight="true" outlineLevel="0" collapsed="false"/>
    <row r="62521" customFormat="false" ht="12.75" hidden="false" customHeight="true" outlineLevel="0" collapsed="false"/>
    <row r="62522" customFormat="false" ht="12.75" hidden="false" customHeight="true" outlineLevel="0" collapsed="false"/>
    <row r="62523" customFormat="false" ht="12.75" hidden="false" customHeight="true" outlineLevel="0" collapsed="false"/>
    <row r="62524" customFormat="false" ht="12.75" hidden="false" customHeight="true" outlineLevel="0" collapsed="false"/>
    <row r="62525" customFormat="false" ht="12.75" hidden="false" customHeight="true" outlineLevel="0" collapsed="false"/>
    <row r="62526" customFormat="false" ht="12.75" hidden="false" customHeight="true" outlineLevel="0" collapsed="false"/>
    <row r="62527" customFormat="false" ht="12.75" hidden="false" customHeight="true" outlineLevel="0" collapsed="false"/>
    <row r="62528" customFormat="false" ht="12.75" hidden="false" customHeight="true" outlineLevel="0" collapsed="false"/>
    <row r="62529" customFormat="false" ht="12.75" hidden="false" customHeight="true" outlineLevel="0" collapsed="false"/>
    <row r="62530" customFormat="false" ht="12.75" hidden="false" customHeight="true" outlineLevel="0" collapsed="false"/>
    <row r="62531" customFormat="false" ht="12.75" hidden="false" customHeight="true" outlineLevel="0" collapsed="false"/>
    <row r="62532" customFormat="false" ht="12.75" hidden="false" customHeight="true" outlineLevel="0" collapsed="false"/>
    <row r="62533" customFormat="false" ht="12.75" hidden="false" customHeight="true" outlineLevel="0" collapsed="false"/>
    <row r="62534" customFormat="false" ht="12.75" hidden="false" customHeight="true" outlineLevel="0" collapsed="false"/>
    <row r="62535" customFormat="false" ht="12.75" hidden="false" customHeight="true" outlineLevel="0" collapsed="false"/>
    <row r="62536" customFormat="false" ht="12.75" hidden="false" customHeight="true" outlineLevel="0" collapsed="false"/>
    <row r="62537" customFormat="false" ht="12.75" hidden="false" customHeight="true" outlineLevel="0" collapsed="false"/>
    <row r="62538" customFormat="false" ht="12.75" hidden="false" customHeight="true" outlineLevel="0" collapsed="false"/>
    <row r="62539" customFormat="false" ht="12.75" hidden="false" customHeight="true" outlineLevel="0" collapsed="false"/>
    <row r="62540" customFormat="false" ht="12.75" hidden="false" customHeight="true" outlineLevel="0" collapsed="false"/>
    <row r="62541" customFormat="false" ht="12.75" hidden="false" customHeight="true" outlineLevel="0" collapsed="false"/>
    <row r="62542" customFormat="false" ht="12.75" hidden="false" customHeight="true" outlineLevel="0" collapsed="false"/>
    <row r="62543" customFormat="false" ht="12.75" hidden="false" customHeight="true" outlineLevel="0" collapsed="false"/>
    <row r="62544" customFormat="false" ht="12.75" hidden="false" customHeight="true" outlineLevel="0" collapsed="false"/>
    <row r="62545" customFormat="false" ht="12.75" hidden="false" customHeight="true" outlineLevel="0" collapsed="false"/>
    <row r="62546" customFormat="false" ht="12.75" hidden="false" customHeight="true" outlineLevel="0" collapsed="false"/>
    <row r="62547" customFormat="false" ht="12.75" hidden="false" customHeight="true" outlineLevel="0" collapsed="false"/>
    <row r="62548" customFormat="false" ht="12.75" hidden="false" customHeight="true" outlineLevel="0" collapsed="false"/>
    <row r="62549" customFormat="false" ht="12.75" hidden="false" customHeight="true" outlineLevel="0" collapsed="false"/>
    <row r="62550" customFormat="false" ht="12.75" hidden="false" customHeight="true" outlineLevel="0" collapsed="false"/>
    <row r="62551" customFormat="false" ht="12.75" hidden="false" customHeight="true" outlineLevel="0" collapsed="false"/>
    <row r="62552" customFormat="false" ht="12.75" hidden="false" customHeight="true" outlineLevel="0" collapsed="false"/>
    <row r="62553" customFormat="false" ht="12.75" hidden="false" customHeight="true" outlineLevel="0" collapsed="false"/>
    <row r="62554" customFormat="false" ht="12.75" hidden="false" customHeight="true" outlineLevel="0" collapsed="false"/>
    <row r="62555" customFormat="false" ht="12.75" hidden="false" customHeight="true" outlineLevel="0" collapsed="false"/>
    <row r="62556" customFormat="false" ht="12.75" hidden="false" customHeight="true" outlineLevel="0" collapsed="false"/>
    <row r="62557" customFormat="false" ht="12.75" hidden="false" customHeight="true" outlineLevel="0" collapsed="false"/>
    <row r="62558" customFormat="false" ht="12.75" hidden="false" customHeight="true" outlineLevel="0" collapsed="false"/>
    <row r="62559" customFormat="false" ht="12.75" hidden="false" customHeight="true" outlineLevel="0" collapsed="false"/>
    <row r="62560" customFormat="false" ht="12.75" hidden="false" customHeight="true" outlineLevel="0" collapsed="false"/>
    <row r="62561" customFormat="false" ht="12.75" hidden="false" customHeight="true" outlineLevel="0" collapsed="false"/>
    <row r="62562" customFormat="false" ht="12.75" hidden="false" customHeight="true" outlineLevel="0" collapsed="false"/>
    <row r="62563" customFormat="false" ht="12.75" hidden="false" customHeight="true" outlineLevel="0" collapsed="false"/>
    <row r="62564" customFormat="false" ht="12.75" hidden="false" customHeight="true" outlineLevel="0" collapsed="false"/>
    <row r="62565" customFormat="false" ht="12.75" hidden="false" customHeight="true" outlineLevel="0" collapsed="false"/>
    <row r="62566" customFormat="false" ht="12.75" hidden="false" customHeight="true" outlineLevel="0" collapsed="false"/>
    <row r="62567" customFormat="false" ht="12.75" hidden="false" customHeight="true" outlineLevel="0" collapsed="false"/>
    <row r="62568" customFormat="false" ht="12.75" hidden="false" customHeight="true" outlineLevel="0" collapsed="false"/>
    <row r="62569" customFormat="false" ht="12.75" hidden="false" customHeight="true" outlineLevel="0" collapsed="false"/>
    <row r="62570" customFormat="false" ht="12.75" hidden="false" customHeight="true" outlineLevel="0" collapsed="false"/>
    <row r="62571" customFormat="false" ht="12.75" hidden="false" customHeight="true" outlineLevel="0" collapsed="false"/>
    <row r="62572" customFormat="false" ht="12.75" hidden="false" customHeight="true" outlineLevel="0" collapsed="false"/>
    <row r="62573" customFormat="false" ht="12.75" hidden="false" customHeight="true" outlineLevel="0" collapsed="false"/>
    <row r="62574" customFormat="false" ht="12.75" hidden="false" customHeight="true" outlineLevel="0" collapsed="false"/>
    <row r="62575" customFormat="false" ht="12.75" hidden="false" customHeight="true" outlineLevel="0" collapsed="false"/>
    <row r="62576" customFormat="false" ht="12.75" hidden="false" customHeight="true" outlineLevel="0" collapsed="false"/>
    <row r="62577" customFormat="false" ht="12.75" hidden="false" customHeight="true" outlineLevel="0" collapsed="false"/>
    <row r="62578" customFormat="false" ht="12.75" hidden="false" customHeight="true" outlineLevel="0" collapsed="false"/>
    <row r="62579" customFormat="false" ht="12.75" hidden="false" customHeight="true" outlineLevel="0" collapsed="false"/>
    <row r="62580" customFormat="false" ht="12.75" hidden="false" customHeight="true" outlineLevel="0" collapsed="false"/>
    <row r="62581" customFormat="false" ht="12.75" hidden="false" customHeight="true" outlineLevel="0" collapsed="false"/>
    <row r="62582" customFormat="false" ht="12.75" hidden="false" customHeight="true" outlineLevel="0" collapsed="false"/>
    <row r="62583" customFormat="false" ht="12.75" hidden="false" customHeight="true" outlineLevel="0" collapsed="false"/>
    <row r="62584" customFormat="false" ht="12.75" hidden="false" customHeight="true" outlineLevel="0" collapsed="false"/>
    <row r="62585" customFormat="false" ht="12.75" hidden="false" customHeight="true" outlineLevel="0" collapsed="false"/>
    <row r="62586" customFormat="false" ht="12.75" hidden="false" customHeight="true" outlineLevel="0" collapsed="false"/>
    <row r="62587" customFormat="false" ht="12.75" hidden="false" customHeight="true" outlineLevel="0" collapsed="false"/>
    <row r="62588" customFormat="false" ht="12.75" hidden="false" customHeight="true" outlineLevel="0" collapsed="false"/>
    <row r="62589" customFormat="false" ht="12.75" hidden="false" customHeight="true" outlineLevel="0" collapsed="false"/>
    <row r="62590" customFormat="false" ht="12.75" hidden="false" customHeight="true" outlineLevel="0" collapsed="false"/>
    <row r="62591" customFormat="false" ht="12.75" hidden="false" customHeight="true" outlineLevel="0" collapsed="false"/>
    <row r="62592" customFormat="false" ht="12.75" hidden="false" customHeight="true" outlineLevel="0" collapsed="false"/>
    <row r="62593" customFormat="false" ht="12.75" hidden="false" customHeight="true" outlineLevel="0" collapsed="false"/>
    <row r="62594" customFormat="false" ht="12.75" hidden="false" customHeight="true" outlineLevel="0" collapsed="false"/>
    <row r="62595" customFormat="false" ht="12.75" hidden="false" customHeight="true" outlineLevel="0" collapsed="false"/>
    <row r="62596" customFormat="false" ht="12.75" hidden="false" customHeight="true" outlineLevel="0" collapsed="false"/>
    <row r="62597" customFormat="false" ht="12.75" hidden="false" customHeight="true" outlineLevel="0" collapsed="false"/>
    <row r="62598" customFormat="false" ht="12.75" hidden="false" customHeight="true" outlineLevel="0" collapsed="false"/>
    <row r="62599" customFormat="false" ht="12.75" hidden="false" customHeight="true" outlineLevel="0" collapsed="false"/>
    <row r="62600" customFormat="false" ht="12.75" hidden="false" customHeight="true" outlineLevel="0" collapsed="false"/>
    <row r="62601" customFormat="false" ht="12.75" hidden="false" customHeight="true" outlineLevel="0" collapsed="false"/>
    <row r="62602" customFormat="false" ht="12.75" hidden="false" customHeight="true" outlineLevel="0" collapsed="false"/>
    <row r="62603" customFormat="false" ht="12.75" hidden="false" customHeight="true" outlineLevel="0" collapsed="false"/>
    <row r="62604" customFormat="false" ht="12.75" hidden="false" customHeight="true" outlineLevel="0" collapsed="false"/>
    <row r="62605" customFormat="false" ht="12.75" hidden="false" customHeight="true" outlineLevel="0" collapsed="false"/>
    <row r="62606" customFormat="false" ht="12.75" hidden="false" customHeight="true" outlineLevel="0" collapsed="false"/>
    <row r="62607" customFormat="false" ht="12.75" hidden="false" customHeight="true" outlineLevel="0" collapsed="false"/>
    <row r="62608" customFormat="false" ht="12.75" hidden="false" customHeight="true" outlineLevel="0" collapsed="false"/>
    <row r="62609" customFormat="false" ht="12.75" hidden="false" customHeight="true" outlineLevel="0" collapsed="false"/>
    <row r="62610" customFormat="false" ht="12.75" hidden="false" customHeight="true" outlineLevel="0" collapsed="false"/>
    <row r="62611" customFormat="false" ht="12.75" hidden="false" customHeight="true" outlineLevel="0" collapsed="false"/>
    <row r="62612" customFormat="false" ht="12.75" hidden="false" customHeight="true" outlineLevel="0" collapsed="false"/>
    <row r="62613" customFormat="false" ht="12.75" hidden="false" customHeight="true" outlineLevel="0" collapsed="false"/>
    <row r="62614" customFormat="false" ht="12.75" hidden="false" customHeight="true" outlineLevel="0" collapsed="false"/>
    <row r="62615" customFormat="false" ht="12.75" hidden="false" customHeight="true" outlineLevel="0" collapsed="false"/>
    <row r="62616" customFormat="false" ht="12.75" hidden="false" customHeight="true" outlineLevel="0" collapsed="false"/>
    <row r="62617" customFormat="false" ht="12.75" hidden="false" customHeight="true" outlineLevel="0" collapsed="false"/>
    <row r="62618" customFormat="false" ht="12.75" hidden="false" customHeight="true" outlineLevel="0" collapsed="false"/>
    <row r="62619" customFormat="false" ht="12.75" hidden="false" customHeight="true" outlineLevel="0" collapsed="false"/>
    <row r="62620" customFormat="false" ht="12.75" hidden="false" customHeight="true" outlineLevel="0" collapsed="false"/>
    <row r="62621" customFormat="false" ht="12.75" hidden="false" customHeight="true" outlineLevel="0" collapsed="false"/>
    <row r="62622" customFormat="false" ht="12.75" hidden="false" customHeight="true" outlineLevel="0" collapsed="false"/>
    <row r="62623" customFormat="false" ht="12.75" hidden="false" customHeight="true" outlineLevel="0" collapsed="false"/>
    <row r="62624" customFormat="false" ht="12.75" hidden="false" customHeight="true" outlineLevel="0" collapsed="false"/>
    <row r="62625" customFormat="false" ht="12.75" hidden="false" customHeight="true" outlineLevel="0" collapsed="false"/>
    <row r="62626" customFormat="false" ht="12.75" hidden="false" customHeight="true" outlineLevel="0" collapsed="false"/>
    <row r="62627" customFormat="false" ht="12.75" hidden="false" customHeight="true" outlineLevel="0" collapsed="false"/>
    <row r="62628" customFormat="false" ht="12.75" hidden="false" customHeight="true" outlineLevel="0" collapsed="false"/>
    <row r="62629" customFormat="false" ht="12.75" hidden="false" customHeight="true" outlineLevel="0" collapsed="false"/>
    <row r="62630" customFormat="false" ht="12.75" hidden="false" customHeight="true" outlineLevel="0" collapsed="false"/>
    <row r="62631" customFormat="false" ht="12.75" hidden="false" customHeight="true" outlineLevel="0" collapsed="false"/>
    <row r="62632" customFormat="false" ht="12.75" hidden="false" customHeight="true" outlineLevel="0" collapsed="false"/>
    <row r="62633" customFormat="false" ht="12.75" hidden="false" customHeight="true" outlineLevel="0" collapsed="false"/>
    <row r="62634" customFormat="false" ht="12.75" hidden="false" customHeight="true" outlineLevel="0" collapsed="false"/>
    <row r="62635" customFormat="false" ht="12.75" hidden="false" customHeight="true" outlineLevel="0" collapsed="false"/>
    <row r="62636" customFormat="false" ht="12.75" hidden="false" customHeight="true" outlineLevel="0" collapsed="false"/>
    <row r="62637" customFormat="false" ht="12.75" hidden="false" customHeight="true" outlineLevel="0" collapsed="false"/>
    <row r="62638" customFormat="false" ht="12.75" hidden="false" customHeight="true" outlineLevel="0" collapsed="false"/>
    <row r="62639" customFormat="false" ht="12.75" hidden="false" customHeight="true" outlineLevel="0" collapsed="false"/>
    <row r="62640" customFormat="false" ht="12.75" hidden="false" customHeight="true" outlineLevel="0" collapsed="false"/>
    <row r="62641" customFormat="false" ht="12.75" hidden="false" customHeight="true" outlineLevel="0" collapsed="false"/>
    <row r="62642" customFormat="false" ht="12.75" hidden="false" customHeight="true" outlineLevel="0" collapsed="false"/>
    <row r="62643" customFormat="false" ht="12.75" hidden="false" customHeight="true" outlineLevel="0" collapsed="false"/>
    <row r="62644" customFormat="false" ht="12.75" hidden="false" customHeight="true" outlineLevel="0" collapsed="false"/>
    <row r="62645" customFormat="false" ht="12.75" hidden="false" customHeight="true" outlineLevel="0" collapsed="false"/>
    <row r="62646" customFormat="false" ht="12.75" hidden="false" customHeight="true" outlineLevel="0" collapsed="false"/>
    <row r="62647" customFormat="false" ht="12.75" hidden="false" customHeight="true" outlineLevel="0" collapsed="false"/>
    <row r="62648" customFormat="false" ht="12.75" hidden="false" customHeight="true" outlineLevel="0" collapsed="false"/>
    <row r="62649" customFormat="false" ht="12.75" hidden="false" customHeight="true" outlineLevel="0" collapsed="false"/>
    <row r="62650" customFormat="false" ht="12.75" hidden="false" customHeight="true" outlineLevel="0" collapsed="false"/>
    <row r="62651" customFormat="false" ht="12.75" hidden="false" customHeight="true" outlineLevel="0" collapsed="false"/>
    <row r="62652" customFormat="false" ht="12.75" hidden="false" customHeight="true" outlineLevel="0" collapsed="false"/>
    <row r="62653" customFormat="false" ht="12.75" hidden="false" customHeight="true" outlineLevel="0" collapsed="false"/>
    <row r="62654" customFormat="false" ht="12.75" hidden="false" customHeight="true" outlineLevel="0" collapsed="false"/>
    <row r="62655" customFormat="false" ht="12.75" hidden="false" customHeight="true" outlineLevel="0" collapsed="false"/>
    <row r="62656" customFormat="false" ht="12.75" hidden="false" customHeight="true" outlineLevel="0" collapsed="false"/>
    <row r="62657" customFormat="false" ht="12.75" hidden="false" customHeight="true" outlineLevel="0" collapsed="false"/>
    <row r="62658" customFormat="false" ht="12.75" hidden="false" customHeight="true" outlineLevel="0" collapsed="false"/>
    <row r="62659" customFormat="false" ht="12.75" hidden="false" customHeight="true" outlineLevel="0" collapsed="false"/>
    <row r="62660" customFormat="false" ht="12.75" hidden="false" customHeight="true" outlineLevel="0" collapsed="false"/>
    <row r="62661" customFormat="false" ht="12.75" hidden="false" customHeight="true" outlineLevel="0" collapsed="false"/>
    <row r="62662" customFormat="false" ht="12.75" hidden="false" customHeight="true" outlineLevel="0" collapsed="false"/>
    <row r="62663" customFormat="false" ht="12.75" hidden="false" customHeight="true" outlineLevel="0" collapsed="false"/>
    <row r="62664" customFormat="false" ht="12.75" hidden="false" customHeight="true" outlineLevel="0" collapsed="false"/>
    <row r="62665" customFormat="false" ht="12.75" hidden="false" customHeight="true" outlineLevel="0" collapsed="false"/>
    <row r="62666" customFormat="false" ht="12.75" hidden="false" customHeight="true" outlineLevel="0" collapsed="false"/>
    <row r="62667" customFormat="false" ht="12.75" hidden="false" customHeight="true" outlineLevel="0" collapsed="false"/>
    <row r="62668" customFormat="false" ht="12.75" hidden="false" customHeight="true" outlineLevel="0" collapsed="false"/>
    <row r="62669" customFormat="false" ht="12.75" hidden="false" customHeight="true" outlineLevel="0" collapsed="false"/>
    <row r="62670" customFormat="false" ht="12.75" hidden="false" customHeight="true" outlineLevel="0" collapsed="false"/>
    <row r="62671" customFormat="false" ht="12.75" hidden="false" customHeight="true" outlineLevel="0" collapsed="false"/>
    <row r="62672" customFormat="false" ht="12.75" hidden="false" customHeight="true" outlineLevel="0" collapsed="false"/>
    <row r="62673" customFormat="false" ht="12.75" hidden="false" customHeight="true" outlineLevel="0" collapsed="false"/>
    <row r="62674" customFormat="false" ht="12.75" hidden="false" customHeight="true" outlineLevel="0" collapsed="false"/>
    <row r="62675" customFormat="false" ht="12.75" hidden="false" customHeight="true" outlineLevel="0" collapsed="false"/>
    <row r="62676" customFormat="false" ht="12.75" hidden="false" customHeight="true" outlineLevel="0" collapsed="false"/>
    <row r="62677" customFormat="false" ht="12.75" hidden="false" customHeight="true" outlineLevel="0" collapsed="false"/>
    <row r="62678" customFormat="false" ht="12.75" hidden="false" customHeight="true" outlineLevel="0" collapsed="false"/>
    <row r="62679" customFormat="false" ht="12.75" hidden="false" customHeight="true" outlineLevel="0" collapsed="false"/>
    <row r="62680" customFormat="false" ht="12.75" hidden="false" customHeight="true" outlineLevel="0" collapsed="false"/>
    <row r="62681" customFormat="false" ht="12.75" hidden="false" customHeight="true" outlineLevel="0" collapsed="false"/>
    <row r="62682" customFormat="false" ht="12.75" hidden="false" customHeight="true" outlineLevel="0" collapsed="false"/>
    <row r="62683" customFormat="false" ht="12.75" hidden="false" customHeight="true" outlineLevel="0" collapsed="false"/>
    <row r="62684" customFormat="false" ht="12.75" hidden="false" customHeight="true" outlineLevel="0" collapsed="false"/>
    <row r="62685" customFormat="false" ht="12.75" hidden="false" customHeight="true" outlineLevel="0" collapsed="false"/>
    <row r="62686" customFormat="false" ht="12.75" hidden="false" customHeight="true" outlineLevel="0" collapsed="false"/>
    <row r="62687" customFormat="false" ht="12.75" hidden="false" customHeight="true" outlineLevel="0" collapsed="false"/>
    <row r="62688" customFormat="false" ht="12.75" hidden="false" customHeight="true" outlineLevel="0" collapsed="false"/>
    <row r="62689" customFormat="false" ht="12.75" hidden="false" customHeight="true" outlineLevel="0" collapsed="false"/>
    <row r="62690" customFormat="false" ht="12.75" hidden="false" customHeight="true" outlineLevel="0" collapsed="false"/>
    <row r="62691" customFormat="false" ht="12.75" hidden="false" customHeight="true" outlineLevel="0" collapsed="false"/>
    <row r="62692" customFormat="false" ht="12.75" hidden="false" customHeight="true" outlineLevel="0" collapsed="false"/>
    <row r="62693" customFormat="false" ht="12.75" hidden="false" customHeight="true" outlineLevel="0" collapsed="false"/>
    <row r="62694" customFormat="false" ht="12.75" hidden="false" customHeight="true" outlineLevel="0" collapsed="false"/>
    <row r="62695" customFormat="false" ht="12.75" hidden="false" customHeight="true" outlineLevel="0" collapsed="false"/>
    <row r="62696" customFormat="false" ht="12.75" hidden="false" customHeight="true" outlineLevel="0" collapsed="false"/>
    <row r="62697" customFormat="false" ht="12.75" hidden="false" customHeight="true" outlineLevel="0" collapsed="false"/>
    <row r="62698" customFormat="false" ht="12.75" hidden="false" customHeight="true" outlineLevel="0" collapsed="false"/>
    <row r="62699" customFormat="false" ht="12.75" hidden="false" customHeight="true" outlineLevel="0" collapsed="false"/>
    <row r="62700" customFormat="false" ht="12.75" hidden="false" customHeight="true" outlineLevel="0" collapsed="false"/>
    <row r="62701" customFormat="false" ht="12.75" hidden="false" customHeight="true" outlineLevel="0" collapsed="false"/>
    <row r="62702" customFormat="false" ht="12.75" hidden="false" customHeight="true" outlineLevel="0" collapsed="false"/>
    <row r="62703" customFormat="false" ht="12.75" hidden="false" customHeight="true" outlineLevel="0" collapsed="false"/>
    <row r="62704" customFormat="false" ht="12.75" hidden="false" customHeight="true" outlineLevel="0" collapsed="false"/>
    <row r="62705" customFormat="false" ht="12.75" hidden="false" customHeight="true" outlineLevel="0" collapsed="false"/>
    <row r="62706" customFormat="false" ht="12.75" hidden="false" customHeight="true" outlineLevel="0" collapsed="false"/>
    <row r="62707" customFormat="false" ht="12.75" hidden="false" customHeight="true" outlineLevel="0" collapsed="false"/>
    <row r="62708" customFormat="false" ht="12.75" hidden="false" customHeight="true" outlineLevel="0" collapsed="false"/>
    <row r="62709" customFormat="false" ht="12.75" hidden="false" customHeight="true" outlineLevel="0" collapsed="false"/>
    <row r="62710" customFormat="false" ht="12.75" hidden="false" customHeight="true" outlineLevel="0" collapsed="false"/>
    <row r="62711" customFormat="false" ht="12.75" hidden="false" customHeight="true" outlineLevel="0" collapsed="false"/>
    <row r="62712" customFormat="false" ht="12.75" hidden="false" customHeight="true" outlineLevel="0" collapsed="false"/>
    <row r="62713" customFormat="false" ht="12.75" hidden="false" customHeight="true" outlineLevel="0" collapsed="false"/>
    <row r="62714" customFormat="false" ht="12.75" hidden="false" customHeight="true" outlineLevel="0" collapsed="false"/>
    <row r="62715" customFormat="false" ht="12.75" hidden="false" customHeight="true" outlineLevel="0" collapsed="false"/>
    <row r="62716" customFormat="false" ht="12.75" hidden="false" customHeight="true" outlineLevel="0" collapsed="false"/>
    <row r="62717" customFormat="false" ht="12.75" hidden="false" customHeight="true" outlineLevel="0" collapsed="false"/>
    <row r="62718" customFormat="false" ht="12.75" hidden="false" customHeight="true" outlineLevel="0" collapsed="false"/>
    <row r="62719" customFormat="false" ht="12.75" hidden="false" customHeight="true" outlineLevel="0" collapsed="false"/>
    <row r="62720" customFormat="false" ht="12.75" hidden="false" customHeight="true" outlineLevel="0" collapsed="false"/>
    <row r="62721" customFormat="false" ht="12.75" hidden="false" customHeight="true" outlineLevel="0" collapsed="false"/>
    <row r="62722" customFormat="false" ht="12.75" hidden="false" customHeight="true" outlineLevel="0" collapsed="false"/>
    <row r="62723" customFormat="false" ht="12.75" hidden="false" customHeight="true" outlineLevel="0" collapsed="false"/>
    <row r="62724" customFormat="false" ht="12.75" hidden="false" customHeight="true" outlineLevel="0" collapsed="false"/>
    <row r="62725" customFormat="false" ht="12.75" hidden="false" customHeight="true" outlineLevel="0" collapsed="false"/>
    <row r="62726" customFormat="false" ht="12.75" hidden="false" customHeight="true" outlineLevel="0" collapsed="false"/>
    <row r="62727" customFormat="false" ht="12.75" hidden="false" customHeight="true" outlineLevel="0" collapsed="false"/>
    <row r="62728" customFormat="false" ht="12.75" hidden="false" customHeight="true" outlineLevel="0" collapsed="false"/>
    <row r="62729" customFormat="false" ht="12.75" hidden="false" customHeight="true" outlineLevel="0" collapsed="false"/>
    <row r="62730" customFormat="false" ht="12.75" hidden="false" customHeight="true" outlineLevel="0" collapsed="false"/>
    <row r="62731" customFormat="false" ht="12.75" hidden="false" customHeight="true" outlineLevel="0" collapsed="false"/>
    <row r="62732" customFormat="false" ht="12.75" hidden="false" customHeight="true" outlineLevel="0" collapsed="false"/>
    <row r="62733" customFormat="false" ht="12.75" hidden="false" customHeight="true" outlineLevel="0" collapsed="false"/>
    <row r="62734" customFormat="false" ht="12.75" hidden="false" customHeight="true" outlineLevel="0" collapsed="false"/>
    <row r="62735" customFormat="false" ht="12.75" hidden="false" customHeight="true" outlineLevel="0" collapsed="false"/>
    <row r="62736" customFormat="false" ht="12.75" hidden="false" customHeight="true" outlineLevel="0" collapsed="false"/>
    <row r="62737" customFormat="false" ht="12.75" hidden="false" customHeight="true" outlineLevel="0" collapsed="false"/>
    <row r="62738" customFormat="false" ht="12.75" hidden="false" customHeight="true" outlineLevel="0" collapsed="false"/>
    <row r="62739" customFormat="false" ht="12.75" hidden="false" customHeight="true" outlineLevel="0" collapsed="false"/>
    <row r="62740" customFormat="false" ht="12.75" hidden="false" customHeight="true" outlineLevel="0" collapsed="false"/>
    <row r="62741" customFormat="false" ht="12.75" hidden="false" customHeight="true" outlineLevel="0" collapsed="false"/>
    <row r="62742" customFormat="false" ht="12.75" hidden="false" customHeight="true" outlineLevel="0" collapsed="false"/>
    <row r="62743" customFormat="false" ht="12.75" hidden="false" customHeight="true" outlineLevel="0" collapsed="false"/>
    <row r="62744" customFormat="false" ht="12.75" hidden="false" customHeight="true" outlineLevel="0" collapsed="false"/>
    <row r="62745" customFormat="false" ht="12.75" hidden="false" customHeight="true" outlineLevel="0" collapsed="false"/>
    <row r="62746" customFormat="false" ht="12.75" hidden="false" customHeight="true" outlineLevel="0" collapsed="false"/>
    <row r="62747" customFormat="false" ht="12.75" hidden="false" customHeight="true" outlineLevel="0" collapsed="false"/>
    <row r="62748" customFormat="false" ht="12.75" hidden="false" customHeight="true" outlineLevel="0" collapsed="false"/>
    <row r="62749" customFormat="false" ht="12.75" hidden="false" customHeight="true" outlineLevel="0" collapsed="false"/>
    <row r="62750" customFormat="false" ht="12.75" hidden="false" customHeight="true" outlineLevel="0" collapsed="false"/>
    <row r="62751" customFormat="false" ht="12.75" hidden="false" customHeight="true" outlineLevel="0" collapsed="false"/>
    <row r="62752" customFormat="false" ht="12.75" hidden="false" customHeight="true" outlineLevel="0" collapsed="false"/>
    <row r="62753" customFormat="false" ht="12.75" hidden="false" customHeight="true" outlineLevel="0" collapsed="false"/>
    <row r="62754" customFormat="false" ht="12.75" hidden="false" customHeight="true" outlineLevel="0" collapsed="false"/>
    <row r="62755" customFormat="false" ht="12.75" hidden="false" customHeight="true" outlineLevel="0" collapsed="false"/>
    <row r="62756" customFormat="false" ht="12.75" hidden="false" customHeight="true" outlineLevel="0" collapsed="false"/>
    <row r="62757" customFormat="false" ht="12.75" hidden="false" customHeight="true" outlineLevel="0" collapsed="false"/>
    <row r="62758" customFormat="false" ht="12.75" hidden="false" customHeight="true" outlineLevel="0" collapsed="false"/>
    <row r="62759" customFormat="false" ht="12.75" hidden="false" customHeight="true" outlineLevel="0" collapsed="false"/>
    <row r="62760" customFormat="false" ht="12.75" hidden="false" customHeight="true" outlineLevel="0" collapsed="false"/>
    <row r="62761" customFormat="false" ht="12.75" hidden="false" customHeight="true" outlineLevel="0" collapsed="false"/>
    <row r="62762" customFormat="false" ht="12.75" hidden="false" customHeight="true" outlineLevel="0" collapsed="false"/>
    <row r="62763" customFormat="false" ht="12.75" hidden="false" customHeight="true" outlineLevel="0" collapsed="false"/>
    <row r="62764" customFormat="false" ht="12.75" hidden="false" customHeight="true" outlineLevel="0" collapsed="false"/>
    <row r="62765" customFormat="false" ht="12.75" hidden="false" customHeight="true" outlineLevel="0" collapsed="false"/>
    <row r="62766" customFormat="false" ht="12.75" hidden="false" customHeight="true" outlineLevel="0" collapsed="false"/>
    <row r="62767" customFormat="false" ht="12.75" hidden="false" customHeight="true" outlineLevel="0" collapsed="false"/>
    <row r="62768" customFormat="false" ht="12.75" hidden="false" customHeight="true" outlineLevel="0" collapsed="false"/>
    <row r="62769" customFormat="false" ht="12.75" hidden="false" customHeight="true" outlineLevel="0" collapsed="false"/>
    <row r="62770" customFormat="false" ht="12.75" hidden="false" customHeight="true" outlineLevel="0" collapsed="false"/>
    <row r="62771" customFormat="false" ht="12.75" hidden="false" customHeight="true" outlineLevel="0" collapsed="false"/>
    <row r="62772" customFormat="false" ht="12.75" hidden="false" customHeight="true" outlineLevel="0" collapsed="false"/>
    <row r="62773" customFormat="false" ht="12.75" hidden="false" customHeight="true" outlineLevel="0" collapsed="false"/>
    <row r="62774" customFormat="false" ht="12.75" hidden="false" customHeight="true" outlineLevel="0" collapsed="false"/>
    <row r="62775" customFormat="false" ht="12.75" hidden="false" customHeight="true" outlineLevel="0" collapsed="false"/>
    <row r="62776" customFormat="false" ht="12.75" hidden="false" customHeight="true" outlineLevel="0" collapsed="false"/>
    <row r="62777" customFormat="false" ht="12.75" hidden="false" customHeight="true" outlineLevel="0" collapsed="false"/>
    <row r="62778" customFormat="false" ht="12.75" hidden="false" customHeight="true" outlineLevel="0" collapsed="false"/>
    <row r="62779" customFormat="false" ht="12.75" hidden="false" customHeight="true" outlineLevel="0" collapsed="false"/>
    <row r="62780" customFormat="false" ht="12.75" hidden="false" customHeight="true" outlineLevel="0" collapsed="false"/>
    <row r="62781" customFormat="false" ht="12.75" hidden="false" customHeight="true" outlineLevel="0" collapsed="false"/>
    <row r="62782" customFormat="false" ht="12.75" hidden="false" customHeight="true" outlineLevel="0" collapsed="false"/>
    <row r="62783" customFormat="false" ht="12.75" hidden="false" customHeight="true" outlineLevel="0" collapsed="false"/>
    <row r="62784" customFormat="false" ht="12.75" hidden="false" customHeight="true" outlineLevel="0" collapsed="false"/>
    <row r="62785" customFormat="false" ht="12.75" hidden="false" customHeight="true" outlineLevel="0" collapsed="false"/>
    <row r="62786" customFormat="false" ht="12.75" hidden="false" customHeight="true" outlineLevel="0" collapsed="false"/>
    <row r="62787" customFormat="false" ht="12.75" hidden="false" customHeight="true" outlineLevel="0" collapsed="false"/>
    <row r="62788" customFormat="false" ht="12.75" hidden="false" customHeight="true" outlineLevel="0" collapsed="false"/>
    <row r="62789" customFormat="false" ht="12.75" hidden="false" customHeight="true" outlineLevel="0" collapsed="false"/>
    <row r="62790" customFormat="false" ht="12.75" hidden="false" customHeight="true" outlineLevel="0" collapsed="false"/>
    <row r="62791" customFormat="false" ht="12.75" hidden="false" customHeight="true" outlineLevel="0" collapsed="false"/>
    <row r="62792" customFormat="false" ht="12.75" hidden="false" customHeight="true" outlineLevel="0" collapsed="false"/>
    <row r="62793" customFormat="false" ht="12.75" hidden="false" customHeight="true" outlineLevel="0" collapsed="false"/>
    <row r="62794" customFormat="false" ht="12.75" hidden="false" customHeight="true" outlineLevel="0" collapsed="false"/>
    <row r="62795" customFormat="false" ht="12.75" hidden="false" customHeight="true" outlineLevel="0" collapsed="false"/>
    <row r="62796" customFormat="false" ht="12.75" hidden="false" customHeight="true" outlineLevel="0" collapsed="false"/>
    <row r="62797" customFormat="false" ht="12.75" hidden="false" customHeight="true" outlineLevel="0" collapsed="false"/>
    <row r="62798" customFormat="false" ht="12.75" hidden="false" customHeight="true" outlineLevel="0" collapsed="false"/>
    <row r="62799" customFormat="false" ht="12.75" hidden="false" customHeight="true" outlineLevel="0" collapsed="false"/>
    <row r="62800" customFormat="false" ht="12.75" hidden="false" customHeight="true" outlineLevel="0" collapsed="false"/>
    <row r="62801" customFormat="false" ht="12.75" hidden="false" customHeight="true" outlineLevel="0" collapsed="false"/>
    <row r="62802" customFormat="false" ht="12.75" hidden="false" customHeight="true" outlineLevel="0" collapsed="false"/>
    <row r="62803" customFormat="false" ht="12.75" hidden="false" customHeight="true" outlineLevel="0" collapsed="false"/>
    <row r="62804" customFormat="false" ht="12.75" hidden="false" customHeight="true" outlineLevel="0" collapsed="false"/>
    <row r="62805" customFormat="false" ht="12.75" hidden="false" customHeight="true" outlineLevel="0" collapsed="false"/>
    <row r="62806" customFormat="false" ht="12.75" hidden="false" customHeight="true" outlineLevel="0" collapsed="false"/>
    <row r="62807" customFormat="false" ht="12.75" hidden="false" customHeight="true" outlineLevel="0" collapsed="false"/>
    <row r="62808" customFormat="false" ht="12.75" hidden="false" customHeight="true" outlineLevel="0" collapsed="false"/>
    <row r="62809" customFormat="false" ht="12.75" hidden="false" customHeight="true" outlineLevel="0" collapsed="false"/>
    <row r="62810" customFormat="false" ht="12.75" hidden="false" customHeight="true" outlineLevel="0" collapsed="false"/>
    <row r="62811" customFormat="false" ht="12.75" hidden="false" customHeight="true" outlineLevel="0" collapsed="false"/>
    <row r="62812" customFormat="false" ht="12.75" hidden="false" customHeight="true" outlineLevel="0" collapsed="false"/>
    <row r="62813" customFormat="false" ht="12.75" hidden="false" customHeight="true" outlineLevel="0" collapsed="false"/>
    <row r="62814" customFormat="false" ht="12.75" hidden="false" customHeight="true" outlineLevel="0" collapsed="false"/>
    <row r="62815" customFormat="false" ht="12.75" hidden="false" customHeight="true" outlineLevel="0" collapsed="false"/>
    <row r="62816" customFormat="false" ht="12.75" hidden="false" customHeight="true" outlineLevel="0" collapsed="false"/>
    <row r="62817" customFormat="false" ht="12.75" hidden="false" customHeight="true" outlineLevel="0" collapsed="false"/>
    <row r="62818" customFormat="false" ht="12.75" hidden="false" customHeight="true" outlineLevel="0" collapsed="false"/>
    <row r="62819" customFormat="false" ht="12.75" hidden="false" customHeight="true" outlineLevel="0" collapsed="false"/>
    <row r="62820" customFormat="false" ht="12.75" hidden="false" customHeight="true" outlineLevel="0" collapsed="false"/>
    <row r="62821" customFormat="false" ht="12.75" hidden="false" customHeight="true" outlineLevel="0" collapsed="false"/>
    <row r="62822" customFormat="false" ht="12.75" hidden="false" customHeight="true" outlineLevel="0" collapsed="false"/>
    <row r="62823" customFormat="false" ht="12.75" hidden="false" customHeight="true" outlineLevel="0" collapsed="false"/>
    <row r="62824" customFormat="false" ht="12.75" hidden="false" customHeight="true" outlineLevel="0" collapsed="false"/>
    <row r="62825" customFormat="false" ht="12.75" hidden="false" customHeight="true" outlineLevel="0" collapsed="false"/>
    <row r="62826" customFormat="false" ht="12.75" hidden="false" customHeight="true" outlineLevel="0" collapsed="false"/>
    <row r="62827" customFormat="false" ht="12.75" hidden="false" customHeight="true" outlineLevel="0" collapsed="false"/>
    <row r="62828" customFormat="false" ht="12.75" hidden="false" customHeight="true" outlineLevel="0" collapsed="false"/>
    <row r="62829" customFormat="false" ht="12.75" hidden="false" customHeight="true" outlineLevel="0" collapsed="false"/>
    <row r="62830" customFormat="false" ht="12.75" hidden="false" customHeight="true" outlineLevel="0" collapsed="false"/>
    <row r="62831" customFormat="false" ht="12.75" hidden="false" customHeight="true" outlineLevel="0" collapsed="false"/>
    <row r="62832" customFormat="false" ht="12.75" hidden="false" customHeight="true" outlineLevel="0" collapsed="false"/>
    <row r="62833" customFormat="false" ht="12.75" hidden="false" customHeight="true" outlineLevel="0" collapsed="false"/>
    <row r="62834" customFormat="false" ht="12.75" hidden="false" customHeight="true" outlineLevel="0" collapsed="false"/>
    <row r="62835" customFormat="false" ht="12.75" hidden="false" customHeight="true" outlineLevel="0" collapsed="false"/>
    <row r="62836" customFormat="false" ht="12.75" hidden="false" customHeight="true" outlineLevel="0" collapsed="false"/>
    <row r="62837" customFormat="false" ht="12.75" hidden="false" customHeight="true" outlineLevel="0" collapsed="false"/>
    <row r="62838" customFormat="false" ht="12.75" hidden="false" customHeight="true" outlineLevel="0" collapsed="false"/>
    <row r="62839" customFormat="false" ht="12.75" hidden="false" customHeight="true" outlineLevel="0" collapsed="false"/>
    <row r="62840" customFormat="false" ht="12.75" hidden="false" customHeight="true" outlineLevel="0" collapsed="false"/>
    <row r="62841" customFormat="false" ht="12.75" hidden="false" customHeight="true" outlineLevel="0" collapsed="false"/>
    <row r="62842" customFormat="false" ht="12.75" hidden="false" customHeight="true" outlineLevel="0" collapsed="false"/>
    <row r="62843" customFormat="false" ht="12.75" hidden="false" customHeight="true" outlineLevel="0" collapsed="false"/>
    <row r="62844" customFormat="false" ht="12.75" hidden="false" customHeight="true" outlineLevel="0" collapsed="false"/>
    <row r="62845" customFormat="false" ht="12.75" hidden="false" customHeight="true" outlineLevel="0" collapsed="false"/>
    <row r="62846" customFormat="false" ht="12.75" hidden="false" customHeight="true" outlineLevel="0" collapsed="false"/>
    <row r="62847" customFormat="false" ht="12.75" hidden="false" customHeight="true" outlineLevel="0" collapsed="false"/>
    <row r="62848" customFormat="false" ht="12.75" hidden="false" customHeight="true" outlineLevel="0" collapsed="false"/>
    <row r="62849" customFormat="false" ht="12.75" hidden="false" customHeight="true" outlineLevel="0" collapsed="false"/>
    <row r="62850" customFormat="false" ht="12.75" hidden="false" customHeight="true" outlineLevel="0" collapsed="false"/>
    <row r="62851" customFormat="false" ht="12.75" hidden="false" customHeight="true" outlineLevel="0" collapsed="false"/>
    <row r="62852" customFormat="false" ht="12.75" hidden="false" customHeight="true" outlineLevel="0" collapsed="false"/>
    <row r="62853" customFormat="false" ht="12.75" hidden="false" customHeight="true" outlineLevel="0" collapsed="false"/>
    <row r="62854" customFormat="false" ht="12.75" hidden="false" customHeight="true" outlineLevel="0" collapsed="false"/>
    <row r="62855" customFormat="false" ht="12.75" hidden="false" customHeight="true" outlineLevel="0" collapsed="false"/>
    <row r="62856" customFormat="false" ht="12.75" hidden="false" customHeight="true" outlineLevel="0" collapsed="false"/>
    <row r="62857" customFormat="false" ht="12.75" hidden="false" customHeight="true" outlineLevel="0" collapsed="false"/>
    <row r="62858" customFormat="false" ht="12.75" hidden="false" customHeight="true" outlineLevel="0" collapsed="false"/>
    <row r="62859" customFormat="false" ht="12.75" hidden="false" customHeight="true" outlineLevel="0" collapsed="false"/>
    <row r="62860" customFormat="false" ht="12.75" hidden="false" customHeight="true" outlineLevel="0" collapsed="false"/>
    <row r="62861" customFormat="false" ht="12.75" hidden="false" customHeight="true" outlineLevel="0" collapsed="false"/>
    <row r="62862" customFormat="false" ht="12.75" hidden="false" customHeight="true" outlineLevel="0" collapsed="false"/>
    <row r="62863" customFormat="false" ht="12.75" hidden="false" customHeight="true" outlineLevel="0" collapsed="false"/>
    <row r="62864" customFormat="false" ht="12.75" hidden="false" customHeight="true" outlineLevel="0" collapsed="false"/>
    <row r="62865" customFormat="false" ht="12.75" hidden="false" customHeight="true" outlineLevel="0" collapsed="false"/>
    <row r="62866" customFormat="false" ht="12.75" hidden="false" customHeight="true" outlineLevel="0" collapsed="false"/>
    <row r="62867" customFormat="false" ht="12.75" hidden="false" customHeight="true" outlineLevel="0" collapsed="false"/>
    <row r="62868" customFormat="false" ht="12.75" hidden="false" customHeight="true" outlineLevel="0" collapsed="false"/>
    <row r="62869" customFormat="false" ht="12.75" hidden="false" customHeight="true" outlineLevel="0" collapsed="false"/>
    <row r="62870" customFormat="false" ht="12.75" hidden="false" customHeight="true" outlineLevel="0" collapsed="false"/>
    <row r="62871" customFormat="false" ht="12.75" hidden="false" customHeight="true" outlineLevel="0" collapsed="false"/>
    <row r="62872" customFormat="false" ht="12.75" hidden="false" customHeight="true" outlineLevel="0" collapsed="false"/>
    <row r="62873" customFormat="false" ht="12.75" hidden="false" customHeight="true" outlineLevel="0" collapsed="false"/>
    <row r="62874" customFormat="false" ht="12.75" hidden="false" customHeight="true" outlineLevel="0" collapsed="false"/>
    <row r="62875" customFormat="false" ht="12.75" hidden="false" customHeight="true" outlineLevel="0" collapsed="false"/>
    <row r="62876" customFormat="false" ht="12.75" hidden="false" customHeight="true" outlineLevel="0" collapsed="false"/>
    <row r="62877" customFormat="false" ht="12.75" hidden="false" customHeight="true" outlineLevel="0" collapsed="false"/>
    <row r="62878" customFormat="false" ht="12.75" hidden="false" customHeight="true" outlineLevel="0" collapsed="false"/>
    <row r="62879" customFormat="false" ht="12.75" hidden="false" customHeight="true" outlineLevel="0" collapsed="false"/>
    <row r="62880" customFormat="false" ht="12.75" hidden="false" customHeight="true" outlineLevel="0" collapsed="false"/>
    <row r="62881" customFormat="false" ht="12.75" hidden="false" customHeight="true" outlineLevel="0" collapsed="false"/>
    <row r="62882" customFormat="false" ht="12.75" hidden="false" customHeight="true" outlineLevel="0" collapsed="false"/>
    <row r="62883" customFormat="false" ht="12.75" hidden="false" customHeight="true" outlineLevel="0" collapsed="false"/>
    <row r="62884" customFormat="false" ht="12.75" hidden="false" customHeight="true" outlineLevel="0" collapsed="false"/>
    <row r="62885" customFormat="false" ht="12.75" hidden="false" customHeight="true" outlineLevel="0" collapsed="false"/>
    <row r="62886" customFormat="false" ht="12.75" hidden="false" customHeight="true" outlineLevel="0" collapsed="false"/>
    <row r="62887" customFormat="false" ht="12.75" hidden="false" customHeight="true" outlineLevel="0" collapsed="false"/>
    <row r="62888" customFormat="false" ht="12.75" hidden="false" customHeight="true" outlineLevel="0" collapsed="false"/>
    <row r="62889" customFormat="false" ht="12.75" hidden="false" customHeight="true" outlineLevel="0" collapsed="false"/>
    <row r="62890" customFormat="false" ht="12.75" hidden="false" customHeight="true" outlineLevel="0" collapsed="false"/>
    <row r="62891" customFormat="false" ht="12.75" hidden="false" customHeight="true" outlineLevel="0" collapsed="false"/>
    <row r="62892" customFormat="false" ht="12.75" hidden="false" customHeight="true" outlineLevel="0" collapsed="false"/>
    <row r="62893" customFormat="false" ht="12.75" hidden="false" customHeight="true" outlineLevel="0" collapsed="false"/>
    <row r="62894" customFormat="false" ht="12.75" hidden="false" customHeight="true" outlineLevel="0" collapsed="false"/>
    <row r="62895" customFormat="false" ht="12.75" hidden="false" customHeight="true" outlineLevel="0" collapsed="false"/>
    <row r="62896" customFormat="false" ht="12.75" hidden="false" customHeight="true" outlineLevel="0" collapsed="false"/>
    <row r="62897" customFormat="false" ht="12.75" hidden="false" customHeight="true" outlineLevel="0" collapsed="false"/>
    <row r="62898" customFormat="false" ht="12.75" hidden="false" customHeight="true" outlineLevel="0" collapsed="false"/>
    <row r="62899" customFormat="false" ht="12.75" hidden="false" customHeight="true" outlineLevel="0" collapsed="false"/>
    <row r="62900" customFormat="false" ht="12.75" hidden="false" customHeight="true" outlineLevel="0" collapsed="false"/>
    <row r="62901" customFormat="false" ht="12.75" hidden="false" customHeight="true" outlineLevel="0" collapsed="false"/>
    <row r="62902" customFormat="false" ht="12.75" hidden="false" customHeight="true" outlineLevel="0" collapsed="false"/>
    <row r="62903" customFormat="false" ht="12.75" hidden="false" customHeight="true" outlineLevel="0" collapsed="false"/>
    <row r="62904" customFormat="false" ht="12.75" hidden="false" customHeight="true" outlineLevel="0" collapsed="false"/>
    <row r="62905" customFormat="false" ht="12.75" hidden="false" customHeight="true" outlineLevel="0" collapsed="false"/>
    <row r="62906" customFormat="false" ht="12.75" hidden="false" customHeight="true" outlineLevel="0" collapsed="false"/>
    <row r="62907" customFormat="false" ht="12.75" hidden="false" customHeight="true" outlineLevel="0" collapsed="false"/>
    <row r="62908" customFormat="false" ht="12.75" hidden="false" customHeight="true" outlineLevel="0" collapsed="false"/>
    <row r="62909" customFormat="false" ht="12.75" hidden="false" customHeight="true" outlineLevel="0" collapsed="false"/>
    <row r="62910" customFormat="false" ht="12.75" hidden="false" customHeight="true" outlineLevel="0" collapsed="false"/>
    <row r="62911" customFormat="false" ht="12.75" hidden="false" customHeight="true" outlineLevel="0" collapsed="false"/>
    <row r="62912" customFormat="false" ht="12.75" hidden="false" customHeight="true" outlineLevel="0" collapsed="false"/>
    <row r="62913" customFormat="false" ht="12.75" hidden="false" customHeight="true" outlineLevel="0" collapsed="false"/>
    <row r="62914" customFormat="false" ht="12.75" hidden="false" customHeight="true" outlineLevel="0" collapsed="false"/>
    <row r="62915" customFormat="false" ht="12.75" hidden="false" customHeight="true" outlineLevel="0" collapsed="false"/>
    <row r="62916" customFormat="false" ht="12.75" hidden="false" customHeight="true" outlineLevel="0" collapsed="false"/>
    <row r="62917" customFormat="false" ht="12.75" hidden="false" customHeight="true" outlineLevel="0" collapsed="false"/>
    <row r="62918" customFormat="false" ht="12.75" hidden="false" customHeight="true" outlineLevel="0" collapsed="false"/>
    <row r="62919" customFormat="false" ht="12.75" hidden="false" customHeight="true" outlineLevel="0" collapsed="false"/>
    <row r="62920" customFormat="false" ht="12.75" hidden="false" customHeight="true" outlineLevel="0" collapsed="false"/>
    <row r="62921" customFormat="false" ht="12.75" hidden="false" customHeight="true" outlineLevel="0" collapsed="false"/>
    <row r="62922" customFormat="false" ht="12.75" hidden="false" customHeight="true" outlineLevel="0" collapsed="false"/>
    <row r="62923" customFormat="false" ht="12.75" hidden="false" customHeight="true" outlineLevel="0" collapsed="false"/>
    <row r="62924" customFormat="false" ht="12.75" hidden="false" customHeight="true" outlineLevel="0" collapsed="false"/>
    <row r="62925" customFormat="false" ht="12.75" hidden="false" customHeight="true" outlineLevel="0" collapsed="false"/>
    <row r="62926" customFormat="false" ht="12.75" hidden="false" customHeight="true" outlineLevel="0" collapsed="false"/>
    <row r="62927" customFormat="false" ht="12.75" hidden="false" customHeight="true" outlineLevel="0" collapsed="false"/>
    <row r="62928" customFormat="false" ht="12.75" hidden="false" customHeight="true" outlineLevel="0" collapsed="false"/>
    <row r="62929" customFormat="false" ht="12.75" hidden="false" customHeight="true" outlineLevel="0" collapsed="false"/>
    <row r="62930" customFormat="false" ht="12.75" hidden="false" customHeight="true" outlineLevel="0" collapsed="false"/>
    <row r="62931" customFormat="false" ht="12.75" hidden="false" customHeight="true" outlineLevel="0" collapsed="false"/>
    <row r="62932" customFormat="false" ht="12.75" hidden="false" customHeight="true" outlineLevel="0" collapsed="false"/>
    <row r="62933" customFormat="false" ht="12.75" hidden="false" customHeight="true" outlineLevel="0" collapsed="false"/>
    <row r="62934" customFormat="false" ht="12.75" hidden="false" customHeight="true" outlineLevel="0" collapsed="false"/>
    <row r="62935" customFormat="false" ht="12.75" hidden="false" customHeight="true" outlineLevel="0" collapsed="false"/>
    <row r="62936" customFormat="false" ht="12.75" hidden="false" customHeight="true" outlineLevel="0" collapsed="false"/>
    <row r="62937" customFormat="false" ht="12.75" hidden="false" customHeight="true" outlineLevel="0" collapsed="false"/>
    <row r="62938" customFormat="false" ht="12.75" hidden="false" customHeight="true" outlineLevel="0" collapsed="false"/>
    <row r="62939" customFormat="false" ht="12.75" hidden="false" customHeight="true" outlineLevel="0" collapsed="false"/>
    <row r="62940" customFormat="false" ht="12.75" hidden="false" customHeight="true" outlineLevel="0" collapsed="false"/>
    <row r="62941" customFormat="false" ht="12.75" hidden="false" customHeight="true" outlineLevel="0" collapsed="false"/>
    <row r="62942" customFormat="false" ht="12.75" hidden="false" customHeight="true" outlineLevel="0" collapsed="false"/>
    <row r="62943" customFormat="false" ht="12.75" hidden="false" customHeight="true" outlineLevel="0" collapsed="false"/>
    <row r="62944" customFormat="false" ht="12.75" hidden="false" customHeight="true" outlineLevel="0" collapsed="false"/>
    <row r="62945" customFormat="false" ht="12.75" hidden="false" customHeight="true" outlineLevel="0" collapsed="false"/>
    <row r="62946" customFormat="false" ht="12.75" hidden="false" customHeight="true" outlineLevel="0" collapsed="false"/>
    <row r="62947" customFormat="false" ht="12.75" hidden="false" customHeight="true" outlineLevel="0" collapsed="false"/>
    <row r="62948" customFormat="false" ht="12.75" hidden="false" customHeight="true" outlineLevel="0" collapsed="false"/>
    <row r="62949" customFormat="false" ht="12.75" hidden="false" customHeight="true" outlineLevel="0" collapsed="false"/>
    <row r="62950" customFormat="false" ht="12.75" hidden="false" customHeight="true" outlineLevel="0" collapsed="false"/>
    <row r="62951" customFormat="false" ht="12.75" hidden="false" customHeight="true" outlineLevel="0" collapsed="false"/>
    <row r="62952" customFormat="false" ht="12.75" hidden="false" customHeight="true" outlineLevel="0" collapsed="false"/>
    <row r="62953" customFormat="false" ht="12.75" hidden="false" customHeight="true" outlineLevel="0" collapsed="false"/>
    <row r="62954" customFormat="false" ht="12.75" hidden="false" customHeight="true" outlineLevel="0" collapsed="false"/>
    <row r="62955" customFormat="false" ht="12.75" hidden="false" customHeight="true" outlineLevel="0" collapsed="false"/>
    <row r="62956" customFormat="false" ht="12.75" hidden="false" customHeight="true" outlineLevel="0" collapsed="false"/>
    <row r="62957" customFormat="false" ht="12.75" hidden="false" customHeight="true" outlineLevel="0" collapsed="false"/>
    <row r="62958" customFormat="false" ht="12.75" hidden="false" customHeight="true" outlineLevel="0" collapsed="false"/>
    <row r="62959" customFormat="false" ht="12.75" hidden="false" customHeight="true" outlineLevel="0" collapsed="false"/>
    <row r="62960" customFormat="false" ht="12.75" hidden="false" customHeight="true" outlineLevel="0" collapsed="false"/>
    <row r="62961" customFormat="false" ht="12.75" hidden="false" customHeight="true" outlineLevel="0" collapsed="false"/>
    <row r="62962" customFormat="false" ht="12.75" hidden="false" customHeight="true" outlineLevel="0" collapsed="false"/>
    <row r="62963" customFormat="false" ht="12.75" hidden="false" customHeight="true" outlineLevel="0" collapsed="false"/>
    <row r="62964" customFormat="false" ht="12.75" hidden="false" customHeight="true" outlineLevel="0" collapsed="false"/>
    <row r="62965" customFormat="false" ht="12.75" hidden="false" customHeight="true" outlineLevel="0" collapsed="false"/>
    <row r="62966" customFormat="false" ht="12.75" hidden="false" customHeight="true" outlineLevel="0" collapsed="false"/>
    <row r="62967" customFormat="false" ht="12.75" hidden="false" customHeight="true" outlineLevel="0" collapsed="false"/>
    <row r="62968" customFormat="false" ht="12.75" hidden="false" customHeight="true" outlineLevel="0" collapsed="false"/>
    <row r="62969" customFormat="false" ht="12.75" hidden="false" customHeight="true" outlineLevel="0" collapsed="false"/>
    <row r="62970" customFormat="false" ht="12.75" hidden="false" customHeight="true" outlineLevel="0" collapsed="false"/>
    <row r="62971" customFormat="false" ht="12.75" hidden="false" customHeight="true" outlineLevel="0" collapsed="false"/>
    <row r="62972" customFormat="false" ht="12.75" hidden="false" customHeight="true" outlineLevel="0" collapsed="false"/>
    <row r="62973" customFormat="false" ht="12.75" hidden="false" customHeight="true" outlineLevel="0" collapsed="false"/>
    <row r="62974" customFormat="false" ht="12.75" hidden="false" customHeight="true" outlineLevel="0" collapsed="false"/>
    <row r="62975" customFormat="false" ht="12.75" hidden="false" customHeight="true" outlineLevel="0" collapsed="false"/>
    <row r="62976" customFormat="false" ht="12.75" hidden="false" customHeight="true" outlineLevel="0" collapsed="false"/>
    <row r="62977" customFormat="false" ht="12.75" hidden="false" customHeight="true" outlineLevel="0" collapsed="false"/>
    <row r="62978" customFormat="false" ht="12.75" hidden="false" customHeight="true" outlineLevel="0" collapsed="false"/>
    <row r="62979" customFormat="false" ht="12.75" hidden="false" customHeight="true" outlineLevel="0" collapsed="false"/>
    <row r="62980" customFormat="false" ht="12.75" hidden="false" customHeight="true" outlineLevel="0" collapsed="false"/>
    <row r="62981" customFormat="false" ht="12.75" hidden="false" customHeight="true" outlineLevel="0" collapsed="false"/>
    <row r="62982" customFormat="false" ht="12.75" hidden="false" customHeight="true" outlineLevel="0" collapsed="false"/>
    <row r="62983" customFormat="false" ht="12.75" hidden="false" customHeight="true" outlineLevel="0" collapsed="false"/>
    <row r="62984" customFormat="false" ht="12.75" hidden="false" customHeight="true" outlineLevel="0" collapsed="false"/>
    <row r="62985" customFormat="false" ht="12.75" hidden="false" customHeight="true" outlineLevel="0" collapsed="false"/>
    <row r="62986" customFormat="false" ht="12.75" hidden="false" customHeight="true" outlineLevel="0" collapsed="false"/>
    <row r="62987" customFormat="false" ht="12.75" hidden="false" customHeight="true" outlineLevel="0" collapsed="false"/>
    <row r="62988" customFormat="false" ht="12.75" hidden="false" customHeight="true" outlineLevel="0" collapsed="false"/>
    <row r="62989" customFormat="false" ht="12.75" hidden="false" customHeight="true" outlineLevel="0" collapsed="false"/>
    <row r="62990" customFormat="false" ht="12.75" hidden="false" customHeight="true" outlineLevel="0" collapsed="false"/>
    <row r="62991" customFormat="false" ht="12.75" hidden="false" customHeight="true" outlineLevel="0" collapsed="false"/>
    <row r="62992" customFormat="false" ht="12.75" hidden="false" customHeight="true" outlineLevel="0" collapsed="false"/>
    <row r="62993" customFormat="false" ht="12.75" hidden="false" customHeight="true" outlineLevel="0" collapsed="false"/>
    <row r="62994" customFormat="false" ht="12.75" hidden="false" customHeight="true" outlineLevel="0" collapsed="false"/>
    <row r="62995" customFormat="false" ht="12.75" hidden="false" customHeight="true" outlineLevel="0" collapsed="false"/>
    <row r="62996" customFormat="false" ht="12.75" hidden="false" customHeight="true" outlineLevel="0" collapsed="false"/>
    <row r="62997" customFormat="false" ht="12.75" hidden="false" customHeight="true" outlineLevel="0" collapsed="false"/>
    <row r="62998" customFormat="false" ht="12.75" hidden="false" customHeight="true" outlineLevel="0" collapsed="false"/>
    <row r="62999" customFormat="false" ht="12.75" hidden="false" customHeight="true" outlineLevel="0" collapsed="false"/>
    <row r="63000" customFormat="false" ht="12.75" hidden="false" customHeight="true" outlineLevel="0" collapsed="false"/>
    <row r="63001" customFormat="false" ht="12.75" hidden="false" customHeight="true" outlineLevel="0" collapsed="false"/>
    <row r="63002" customFormat="false" ht="12.75" hidden="false" customHeight="true" outlineLevel="0" collapsed="false"/>
    <row r="63003" customFormat="false" ht="12.75" hidden="false" customHeight="true" outlineLevel="0" collapsed="false"/>
    <row r="63004" customFormat="false" ht="12.75" hidden="false" customHeight="true" outlineLevel="0" collapsed="false"/>
    <row r="63005" customFormat="false" ht="12.75" hidden="false" customHeight="true" outlineLevel="0" collapsed="false"/>
    <row r="63006" customFormat="false" ht="12.75" hidden="false" customHeight="true" outlineLevel="0" collapsed="false"/>
    <row r="63007" customFormat="false" ht="12.75" hidden="false" customHeight="true" outlineLevel="0" collapsed="false"/>
    <row r="63008" customFormat="false" ht="12.75" hidden="false" customHeight="true" outlineLevel="0" collapsed="false"/>
    <row r="63009" customFormat="false" ht="12.75" hidden="false" customHeight="true" outlineLevel="0" collapsed="false"/>
    <row r="63010" customFormat="false" ht="12.75" hidden="false" customHeight="true" outlineLevel="0" collapsed="false"/>
    <row r="63011" customFormat="false" ht="12.75" hidden="false" customHeight="true" outlineLevel="0" collapsed="false"/>
    <row r="63012" customFormat="false" ht="12.75" hidden="false" customHeight="true" outlineLevel="0" collapsed="false"/>
    <row r="63013" customFormat="false" ht="12.75" hidden="false" customHeight="true" outlineLevel="0" collapsed="false"/>
    <row r="63014" customFormat="false" ht="12.75" hidden="false" customHeight="true" outlineLevel="0" collapsed="false"/>
    <row r="63015" customFormat="false" ht="12.75" hidden="false" customHeight="true" outlineLevel="0" collapsed="false"/>
    <row r="63016" customFormat="false" ht="12.75" hidden="false" customHeight="true" outlineLevel="0" collapsed="false"/>
    <row r="63017" customFormat="false" ht="12.75" hidden="false" customHeight="true" outlineLevel="0" collapsed="false"/>
    <row r="63018" customFormat="false" ht="12.75" hidden="false" customHeight="true" outlineLevel="0" collapsed="false"/>
    <row r="63019" customFormat="false" ht="12.75" hidden="false" customHeight="true" outlineLevel="0" collapsed="false"/>
    <row r="63020" customFormat="false" ht="12.75" hidden="false" customHeight="true" outlineLevel="0" collapsed="false"/>
    <row r="63021" customFormat="false" ht="12.75" hidden="false" customHeight="true" outlineLevel="0" collapsed="false"/>
    <row r="63022" customFormat="false" ht="12.75" hidden="false" customHeight="true" outlineLevel="0" collapsed="false"/>
    <row r="63023" customFormat="false" ht="12.75" hidden="false" customHeight="true" outlineLevel="0" collapsed="false"/>
    <row r="63024" customFormat="false" ht="12.75" hidden="false" customHeight="true" outlineLevel="0" collapsed="false"/>
    <row r="63025" customFormat="false" ht="12.75" hidden="false" customHeight="true" outlineLevel="0" collapsed="false"/>
    <row r="63026" customFormat="false" ht="12.75" hidden="false" customHeight="true" outlineLevel="0" collapsed="false"/>
    <row r="63027" customFormat="false" ht="12.75" hidden="false" customHeight="true" outlineLevel="0" collapsed="false"/>
    <row r="63028" customFormat="false" ht="12.75" hidden="false" customHeight="true" outlineLevel="0" collapsed="false"/>
    <row r="63029" customFormat="false" ht="12.75" hidden="false" customHeight="true" outlineLevel="0" collapsed="false"/>
    <row r="63030" customFormat="false" ht="12.75" hidden="false" customHeight="true" outlineLevel="0" collapsed="false"/>
    <row r="63031" customFormat="false" ht="12.75" hidden="false" customHeight="true" outlineLevel="0" collapsed="false"/>
    <row r="63032" customFormat="false" ht="12.75" hidden="false" customHeight="true" outlineLevel="0" collapsed="false"/>
    <row r="63033" customFormat="false" ht="12.75" hidden="false" customHeight="true" outlineLevel="0" collapsed="false"/>
    <row r="63034" customFormat="false" ht="12.75" hidden="false" customHeight="true" outlineLevel="0" collapsed="false"/>
    <row r="63035" customFormat="false" ht="12.75" hidden="false" customHeight="true" outlineLevel="0" collapsed="false"/>
    <row r="63036" customFormat="false" ht="12.75" hidden="false" customHeight="true" outlineLevel="0" collapsed="false"/>
    <row r="63037" customFormat="false" ht="12.75" hidden="false" customHeight="true" outlineLevel="0" collapsed="false"/>
    <row r="63038" customFormat="false" ht="12.75" hidden="false" customHeight="true" outlineLevel="0" collapsed="false"/>
    <row r="63039" customFormat="false" ht="12.75" hidden="false" customHeight="true" outlineLevel="0" collapsed="false"/>
    <row r="63040" customFormat="false" ht="12.75" hidden="false" customHeight="true" outlineLevel="0" collapsed="false"/>
    <row r="63041" customFormat="false" ht="12.75" hidden="false" customHeight="true" outlineLevel="0" collapsed="false"/>
    <row r="63042" customFormat="false" ht="12.75" hidden="false" customHeight="true" outlineLevel="0" collapsed="false"/>
    <row r="63043" customFormat="false" ht="12.75" hidden="false" customHeight="true" outlineLevel="0" collapsed="false"/>
    <row r="63044" customFormat="false" ht="12.75" hidden="false" customHeight="true" outlineLevel="0" collapsed="false"/>
    <row r="63045" customFormat="false" ht="12.75" hidden="false" customHeight="true" outlineLevel="0" collapsed="false"/>
    <row r="63046" customFormat="false" ht="12.75" hidden="false" customHeight="true" outlineLevel="0" collapsed="false"/>
    <row r="63047" customFormat="false" ht="12.75" hidden="false" customHeight="true" outlineLevel="0" collapsed="false"/>
    <row r="63048" customFormat="false" ht="12.75" hidden="false" customHeight="true" outlineLevel="0" collapsed="false"/>
    <row r="63049" customFormat="false" ht="12.75" hidden="false" customHeight="true" outlineLevel="0" collapsed="false"/>
    <row r="63050" customFormat="false" ht="12.75" hidden="false" customHeight="true" outlineLevel="0" collapsed="false"/>
    <row r="63051" customFormat="false" ht="12.75" hidden="false" customHeight="true" outlineLevel="0" collapsed="false"/>
    <row r="63052" customFormat="false" ht="12.75" hidden="false" customHeight="true" outlineLevel="0" collapsed="false"/>
    <row r="63053" customFormat="false" ht="12.75" hidden="false" customHeight="true" outlineLevel="0" collapsed="false"/>
    <row r="63054" customFormat="false" ht="12.75" hidden="false" customHeight="true" outlineLevel="0" collapsed="false"/>
    <row r="63055" customFormat="false" ht="12.75" hidden="false" customHeight="true" outlineLevel="0" collapsed="false"/>
    <row r="63056" customFormat="false" ht="12.75" hidden="false" customHeight="true" outlineLevel="0" collapsed="false"/>
    <row r="63057" customFormat="false" ht="12.75" hidden="false" customHeight="true" outlineLevel="0" collapsed="false"/>
    <row r="63058" customFormat="false" ht="12.75" hidden="false" customHeight="true" outlineLevel="0" collapsed="false"/>
    <row r="63059" customFormat="false" ht="12.75" hidden="false" customHeight="true" outlineLevel="0" collapsed="false"/>
    <row r="63060" customFormat="false" ht="12.75" hidden="false" customHeight="true" outlineLevel="0" collapsed="false"/>
    <row r="63061" customFormat="false" ht="12.75" hidden="false" customHeight="true" outlineLevel="0" collapsed="false"/>
    <row r="63062" customFormat="false" ht="12.75" hidden="false" customHeight="true" outlineLevel="0" collapsed="false"/>
    <row r="63063" customFormat="false" ht="12.75" hidden="false" customHeight="true" outlineLevel="0" collapsed="false"/>
    <row r="63064" customFormat="false" ht="12.75" hidden="false" customHeight="true" outlineLevel="0" collapsed="false"/>
    <row r="63065" customFormat="false" ht="12.75" hidden="false" customHeight="true" outlineLevel="0" collapsed="false"/>
    <row r="63066" customFormat="false" ht="12.75" hidden="false" customHeight="true" outlineLevel="0" collapsed="false"/>
    <row r="63067" customFormat="false" ht="12.75" hidden="false" customHeight="true" outlineLevel="0" collapsed="false"/>
    <row r="63068" customFormat="false" ht="12.75" hidden="false" customHeight="true" outlineLevel="0" collapsed="false"/>
    <row r="63069" customFormat="false" ht="12.75" hidden="false" customHeight="true" outlineLevel="0" collapsed="false"/>
    <row r="63070" customFormat="false" ht="12.75" hidden="false" customHeight="true" outlineLevel="0" collapsed="false"/>
    <row r="63071" customFormat="false" ht="12.75" hidden="false" customHeight="true" outlineLevel="0" collapsed="false"/>
    <row r="63072" customFormat="false" ht="12.75" hidden="false" customHeight="true" outlineLevel="0" collapsed="false"/>
    <row r="63073" customFormat="false" ht="12.75" hidden="false" customHeight="true" outlineLevel="0" collapsed="false"/>
    <row r="63074" customFormat="false" ht="12.75" hidden="false" customHeight="true" outlineLevel="0" collapsed="false"/>
    <row r="63075" customFormat="false" ht="12.75" hidden="false" customHeight="true" outlineLevel="0" collapsed="false"/>
    <row r="63076" customFormat="false" ht="12.75" hidden="false" customHeight="true" outlineLevel="0" collapsed="false"/>
    <row r="63077" customFormat="false" ht="12.75" hidden="false" customHeight="true" outlineLevel="0" collapsed="false"/>
    <row r="63078" customFormat="false" ht="12.75" hidden="false" customHeight="true" outlineLevel="0" collapsed="false"/>
    <row r="63079" customFormat="false" ht="12.75" hidden="false" customHeight="true" outlineLevel="0" collapsed="false"/>
    <row r="63080" customFormat="false" ht="12.75" hidden="false" customHeight="true" outlineLevel="0" collapsed="false"/>
    <row r="63081" customFormat="false" ht="12.75" hidden="false" customHeight="true" outlineLevel="0" collapsed="false"/>
    <row r="63082" customFormat="false" ht="12.75" hidden="false" customHeight="true" outlineLevel="0" collapsed="false"/>
    <row r="63083" customFormat="false" ht="12.75" hidden="false" customHeight="true" outlineLevel="0" collapsed="false"/>
    <row r="63084" customFormat="false" ht="12.75" hidden="false" customHeight="true" outlineLevel="0" collapsed="false"/>
    <row r="63085" customFormat="false" ht="12.75" hidden="false" customHeight="true" outlineLevel="0" collapsed="false"/>
    <row r="63086" customFormat="false" ht="12.75" hidden="false" customHeight="true" outlineLevel="0" collapsed="false"/>
    <row r="63087" customFormat="false" ht="12.75" hidden="false" customHeight="true" outlineLevel="0" collapsed="false"/>
    <row r="63088" customFormat="false" ht="12.75" hidden="false" customHeight="true" outlineLevel="0" collapsed="false"/>
    <row r="63089" customFormat="false" ht="12.75" hidden="false" customHeight="true" outlineLevel="0" collapsed="false"/>
    <row r="63090" customFormat="false" ht="12.75" hidden="false" customHeight="true" outlineLevel="0" collapsed="false"/>
    <row r="63091" customFormat="false" ht="12.75" hidden="false" customHeight="true" outlineLevel="0" collapsed="false"/>
    <row r="63092" customFormat="false" ht="12.75" hidden="false" customHeight="true" outlineLevel="0" collapsed="false"/>
    <row r="63093" customFormat="false" ht="12.75" hidden="false" customHeight="true" outlineLevel="0" collapsed="false"/>
    <row r="63094" customFormat="false" ht="12.75" hidden="false" customHeight="true" outlineLevel="0" collapsed="false"/>
    <row r="63095" customFormat="false" ht="12.75" hidden="false" customHeight="true" outlineLevel="0" collapsed="false"/>
    <row r="63096" customFormat="false" ht="12.75" hidden="false" customHeight="true" outlineLevel="0" collapsed="false"/>
    <row r="63097" customFormat="false" ht="12.75" hidden="false" customHeight="true" outlineLevel="0" collapsed="false"/>
    <row r="63098" customFormat="false" ht="12.75" hidden="false" customHeight="true" outlineLevel="0" collapsed="false"/>
    <row r="63099" customFormat="false" ht="12.75" hidden="false" customHeight="true" outlineLevel="0" collapsed="false"/>
    <row r="63100" customFormat="false" ht="12.75" hidden="false" customHeight="true" outlineLevel="0" collapsed="false"/>
    <row r="63101" customFormat="false" ht="12.75" hidden="false" customHeight="true" outlineLevel="0" collapsed="false"/>
    <row r="63102" customFormat="false" ht="12.75" hidden="false" customHeight="true" outlineLevel="0" collapsed="false"/>
    <row r="63103" customFormat="false" ht="12.75" hidden="false" customHeight="true" outlineLevel="0" collapsed="false"/>
    <row r="63104" customFormat="false" ht="12.75" hidden="false" customHeight="true" outlineLevel="0" collapsed="false"/>
    <row r="63105" customFormat="false" ht="12.75" hidden="false" customHeight="true" outlineLevel="0" collapsed="false"/>
    <row r="63106" customFormat="false" ht="12.75" hidden="false" customHeight="true" outlineLevel="0" collapsed="false"/>
    <row r="63107" customFormat="false" ht="12.75" hidden="false" customHeight="true" outlineLevel="0" collapsed="false"/>
    <row r="63108" customFormat="false" ht="12.75" hidden="false" customHeight="true" outlineLevel="0" collapsed="false"/>
    <row r="63109" customFormat="false" ht="12.75" hidden="false" customHeight="true" outlineLevel="0" collapsed="false"/>
    <row r="63110" customFormat="false" ht="12.75" hidden="false" customHeight="true" outlineLevel="0" collapsed="false"/>
    <row r="63111" customFormat="false" ht="12.75" hidden="false" customHeight="true" outlineLevel="0" collapsed="false"/>
    <row r="63112" customFormat="false" ht="12.75" hidden="false" customHeight="true" outlineLevel="0" collapsed="false"/>
    <row r="63113" customFormat="false" ht="12.75" hidden="false" customHeight="true" outlineLevel="0" collapsed="false"/>
    <row r="63114" customFormat="false" ht="12.75" hidden="false" customHeight="true" outlineLevel="0" collapsed="false"/>
    <row r="63115" customFormat="false" ht="12.75" hidden="false" customHeight="true" outlineLevel="0" collapsed="false"/>
    <row r="63116" customFormat="false" ht="12.75" hidden="false" customHeight="true" outlineLevel="0" collapsed="false"/>
    <row r="63117" customFormat="false" ht="12.75" hidden="false" customHeight="true" outlineLevel="0" collapsed="false"/>
    <row r="63118" customFormat="false" ht="12.75" hidden="false" customHeight="true" outlineLevel="0" collapsed="false"/>
    <row r="63119" customFormat="false" ht="12.75" hidden="false" customHeight="true" outlineLevel="0" collapsed="false"/>
    <row r="63120" customFormat="false" ht="12.75" hidden="false" customHeight="true" outlineLevel="0" collapsed="false"/>
    <row r="63121" customFormat="false" ht="12.75" hidden="false" customHeight="true" outlineLevel="0" collapsed="false"/>
    <row r="63122" customFormat="false" ht="12.75" hidden="false" customHeight="true" outlineLevel="0" collapsed="false"/>
    <row r="63123" customFormat="false" ht="12.75" hidden="false" customHeight="true" outlineLevel="0" collapsed="false"/>
    <row r="63124" customFormat="false" ht="12.75" hidden="false" customHeight="true" outlineLevel="0" collapsed="false"/>
    <row r="63125" customFormat="false" ht="12.75" hidden="false" customHeight="true" outlineLevel="0" collapsed="false"/>
    <row r="63126" customFormat="false" ht="12.75" hidden="false" customHeight="true" outlineLevel="0" collapsed="false"/>
    <row r="63127" customFormat="false" ht="12.75" hidden="false" customHeight="true" outlineLevel="0" collapsed="false"/>
    <row r="63128" customFormat="false" ht="12.75" hidden="false" customHeight="true" outlineLevel="0" collapsed="false"/>
    <row r="63129" customFormat="false" ht="12.75" hidden="false" customHeight="true" outlineLevel="0" collapsed="false"/>
    <row r="63130" customFormat="false" ht="12.75" hidden="false" customHeight="true" outlineLevel="0" collapsed="false"/>
    <row r="63131" customFormat="false" ht="12.75" hidden="false" customHeight="true" outlineLevel="0" collapsed="false"/>
    <row r="63132" customFormat="false" ht="12.75" hidden="false" customHeight="true" outlineLevel="0" collapsed="false"/>
    <row r="63133" customFormat="false" ht="12.75" hidden="false" customHeight="true" outlineLevel="0" collapsed="false"/>
    <row r="63134" customFormat="false" ht="12.75" hidden="false" customHeight="true" outlineLevel="0" collapsed="false"/>
    <row r="63135" customFormat="false" ht="12.75" hidden="false" customHeight="true" outlineLevel="0" collapsed="false"/>
    <row r="63136" customFormat="false" ht="12.75" hidden="false" customHeight="true" outlineLevel="0" collapsed="false"/>
    <row r="63137" customFormat="false" ht="12.75" hidden="false" customHeight="true" outlineLevel="0" collapsed="false"/>
    <row r="63138" customFormat="false" ht="12.75" hidden="false" customHeight="true" outlineLevel="0" collapsed="false"/>
    <row r="63139" customFormat="false" ht="12.75" hidden="false" customHeight="true" outlineLevel="0" collapsed="false"/>
    <row r="63140" customFormat="false" ht="12.75" hidden="false" customHeight="true" outlineLevel="0" collapsed="false"/>
    <row r="63141" customFormat="false" ht="12.75" hidden="false" customHeight="true" outlineLevel="0" collapsed="false"/>
    <row r="63142" customFormat="false" ht="12.75" hidden="false" customHeight="true" outlineLevel="0" collapsed="false"/>
    <row r="63143" customFormat="false" ht="12.75" hidden="false" customHeight="true" outlineLevel="0" collapsed="false"/>
    <row r="63144" customFormat="false" ht="12.75" hidden="false" customHeight="true" outlineLevel="0" collapsed="false"/>
    <row r="63145" customFormat="false" ht="12.75" hidden="false" customHeight="true" outlineLevel="0" collapsed="false"/>
    <row r="63146" customFormat="false" ht="12.75" hidden="false" customHeight="true" outlineLevel="0" collapsed="false"/>
    <row r="63147" customFormat="false" ht="12.75" hidden="false" customHeight="true" outlineLevel="0" collapsed="false"/>
    <row r="63148" customFormat="false" ht="12.75" hidden="false" customHeight="true" outlineLevel="0" collapsed="false"/>
    <row r="63149" customFormat="false" ht="12.75" hidden="false" customHeight="true" outlineLevel="0" collapsed="false"/>
    <row r="63150" customFormat="false" ht="12.75" hidden="false" customHeight="true" outlineLevel="0" collapsed="false"/>
    <row r="63151" customFormat="false" ht="12.75" hidden="false" customHeight="true" outlineLevel="0" collapsed="false"/>
    <row r="63152" customFormat="false" ht="12.75" hidden="false" customHeight="true" outlineLevel="0" collapsed="false"/>
    <row r="63153" customFormat="false" ht="12.75" hidden="false" customHeight="true" outlineLevel="0" collapsed="false"/>
    <row r="63154" customFormat="false" ht="12.75" hidden="false" customHeight="true" outlineLevel="0" collapsed="false"/>
    <row r="63155" customFormat="false" ht="12.75" hidden="false" customHeight="true" outlineLevel="0" collapsed="false"/>
    <row r="63156" customFormat="false" ht="12.75" hidden="false" customHeight="true" outlineLevel="0" collapsed="false"/>
    <row r="63157" customFormat="false" ht="12.75" hidden="false" customHeight="true" outlineLevel="0" collapsed="false"/>
    <row r="63158" customFormat="false" ht="12.75" hidden="false" customHeight="true" outlineLevel="0" collapsed="false"/>
    <row r="63159" customFormat="false" ht="12.75" hidden="false" customHeight="true" outlineLevel="0" collapsed="false"/>
    <row r="63160" customFormat="false" ht="12.75" hidden="false" customHeight="true" outlineLevel="0" collapsed="false"/>
    <row r="63161" customFormat="false" ht="12.75" hidden="false" customHeight="true" outlineLevel="0" collapsed="false"/>
    <row r="63162" customFormat="false" ht="12.75" hidden="false" customHeight="true" outlineLevel="0" collapsed="false"/>
    <row r="63163" customFormat="false" ht="12.75" hidden="false" customHeight="true" outlineLevel="0" collapsed="false"/>
    <row r="63164" customFormat="false" ht="12.75" hidden="false" customHeight="true" outlineLevel="0" collapsed="false"/>
    <row r="63165" customFormat="false" ht="12.75" hidden="false" customHeight="true" outlineLevel="0" collapsed="false"/>
    <row r="63166" customFormat="false" ht="12.75" hidden="false" customHeight="true" outlineLevel="0" collapsed="false"/>
    <row r="63167" customFormat="false" ht="12.75" hidden="false" customHeight="true" outlineLevel="0" collapsed="false"/>
    <row r="63168" customFormat="false" ht="12.75" hidden="false" customHeight="true" outlineLevel="0" collapsed="false"/>
    <row r="63169" customFormat="false" ht="12.75" hidden="false" customHeight="true" outlineLevel="0" collapsed="false"/>
    <row r="63170" customFormat="false" ht="12.75" hidden="false" customHeight="true" outlineLevel="0" collapsed="false"/>
    <row r="63171" customFormat="false" ht="12.75" hidden="false" customHeight="true" outlineLevel="0" collapsed="false"/>
    <row r="63172" customFormat="false" ht="12.75" hidden="false" customHeight="true" outlineLevel="0" collapsed="false"/>
    <row r="63173" customFormat="false" ht="12.75" hidden="false" customHeight="true" outlineLevel="0" collapsed="false"/>
    <row r="63174" customFormat="false" ht="12.75" hidden="false" customHeight="true" outlineLevel="0" collapsed="false"/>
    <row r="63175" customFormat="false" ht="12.75" hidden="false" customHeight="true" outlineLevel="0" collapsed="false"/>
    <row r="63176" customFormat="false" ht="12.75" hidden="false" customHeight="true" outlineLevel="0" collapsed="false"/>
    <row r="63177" customFormat="false" ht="12.75" hidden="false" customHeight="true" outlineLevel="0" collapsed="false"/>
    <row r="63178" customFormat="false" ht="12.75" hidden="false" customHeight="true" outlineLevel="0" collapsed="false"/>
    <row r="63179" customFormat="false" ht="12.75" hidden="false" customHeight="true" outlineLevel="0" collapsed="false"/>
    <row r="63180" customFormat="false" ht="12.75" hidden="false" customHeight="true" outlineLevel="0" collapsed="false"/>
    <row r="63181" customFormat="false" ht="12.75" hidden="false" customHeight="true" outlineLevel="0" collapsed="false"/>
    <row r="63182" customFormat="false" ht="12.75" hidden="false" customHeight="true" outlineLevel="0" collapsed="false"/>
    <row r="63183" customFormat="false" ht="12.75" hidden="false" customHeight="true" outlineLevel="0" collapsed="false"/>
    <row r="63184" customFormat="false" ht="12.75" hidden="false" customHeight="true" outlineLevel="0" collapsed="false"/>
    <row r="63185" customFormat="false" ht="12.75" hidden="false" customHeight="true" outlineLevel="0" collapsed="false"/>
    <row r="63186" customFormat="false" ht="12.75" hidden="false" customHeight="true" outlineLevel="0" collapsed="false"/>
    <row r="63187" customFormat="false" ht="12.75" hidden="false" customHeight="true" outlineLevel="0" collapsed="false"/>
    <row r="63188" customFormat="false" ht="12.75" hidden="false" customHeight="true" outlineLevel="0" collapsed="false"/>
    <row r="63189" customFormat="false" ht="12.75" hidden="false" customHeight="true" outlineLevel="0" collapsed="false"/>
    <row r="63190" customFormat="false" ht="12.75" hidden="false" customHeight="true" outlineLevel="0" collapsed="false"/>
    <row r="63191" customFormat="false" ht="12.75" hidden="false" customHeight="true" outlineLevel="0" collapsed="false"/>
    <row r="63192" customFormat="false" ht="12.75" hidden="false" customHeight="true" outlineLevel="0" collapsed="false"/>
    <row r="63193" customFormat="false" ht="12.75" hidden="false" customHeight="true" outlineLevel="0" collapsed="false"/>
    <row r="63194" customFormat="false" ht="12.75" hidden="false" customHeight="true" outlineLevel="0" collapsed="false"/>
    <row r="63195" customFormat="false" ht="12.75" hidden="false" customHeight="true" outlineLevel="0" collapsed="false"/>
    <row r="63196" customFormat="false" ht="12.75" hidden="false" customHeight="true" outlineLevel="0" collapsed="false"/>
    <row r="63197" customFormat="false" ht="12.75" hidden="false" customHeight="true" outlineLevel="0" collapsed="false"/>
    <row r="63198" customFormat="false" ht="12.75" hidden="false" customHeight="true" outlineLevel="0" collapsed="false"/>
    <row r="63199" customFormat="false" ht="12.75" hidden="false" customHeight="true" outlineLevel="0" collapsed="false"/>
    <row r="63200" customFormat="false" ht="12.75" hidden="false" customHeight="true" outlineLevel="0" collapsed="false"/>
    <row r="63201" customFormat="false" ht="12.75" hidden="false" customHeight="true" outlineLevel="0" collapsed="false"/>
    <row r="63202" customFormat="false" ht="12.75" hidden="false" customHeight="true" outlineLevel="0" collapsed="false"/>
    <row r="63203" customFormat="false" ht="12.75" hidden="false" customHeight="true" outlineLevel="0" collapsed="false"/>
    <row r="63204" customFormat="false" ht="12.75" hidden="false" customHeight="true" outlineLevel="0" collapsed="false"/>
    <row r="63205" customFormat="false" ht="12.75" hidden="false" customHeight="true" outlineLevel="0" collapsed="false"/>
    <row r="63206" customFormat="false" ht="12.75" hidden="false" customHeight="true" outlineLevel="0" collapsed="false"/>
    <row r="63207" customFormat="false" ht="12.75" hidden="false" customHeight="true" outlineLevel="0" collapsed="false"/>
    <row r="63208" customFormat="false" ht="12.75" hidden="false" customHeight="true" outlineLevel="0" collapsed="false"/>
    <row r="63209" customFormat="false" ht="12.75" hidden="false" customHeight="true" outlineLevel="0" collapsed="false"/>
    <row r="63210" customFormat="false" ht="12.75" hidden="false" customHeight="true" outlineLevel="0" collapsed="false"/>
    <row r="63211" customFormat="false" ht="12.75" hidden="false" customHeight="true" outlineLevel="0" collapsed="false"/>
    <row r="63212" customFormat="false" ht="12.75" hidden="false" customHeight="true" outlineLevel="0" collapsed="false"/>
    <row r="63213" customFormat="false" ht="12.75" hidden="false" customHeight="true" outlineLevel="0" collapsed="false"/>
    <row r="63214" customFormat="false" ht="12.75" hidden="false" customHeight="true" outlineLevel="0" collapsed="false"/>
    <row r="63215" customFormat="false" ht="12.75" hidden="false" customHeight="true" outlineLevel="0" collapsed="false"/>
    <row r="63216" customFormat="false" ht="12.75" hidden="false" customHeight="true" outlineLevel="0" collapsed="false"/>
    <row r="63217" customFormat="false" ht="12.75" hidden="false" customHeight="true" outlineLevel="0" collapsed="false"/>
    <row r="63218" customFormat="false" ht="12.75" hidden="false" customHeight="true" outlineLevel="0" collapsed="false"/>
    <row r="63219" customFormat="false" ht="12.75" hidden="false" customHeight="true" outlineLevel="0" collapsed="false"/>
    <row r="63220" customFormat="false" ht="12.75" hidden="false" customHeight="true" outlineLevel="0" collapsed="false"/>
    <row r="63221" customFormat="false" ht="12.75" hidden="false" customHeight="true" outlineLevel="0" collapsed="false"/>
    <row r="63222" customFormat="false" ht="12.75" hidden="false" customHeight="true" outlineLevel="0" collapsed="false"/>
    <row r="63223" customFormat="false" ht="12.75" hidden="false" customHeight="true" outlineLevel="0" collapsed="false"/>
    <row r="63224" customFormat="false" ht="12.75" hidden="false" customHeight="true" outlineLevel="0" collapsed="false"/>
    <row r="63225" customFormat="false" ht="12.75" hidden="false" customHeight="true" outlineLevel="0" collapsed="false"/>
    <row r="63226" customFormat="false" ht="12.75" hidden="false" customHeight="true" outlineLevel="0" collapsed="false"/>
    <row r="63227" customFormat="false" ht="12.75" hidden="false" customHeight="true" outlineLevel="0" collapsed="false"/>
    <row r="63228" customFormat="false" ht="12.75" hidden="false" customHeight="true" outlineLevel="0" collapsed="false"/>
    <row r="63229" customFormat="false" ht="12.75" hidden="false" customHeight="true" outlineLevel="0" collapsed="false"/>
    <row r="63230" customFormat="false" ht="12.75" hidden="false" customHeight="true" outlineLevel="0" collapsed="false"/>
    <row r="63231" customFormat="false" ht="12.75" hidden="false" customHeight="true" outlineLevel="0" collapsed="false"/>
    <row r="63232" customFormat="false" ht="12.75" hidden="false" customHeight="true" outlineLevel="0" collapsed="false"/>
    <row r="63233" customFormat="false" ht="12.75" hidden="false" customHeight="true" outlineLevel="0" collapsed="false"/>
    <row r="63234" customFormat="false" ht="12.75" hidden="false" customHeight="true" outlineLevel="0" collapsed="false"/>
    <row r="63235" customFormat="false" ht="12.75" hidden="false" customHeight="true" outlineLevel="0" collapsed="false"/>
    <row r="63236" customFormat="false" ht="12.75" hidden="false" customHeight="true" outlineLevel="0" collapsed="false"/>
    <row r="63237" customFormat="false" ht="12.75" hidden="false" customHeight="true" outlineLevel="0" collapsed="false"/>
    <row r="63238" customFormat="false" ht="12.75" hidden="false" customHeight="true" outlineLevel="0" collapsed="false"/>
    <row r="63239" customFormat="false" ht="12.75" hidden="false" customHeight="true" outlineLevel="0" collapsed="false"/>
    <row r="63240" customFormat="false" ht="12.75" hidden="false" customHeight="true" outlineLevel="0" collapsed="false"/>
    <row r="63241" customFormat="false" ht="12.75" hidden="false" customHeight="true" outlineLevel="0" collapsed="false"/>
    <row r="63242" customFormat="false" ht="12.75" hidden="false" customHeight="true" outlineLevel="0" collapsed="false"/>
    <row r="63243" customFormat="false" ht="12.75" hidden="false" customHeight="true" outlineLevel="0" collapsed="false"/>
    <row r="63244" customFormat="false" ht="12.75" hidden="false" customHeight="true" outlineLevel="0" collapsed="false"/>
    <row r="63245" customFormat="false" ht="12.75" hidden="false" customHeight="true" outlineLevel="0" collapsed="false"/>
    <row r="63246" customFormat="false" ht="12.75" hidden="false" customHeight="true" outlineLevel="0" collapsed="false"/>
    <row r="63247" customFormat="false" ht="12.75" hidden="false" customHeight="true" outlineLevel="0" collapsed="false"/>
    <row r="63248" customFormat="false" ht="12.75" hidden="false" customHeight="true" outlineLevel="0" collapsed="false"/>
    <row r="63249" customFormat="false" ht="12.75" hidden="false" customHeight="true" outlineLevel="0" collapsed="false"/>
    <row r="63250" customFormat="false" ht="12.75" hidden="false" customHeight="true" outlineLevel="0" collapsed="false"/>
    <row r="63251" customFormat="false" ht="12.75" hidden="false" customHeight="true" outlineLevel="0" collapsed="false"/>
    <row r="63252" customFormat="false" ht="12.75" hidden="false" customHeight="true" outlineLevel="0" collapsed="false"/>
    <row r="63253" customFormat="false" ht="12.75" hidden="false" customHeight="true" outlineLevel="0" collapsed="false"/>
    <row r="63254" customFormat="false" ht="12.75" hidden="false" customHeight="true" outlineLevel="0" collapsed="false"/>
    <row r="63255" customFormat="false" ht="12.75" hidden="false" customHeight="true" outlineLevel="0" collapsed="false"/>
    <row r="63256" customFormat="false" ht="12.75" hidden="false" customHeight="true" outlineLevel="0" collapsed="false"/>
    <row r="63257" customFormat="false" ht="12.75" hidden="false" customHeight="true" outlineLevel="0" collapsed="false"/>
    <row r="63258" customFormat="false" ht="12.75" hidden="false" customHeight="true" outlineLevel="0" collapsed="false"/>
    <row r="63259" customFormat="false" ht="12.75" hidden="false" customHeight="true" outlineLevel="0" collapsed="false"/>
    <row r="63260" customFormat="false" ht="12.75" hidden="false" customHeight="true" outlineLevel="0" collapsed="false"/>
    <row r="63261" customFormat="false" ht="12.75" hidden="false" customHeight="true" outlineLevel="0" collapsed="false"/>
    <row r="63262" customFormat="false" ht="12.75" hidden="false" customHeight="true" outlineLevel="0" collapsed="false"/>
    <row r="63263" customFormat="false" ht="12.75" hidden="false" customHeight="true" outlineLevel="0" collapsed="false"/>
    <row r="63264" customFormat="false" ht="12.75" hidden="false" customHeight="true" outlineLevel="0" collapsed="false"/>
    <row r="63265" customFormat="false" ht="12.75" hidden="false" customHeight="true" outlineLevel="0" collapsed="false"/>
    <row r="63266" customFormat="false" ht="12.75" hidden="false" customHeight="true" outlineLevel="0" collapsed="false"/>
    <row r="63267" customFormat="false" ht="12.75" hidden="false" customHeight="true" outlineLevel="0" collapsed="false"/>
    <row r="63268" customFormat="false" ht="12.75" hidden="false" customHeight="true" outlineLevel="0" collapsed="false"/>
    <row r="63269" customFormat="false" ht="12.75" hidden="false" customHeight="true" outlineLevel="0" collapsed="false"/>
    <row r="63270" customFormat="false" ht="12.75" hidden="false" customHeight="true" outlineLevel="0" collapsed="false"/>
    <row r="63271" customFormat="false" ht="12.75" hidden="false" customHeight="true" outlineLevel="0" collapsed="false"/>
    <row r="63272" customFormat="false" ht="12.75" hidden="false" customHeight="true" outlineLevel="0" collapsed="false"/>
    <row r="63273" customFormat="false" ht="12.75" hidden="false" customHeight="true" outlineLevel="0" collapsed="false"/>
    <row r="63274" customFormat="false" ht="12.75" hidden="false" customHeight="true" outlineLevel="0" collapsed="false"/>
    <row r="63275" customFormat="false" ht="12.75" hidden="false" customHeight="true" outlineLevel="0" collapsed="false"/>
    <row r="63276" customFormat="false" ht="12.75" hidden="false" customHeight="true" outlineLevel="0" collapsed="false"/>
    <row r="63277" customFormat="false" ht="12.75" hidden="false" customHeight="true" outlineLevel="0" collapsed="false"/>
    <row r="63278" customFormat="false" ht="12.75" hidden="false" customHeight="true" outlineLevel="0" collapsed="false"/>
    <row r="63279" customFormat="false" ht="12.75" hidden="false" customHeight="true" outlineLevel="0" collapsed="false"/>
    <row r="63280" customFormat="false" ht="12.75" hidden="false" customHeight="true" outlineLevel="0" collapsed="false"/>
    <row r="63281" customFormat="false" ht="12.75" hidden="false" customHeight="true" outlineLevel="0" collapsed="false"/>
    <row r="63282" customFormat="false" ht="12.75" hidden="false" customHeight="true" outlineLevel="0" collapsed="false"/>
    <row r="63283" customFormat="false" ht="12.75" hidden="false" customHeight="true" outlineLevel="0" collapsed="false"/>
    <row r="63284" customFormat="false" ht="12.75" hidden="false" customHeight="true" outlineLevel="0" collapsed="false"/>
    <row r="63285" customFormat="false" ht="12.75" hidden="false" customHeight="true" outlineLevel="0" collapsed="false"/>
    <row r="63286" customFormat="false" ht="12.75" hidden="false" customHeight="true" outlineLevel="0" collapsed="false"/>
    <row r="63287" customFormat="false" ht="12.75" hidden="false" customHeight="true" outlineLevel="0" collapsed="false"/>
    <row r="63288" customFormat="false" ht="12.75" hidden="false" customHeight="true" outlineLevel="0" collapsed="false"/>
    <row r="63289" customFormat="false" ht="12.75" hidden="false" customHeight="true" outlineLevel="0" collapsed="false"/>
    <row r="63290" customFormat="false" ht="12.75" hidden="false" customHeight="true" outlineLevel="0" collapsed="false"/>
    <row r="63291" customFormat="false" ht="12.75" hidden="false" customHeight="true" outlineLevel="0" collapsed="false"/>
    <row r="63292" customFormat="false" ht="12.75" hidden="false" customHeight="true" outlineLevel="0" collapsed="false"/>
    <row r="63293" customFormat="false" ht="12.75" hidden="false" customHeight="true" outlineLevel="0" collapsed="false"/>
    <row r="63294" customFormat="false" ht="12.75" hidden="false" customHeight="true" outlineLevel="0" collapsed="false"/>
    <row r="63295" customFormat="false" ht="12.75" hidden="false" customHeight="true" outlineLevel="0" collapsed="false"/>
    <row r="63296" customFormat="false" ht="12.75" hidden="false" customHeight="true" outlineLevel="0" collapsed="false"/>
    <row r="63297" customFormat="false" ht="12.75" hidden="false" customHeight="true" outlineLevel="0" collapsed="false"/>
    <row r="63298" customFormat="false" ht="12.75" hidden="false" customHeight="true" outlineLevel="0" collapsed="false"/>
    <row r="63299" customFormat="false" ht="12.75" hidden="false" customHeight="true" outlineLevel="0" collapsed="false"/>
    <row r="63300" customFormat="false" ht="12.75" hidden="false" customHeight="true" outlineLevel="0" collapsed="false"/>
    <row r="63301" customFormat="false" ht="12.75" hidden="false" customHeight="true" outlineLevel="0" collapsed="false"/>
    <row r="63302" customFormat="false" ht="12.75" hidden="false" customHeight="true" outlineLevel="0" collapsed="false"/>
    <row r="63303" customFormat="false" ht="12.75" hidden="false" customHeight="true" outlineLevel="0" collapsed="false"/>
    <row r="63304" customFormat="false" ht="12.75" hidden="false" customHeight="true" outlineLevel="0" collapsed="false"/>
    <row r="63305" customFormat="false" ht="12.75" hidden="false" customHeight="true" outlineLevel="0" collapsed="false"/>
    <row r="63306" customFormat="false" ht="12.75" hidden="false" customHeight="true" outlineLevel="0" collapsed="false"/>
    <row r="63307" customFormat="false" ht="12.75" hidden="false" customHeight="true" outlineLevel="0" collapsed="false"/>
    <row r="63308" customFormat="false" ht="12.75" hidden="false" customHeight="true" outlineLevel="0" collapsed="false"/>
    <row r="63309" customFormat="false" ht="12.75" hidden="false" customHeight="true" outlineLevel="0" collapsed="false"/>
    <row r="63310" customFormat="false" ht="12.75" hidden="false" customHeight="true" outlineLevel="0" collapsed="false"/>
    <row r="63311" customFormat="false" ht="12.75" hidden="false" customHeight="true" outlineLevel="0" collapsed="false"/>
    <row r="63312" customFormat="false" ht="12.75" hidden="false" customHeight="true" outlineLevel="0" collapsed="false"/>
    <row r="63313" customFormat="false" ht="12.75" hidden="false" customHeight="true" outlineLevel="0" collapsed="false"/>
    <row r="63314" customFormat="false" ht="12.75" hidden="false" customHeight="true" outlineLevel="0" collapsed="false"/>
    <row r="63315" customFormat="false" ht="12.75" hidden="false" customHeight="true" outlineLevel="0" collapsed="false"/>
    <row r="63316" customFormat="false" ht="12.75" hidden="false" customHeight="true" outlineLevel="0" collapsed="false"/>
    <row r="63317" customFormat="false" ht="12.75" hidden="false" customHeight="true" outlineLevel="0" collapsed="false"/>
    <row r="63318" customFormat="false" ht="12.75" hidden="false" customHeight="true" outlineLevel="0" collapsed="false"/>
    <row r="63319" customFormat="false" ht="12.75" hidden="false" customHeight="true" outlineLevel="0" collapsed="false"/>
    <row r="63320" customFormat="false" ht="12.75" hidden="false" customHeight="true" outlineLevel="0" collapsed="false"/>
    <row r="63321" customFormat="false" ht="12.75" hidden="false" customHeight="true" outlineLevel="0" collapsed="false"/>
    <row r="63322" customFormat="false" ht="12.75" hidden="false" customHeight="true" outlineLevel="0" collapsed="false"/>
    <row r="63323" customFormat="false" ht="12.75" hidden="false" customHeight="true" outlineLevel="0" collapsed="false"/>
    <row r="63324" customFormat="false" ht="12.75" hidden="false" customHeight="true" outlineLevel="0" collapsed="false"/>
    <row r="63325" customFormat="false" ht="12.75" hidden="false" customHeight="true" outlineLevel="0" collapsed="false"/>
    <row r="63326" customFormat="false" ht="12.75" hidden="false" customHeight="true" outlineLevel="0" collapsed="false"/>
    <row r="63327" customFormat="false" ht="12.75" hidden="false" customHeight="true" outlineLevel="0" collapsed="false"/>
    <row r="63328" customFormat="false" ht="12.75" hidden="false" customHeight="true" outlineLevel="0" collapsed="false"/>
    <row r="63329" customFormat="false" ht="12.75" hidden="false" customHeight="true" outlineLevel="0" collapsed="false"/>
    <row r="63330" customFormat="false" ht="12.75" hidden="false" customHeight="true" outlineLevel="0" collapsed="false"/>
    <row r="63331" customFormat="false" ht="12.75" hidden="false" customHeight="true" outlineLevel="0" collapsed="false"/>
    <row r="63332" customFormat="false" ht="12.75" hidden="false" customHeight="true" outlineLevel="0" collapsed="false"/>
    <row r="63333" customFormat="false" ht="12.75" hidden="false" customHeight="true" outlineLevel="0" collapsed="false"/>
    <row r="63334" customFormat="false" ht="12.75" hidden="false" customHeight="true" outlineLevel="0" collapsed="false"/>
    <row r="63335" customFormat="false" ht="12.75" hidden="false" customHeight="true" outlineLevel="0" collapsed="false"/>
    <row r="63336" customFormat="false" ht="12.75" hidden="false" customHeight="true" outlineLevel="0" collapsed="false"/>
    <row r="63337" customFormat="false" ht="12.75" hidden="false" customHeight="true" outlineLevel="0" collapsed="false"/>
    <row r="63338" customFormat="false" ht="12.75" hidden="false" customHeight="true" outlineLevel="0" collapsed="false"/>
    <row r="63339" customFormat="false" ht="12.75" hidden="false" customHeight="true" outlineLevel="0" collapsed="false"/>
    <row r="63340" customFormat="false" ht="12.75" hidden="false" customHeight="true" outlineLevel="0" collapsed="false"/>
    <row r="63341" customFormat="false" ht="12.75" hidden="false" customHeight="true" outlineLevel="0" collapsed="false"/>
    <row r="63342" customFormat="false" ht="12.75" hidden="false" customHeight="true" outlineLevel="0" collapsed="false"/>
    <row r="63343" customFormat="false" ht="12.75" hidden="false" customHeight="true" outlineLevel="0" collapsed="false"/>
    <row r="63344" customFormat="false" ht="12.75" hidden="false" customHeight="true" outlineLevel="0" collapsed="false"/>
    <row r="63345" customFormat="false" ht="12.75" hidden="false" customHeight="true" outlineLevel="0" collapsed="false"/>
    <row r="63346" customFormat="false" ht="12.75" hidden="false" customHeight="true" outlineLevel="0" collapsed="false"/>
    <row r="63347" customFormat="false" ht="12.75" hidden="false" customHeight="true" outlineLevel="0" collapsed="false"/>
    <row r="63348" customFormat="false" ht="12.75" hidden="false" customHeight="true" outlineLevel="0" collapsed="false"/>
    <row r="63349" customFormat="false" ht="12.75" hidden="false" customHeight="true" outlineLevel="0" collapsed="false"/>
    <row r="63350" customFormat="false" ht="12.75" hidden="false" customHeight="true" outlineLevel="0" collapsed="false"/>
    <row r="63351" customFormat="false" ht="12.75" hidden="false" customHeight="true" outlineLevel="0" collapsed="false"/>
    <row r="63352" customFormat="false" ht="12.75" hidden="false" customHeight="true" outlineLevel="0" collapsed="false"/>
    <row r="63353" customFormat="false" ht="12.75" hidden="false" customHeight="true" outlineLevel="0" collapsed="false"/>
    <row r="63354" customFormat="false" ht="12.75" hidden="false" customHeight="true" outlineLevel="0" collapsed="false"/>
    <row r="63355" customFormat="false" ht="12.75" hidden="false" customHeight="true" outlineLevel="0" collapsed="false"/>
    <row r="63356" customFormat="false" ht="12.75" hidden="false" customHeight="true" outlineLevel="0" collapsed="false"/>
    <row r="63357" customFormat="false" ht="12.75" hidden="false" customHeight="true" outlineLevel="0" collapsed="false"/>
    <row r="63358" customFormat="false" ht="12.75" hidden="false" customHeight="true" outlineLevel="0" collapsed="false"/>
    <row r="63359" customFormat="false" ht="12.75" hidden="false" customHeight="true" outlineLevel="0" collapsed="false"/>
    <row r="63360" customFormat="false" ht="12.75" hidden="false" customHeight="true" outlineLevel="0" collapsed="false"/>
    <row r="63361" customFormat="false" ht="12.75" hidden="false" customHeight="true" outlineLevel="0" collapsed="false"/>
    <row r="63362" customFormat="false" ht="12.75" hidden="false" customHeight="true" outlineLevel="0" collapsed="false"/>
    <row r="63363" customFormat="false" ht="12.75" hidden="false" customHeight="true" outlineLevel="0" collapsed="false"/>
    <row r="63364" customFormat="false" ht="12.75" hidden="false" customHeight="true" outlineLevel="0" collapsed="false"/>
    <row r="63365" customFormat="false" ht="12.75" hidden="false" customHeight="true" outlineLevel="0" collapsed="false"/>
    <row r="63366" customFormat="false" ht="12.75" hidden="false" customHeight="true" outlineLevel="0" collapsed="false"/>
    <row r="63367" customFormat="false" ht="12.75" hidden="false" customHeight="true" outlineLevel="0" collapsed="false"/>
    <row r="63368" customFormat="false" ht="12.75" hidden="false" customHeight="true" outlineLevel="0" collapsed="false"/>
    <row r="63369" customFormat="false" ht="12.75" hidden="false" customHeight="true" outlineLevel="0" collapsed="false"/>
    <row r="63370" customFormat="false" ht="12.75" hidden="false" customHeight="true" outlineLevel="0" collapsed="false"/>
    <row r="63371" customFormat="false" ht="12.75" hidden="false" customHeight="true" outlineLevel="0" collapsed="false"/>
    <row r="63372" customFormat="false" ht="12.75" hidden="false" customHeight="true" outlineLevel="0" collapsed="false"/>
    <row r="63373" customFormat="false" ht="12.75" hidden="false" customHeight="true" outlineLevel="0" collapsed="false"/>
    <row r="63374" customFormat="false" ht="12.75" hidden="false" customHeight="true" outlineLevel="0" collapsed="false"/>
    <row r="63375" customFormat="false" ht="12.75" hidden="false" customHeight="true" outlineLevel="0" collapsed="false"/>
    <row r="63376" customFormat="false" ht="12.75" hidden="false" customHeight="true" outlineLevel="0" collapsed="false"/>
    <row r="63377" customFormat="false" ht="12.75" hidden="false" customHeight="true" outlineLevel="0" collapsed="false"/>
    <row r="63378" customFormat="false" ht="12.75" hidden="false" customHeight="true" outlineLevel="0" collapsed="false"/>
    <row r="63379" customFormat="false" ht="12.75" hidden="false" customHeight="true" outlineLevel="0" collapsed="false"/>
    <row r="63380" customFormat="false" ht="12.75" hidden="false" customHeight="true" outlineLevel="0" collapsed="false"/>
    <row r="63381" customFormat="false" ht="12.75" hidden="false" customHeight="true" outlineLevel="0" collapsed="false"/>
    <row r="63382" customFormat="false" ht="12.75" hidden="false" customHeight="true" outlineLevel="0" collapsed="false"/>
    <row r="63383" customFormat="false" ht="12.75" hidden="false" customHeight="true" outlineLevel="0" collapsed="false"/>
    <row r="63384" customFormat="false" ht="12.75" hidden="false" customHeight="true" outlineLevel="0" collapsed="false"/>
    <row r="63385" customFormat="false" ht="12.75" hidden="false" customHeight="true" outlineLevel="0" collapsed="false"/>
    <row r="63386" customFormat="false" ht="12.75" hidden="false" customHeight="true" outlineLevel="0" collapsed="false"/>
    <row r="63387" customFormat="false" ht="12.75" hidden="false" customHeight="true" outlineLevel="0" collapsed="false"/>
    <row r="63388" customFormat="false" ht="12.75" hidden="false" customHeight="true" outlineLevel="0" collapsed="false"/>
    <row r="63389" customFormat="false" ht="12.75" hidden="false" customHeight="true" outlineLevel="0" collapsed="false"/>
    <row r="63390" customFormat="false" ht="12.75" hidden="false" customHeight="true" outlineLevel="0" collapsed="false"/>
    <row r="63391" customFormat="false" ht="12.75" hidden="false" customHeight="true" outlineLevel="0" collapsed="false"/>
    <row r="63392" customFormat="false" ht="12.75" hidden="false" customHeight="true" outlineLevel="0" collapsed="false"/>
    <row r="63393" customFormat="false" ht="12.75" hidden="false" customHeight="true" outlineLevel="0" collapsed="false"/>
    <row r="63394" customFormat="false" ht="12.75" hidden="false" customHeight="true" outlineLevel="0" collapsed="false"/>
    <row r="63395" customFormat="false" ht="12.75" hidden="false" customHeight="true" outlineLevel="0" collapsed="false"/>
    <row r="63396" customFormat="false" ht="12.75" hidden="false" customHeight="true" outlineLevel="0" collapsed="false"/>
    <row r="63397" customFormat="false" ht="12.75" hidden="false" customHeight="true" outlineLevel="0" collapsed="false"/>
    <row r="63398" customFormat="false" ht="12.75" hidden="false" customHeight="true" outlineLevel="0" collapsed="false"/>
    <row r="63399" customFormat="false" ht="12.75" hidden="false" customHeight="true" outlineLevel="0" collapsed="false"/>
    <row r="63400" customFormat="false" ht="12.75" hidden="false" customHeight="true" outlineLevel="0" collapsed="false"/>
    <row r="63401" customFormat="false" ht="12.75" hidden="false" customHeight="true" outlineLevel="0" collapsed="false"/>
    <row r="63402" customFormat="false" ht="12.75" hidden="false" customHeight="true" outlineLevel="0" collapsed="false"/>
    <row r="63403" customFormat="false" ht="12.75" hidden="false" customHeight="true" outlineLevel="0" collapsed="false"/>
    <row r="63404" customFormat="false" ht="12.75" hidden="false" customHeight="true" outlineLevel="0" collapsed="false"/>
    <row r="63405" customFormat="false" ht="12.75" hidden="false" customHeight="true" outlineLevel="0" collapsed="false"/>
    <row r="63406" customFormat="false" ht="12.75" hidden="false" customHeight="true" outlineLevel="0" collapsed="false"/>
    <row r="63407" customFormat="false" ht="12.75" hidden="false" customHeight="true" outlineLevel="0" collapsed="false"/>
    <row r="63408" customFormat="false" ht="12.75" hidden="false" customHeight="true" outlineLevel="0" collapsed="false"/>
    <row r="63409" customFormat="false" ht="12.75" hidden="false" customHeight="true" outlineLevel="0" collapsed="false"/>
    <row r="63410" customFormat="false" ht="12.75" hidden="false" customHeight="true" outlineLevel="0" collapsed="false"/>
    <row r="63411" customFormat="false" ht="12.75" hidden="false" customHeight="true" outlineLevel="0" collapsed="false"/>
    <row r="63412" customFormat="false" ht="12.75" hidden="false" customHeight="true" outlineLevel="0" collapsed="false"/>
    <row r="63413" customFormat="false" ht="12.75" hidden="false" customHeight="true" outlineLevel="0" collapsed="false"/>
    <row r="63414" customFormat="false" ht="12.75" hidden="false" customHeight="true" outlineLevel="0" collapsed="false"/>
    <row r="63415" customFormat="false" ht="12.75" hidden="false" customHeight="true" outlineLevel="0" collapsed="false"/>
    <row r="63416" customFormat="false" ht="12.75" hidden="false" customHeight="true" outlineLevel="0" collapsed="false"/>
    <row r="63417" customFormat="false" ht="12.75" hidden="false" customHeight="true" outlineLevel="0" collapsed="false"/>
    <row r="63418" customFormat="false" ht="12.75" hidden="false" customHeight="true" outlineLevel="0" collapsed="false"/>
    <row r="63419" customFormat="false" ht="12.75" hidden="false" customHeight="true" outlineLevel="0" collapsed="false"/>
    <row r="63420" customFormat="false" ht="12.75" hidden="false" customHeight="true" outlineLevel="0" collapsed="false"/>
    <row r="63421" customFormat="false" ht="12.75" hidden="false" customHeight="true" outlineLevel="0" collapsed="false"/>
    <row r="63422" customFormat="false" ht="12.75" hidden="false" customHeight="true" outlineLevel="0" collapsed="false"/>
    <row r="63423" customFormat="false" ht="12.75" hidden="false" customHeight="true" outlineLevel="0" collapsed="false"/>
    <row r="63424" customFormat="false" ht="12.75" hidden="false" customHeight="true" outlineLevel="0" collapsed="false"/>
    <row r="63425" customFormat="false" ht="12.75" hidden="false" customHeight="true" outlineLevel="0" collapsed="false"/>
    <row r="63426" customFormat="false" ht="12.75" hidden="false" customHeight="true" outlineLevel="0" collapsed="false"/>
    <row r="63427" customFormat="false" ht="12.75" hidden="false" customHeight="true" outlineLevel="0" collapsed="false"/>
    <row r="63428" customFormat="false" ht="12.75" hidden="false" customHeight="true" outlineLevel="0" collapsed="false"/>
    <row r="63429" customFormat="false" ht="12.75" hidden="false" customHeight="true" outlineLevel="0" collapsed="false"/>
    <row r="63430" customFormat="false" ht="12.75" hidden="false" customHeight="true" outlineLevel="0" collapsed="false"/>
    <row r="63431" customFormat="false" ht="12.75" hidden="false" customHeight="true" outlineLevel="0" collapsed="false"/>
    <row r="63432" customFormat="false" ht="12.75" hidden="false" customHeight="true" outlineLevel="0" collapsed="false"/>
    <row r="63433" customFormat="false" ht="12.75" hidden="false" customHeight="true" outlineLevel="0" collapsed="false"/>
    <row r="63434" customFormat="false" ht="12.75" hidden="false" customHeight="true" outlineLevel="0" collapsed="false"/>
    <row r="63435" customFormat="false" ht="12.75" hidden="false" customHeight="true" outlineLevel="0" collapsed="false"/>
    <row r="63436" customFormat="false" ht="12.75" hidden="false" customHeight="true" outlineLevel="0" collapsed="false"/>
    <row r="63437" customFormat="false" ht="12.75" hidden="false" customHeight="true" outlineLevel="0" collapsed="false"/>
    <row r="63438" customFormat="false" ht="12.75" hidden="false" customHeight="true" outlineLevel="0" collapsed="false"/>
    <row r="63439" customFormat="false" ht="12.75" hidden="false" customHeight="true" outlineLevel="0" collapsed="false"/>
    <row r="63440" customFormat="false" ht="12.75" hidden="false" customHeight="true" outlineLevel="0" collapsed="false"/>
    <row r="63441" customFormat="false" ht="12.75" hidden="false" customHeight="true" outlineLevel="0" collapsed="false"/>
    <row r="63442" customFormat="false" ht="12.75" hidden="false" customHeight="true" outlineLevel="0" collapsed="false"/>
    <row r="63443" customFormat="false" ht="12.75" hidden="false" customHeight="true" outlineLevel="0" collapsed="false"/>
    <row r="63444" customFormat="false" ht="12.75" hidden="false" customHeight="true" outlineLevel="0" collapsed="false"/>
    <row r="63445" customFormat="false" ht="12.75" hidden="false" customHeight="true" outlineLevel="0" collapsed="false"/>
    <row r="63446" customFormat="false" ht="12.75" hidden="false" customHeight="true" outlineLevel="0" collapsed="false"/>
    <row r="63447" customFormat="false" ht="12.75" hidden="false" customHeight="true" outlineLevel="0" collapsed="false"/>
    <row r="63448" customFormat="false" ht="12.75" hidden="false" customHeight="true" outlineLevel="0" collapsed="false"/>
    <row r="63449" customFormat="false" ht="12.75" hidden="false" customHeight="true" outlineLevel="0" collapsed="false"/>
    <row r="63450" customFormat="false" ht="12.75" hidden="false" customHeight="true" outlineLevel="0" collapsed="false"/>
    <row r="63451" customFormat="false" ht="12.75" hidden="false" customHeight="true" outlineLevel="0" collapsed="false"/>
    <row r="63452" customFormat="false" ht="12.75" hidden="false" customHeight="true" outlineLevel="0" collapsed="false"/>
    <row r="63453" customFormat="false" ht="12.75" hidden="false" customHeight="true" outlineLevel="0" collapsed="false"/>
    <row r="63454" customFormat="false" ht="12.75" hidden="false" customHeight="true" outlineLevel="0" collapsed="false"/>
    <row r="63455" customFormat="false" ht="12.75" hidden="false" customHeight="true" outlineLevel="0" collapsed="false"/>
    <row r="63456" customFormat="false" ht="12.75" hidden="false" customHeight="true" outlineLevel="0" collapsed="false"/>
    <row r="63457" customFormat="false" ht="12.75" hidden="false" customHeight="true" outlineLevel="0" collapsed="false"/>
    <row r="63458" customFormat="false" ht="12.75" hidden="false" customHeight="true" outlineLevel="0" collapsed="false"/>
    <row r="63459" customFormat="false" ht="12.75" hidden="false" customHeight="true" outlineLevel="0" collapsed="false"/>
    <row r="63460" customFormat="false" ht="12.75" hidden="false" customHeight="true" outlineLevel="0" collapsed="false"/>
    <row r="63461" customFormat="false" ht="12.75" hidden="false" customHeight="true" outlineLevel="0" collapsed="false"/>
    <row r="63462" customFormat="false" ht="12.75" hidden="false" customHeight="true" outlineLevel="0" collapsed="false"/>
    <row r="63463" customFormat="false" ht="12.75" hidden="false" customHeight="true" outlineLevel="0" collapsed="false"/>
    <row r="63464" customFormat="false" ht="12.75" hidden="false" customHeight="true" outlineLevel="0" collapsed="false"/>
    <row r="63465" customFormat="false" ht="12.75" hidden="false" customHeight="true" outlineLevel="0" collapsed="false"/>
    <row r="63466" customFormat="false" ht="12.75" hidden="false" customHeight="true" outlineLevel="0" collapsed="false"/>
    <row r="63467" customFormat="false" ht="12.75" hidden="false" customHeight="true" outlineLevel="0" collapsed="false"/>
    <row r="63468" customFormat="false" ht="12.75" hidden="false" customHeight="true" outlineLevel="0" collapsed="false"/>
    <row r="63469" customFormat="false" ht="12.75" hidden="false" customHeight="true" outlineLevel="0" collapsed="false"/>
    <row r="63470" customFormat="false" ht="12.75" hidden="false" customHeight="true" outlineLevel="0" collapsed="false"/>
    <row r="63471" customFormat="false" ht="12.75" hidden="false" customHeight="true" outlineLevel="0" collapsed="false"/>
    <row r="63472" customFormat="false" ht="12.75" hidden="false" customHeight="true" outlineLevel="0" collapsed="false"/>
    <row r="63473" customFormat="false" ht="12.75" hidden="false" customHeight="true" outlineLevel="0" collapsed="false"/>
    <row r="63474" customFormat="false" ht="12.75" hidden="false" customHeight="true" outlineLevel="0" collapsed="false"/>
    <row r="63475" customFormat="false" ht="12.75" hidden="false" customHeight="true" outlineLevel="0" collapsed="false"/>
    <row r="63476" customFormat="false" ht="12.75" hidden="false" customHeight="true" outlineLevel="0" collapsed="false"/>
    <row r="63477" customFormat="false" ht="12.75" hidden="false" customHeight="true" outlineLevel="0" collapsed="false"/>
    <row r="63478" customFormat="false" ht="12.75" hidden="false" customHeight="true" outlineLevel="0" collapsed="false"/>
    <row r="63479" customFormat="false" ht="12.75" hidden="false" customHeight="true" outlineLevel="0" collapsed="false"/>
    <row r="63480" customFormat="false" ht="12.75" hidden="false" customHeight="true" outlineLevel="0" collapsed="false"/>
    <row r="63481" customFormat="false" ht="12.75" hidden="false" customHeight="true" outlineLevel="0" collapsed="false"/>
    <row r="63482" customFormat="false" ht="12.75" hidden="false" customHeight="true" outlineLevel="0" collapsed="false"/>
    <row r="63483" customFormat="false" ht="12.75" hidden="false" customHeight="true" outlineLevel="0" collapsed="false"/>
    <row r="63484" customFormat="false" ht="12.75" hidden="false" customHeight="true" outlineLevel="0" collapsed="false"/>
    <row r="63485" customFormat="false" ht="12.75" hidden="false" customHeight="true" outlineLevel="0" collapsed="false"/>
    <row r="63486" customFormat="false" ht="12.75" hidden="false" customHeight="true" outlineLevel="0" collapsed="false"/>
    <row r="63487" customFormat="false" ht="12.75" hidden="false" customHeight="true" outlineLevel="0" collapsed="false"/>
    <row r="63488" customFormat="false" ht="12.75" hidden="false" customHeight="true" outlineLevel="0" collapsed="false"/>
    <row r="63489" customFormat="false" ht="12.75" hidden="false" customHeight="true" outlineLevel="0" collapsed="false"/>
    <row r="63490" customFormat="false" ht="12.75" hidden="false" customHeight="true" outlineLevel="0" collapsed="false"/>
    <row r="63491" customFormat="false" ht="12.75" hidden="false" customHeight="true" outlineLevel="0" collapsed="false"/>
    <row r="63492" customFormat="false" ht="12.75" hidden="false" customHeight="true" outlineLevel="0" collapsed="false"/>
    <row r="63493" customFormat="false" ht="12.75" hidden="false" customHeight="true" outlineLevel="0" collapsed="false"/>
    <row r="63494" customFormat="false" ht="12.75" hidden="false" customHeight="true" outlineLevel="0" collapsed="false"/>
    <row r="63495" customFormat="false" ht="12.75" hidden="false" customHeight="true" outlineLevel="0" collapsed="false"/>
    <row r="63496" customFormat="false" ht="12.75" hidden="false" customHeight="true" outlineLevel="0" collapsed="false"/>
    <row r="63497" customFormat="false" ht="12.75" hidden="false" customHeight="true" outlineLevel="0" collapsed="false"/>
    <row r="63498" customFormat="false" ht="12.75" hidden="false" customHeight="true" outlineLevel="0" collapsed="false"/>
    <row r="63499" customFormat="false" ht="12.75" hidden="false" customHeight="true" outlineLevel="0" collapsed="false"/>
    <row r="63500" customFormat="false" ht="12.75" hidden="false" customHeight="true" outlineLevel="0" collapsed="false"/>
    <row r="63501" customFormat="false" ht="12.75" hidden="false" customHeight="true" outlineLevel="0" collapsed="false"/>
    <row r="63502" customFormat="false" ht="12.75" hidden="false" customHeight="true" outlineLevel="0" collapsed="false"/>
    <row r="63503" customFormat="false" ht="12.75" hidden="false" customHeight="true" outlineLevel="0" collapsed="false"/>
    <row r="63504" customFormat="false" ht="12.75" hidden="false" customHeight="true" outlineLevel="0" collapsed="false"/>
    <row r="63505" customFormat="false" ht="12.75" hidden="false" customHeight="true" outlineLevel="0" collapsed="false"/>
    <row r="63506" customFormat="false" ht="12.75" hidden="false" customHeight="true" outlineLevel="0" collapsed="false"/>
    <row r="63507" customFormat="false" ht="12.75" hidden="false" customHeight="true" outlineLevel="0" collapsed="false"/>
    <row r="63508" customFormat="false" ht="12.75" hidden="false" customHeight="true" outlineLevel="0" collapsed="false"/>
    <row r="63509" customFormat="false" ht="12.75" hidden="false" customHeight="true" outlineLevel="0" collapsed="false"/>
    <row r="63510" customFormat="false" ht="12.75" hidden="false" customHeight="true" outlineLevel="0" collapsed="false"/>
    <row r="63511" customFormat="false" ht="12.75" hidden="false" customHeight="true" outlineLevel="0" collapsed="false"/>
    <row r="63512" customFormat="false" ht="12.75" hidden="false" customHeight="true" outlineLevel="0" collapsed="false"/>
    <row r="63513" customFormat="false" ht="12.75" hidden="false" customHeight="true" outlineLevel="0" collapsed="false"/>
    <row r="63514" customFormat="false" ht="12.75" hidden="false" customHeight="true" outlineLevel="0" collapsed="false"/>
    <row r="63515" customFormat="false" ht="12.75" hidden="false" customHeight="true" outlineLevel="0" collapsed="false"/>
    <row r="63516" customFormat="false" ht="12.75" hidden="false" customHeight="true" outlineLevel="0" collapsed="false"/>
    <row r="63517" customFormat="false" ht="12.75" hidden="false" customHeight="true" outlineLevel="0" collapsed="false"/>
    <row r="63518" customFormat="false" ht="12.75" hidden="false" customHeight="true" outlineLevel="0" collapsed="false"/>
    <row r="63519" customFormat="false" ht="12.75" hidden="false" customHeight="true" outlineLevel="0" collapsed="false"/>
    <row r="63520" customFormat="false" ht="12.75" hidden="false" customHeight="true" outlineLevel="0" collapsed="false"/>
    <row r="63521" customFormat="false" ht="12.75" hidden="false" customHeight="true" outlineLevel="0" collapsed="false"/>
    <row r="63522" customFormat="false" ht="12.75" hidden="false" customHeight="true" outlineLevel="0" collapsed="false"/>
    <row r="63523" customFormat="false" ht="12.75" hidden="false" customHeight="true" outlineLevel="0" collapsed="false"/>
    <row r="63524" customFormat="false" ht="12.75" hidden="false" customHeight="true" outlineLevel="0" collapsed="false"/>
    <row r="63525" customFormat="false" ht="12.75" hidden="false" customHeight="true" outlineLevel="0" collapsed="false"/>
    <row r="63526" customFormat="false" ht="12.75" hidden="false" customHeight="true" outlineLevel="0" collapsed="false"/>
    <row r="63527" customFormat="false" ht="12.75" hidden="false" customHeight="true" outlineLevel="0" collapsed="false"/>
    <row r="63528" customFormat="false" ht="12.75" hidden="false" customHeight="true" outlineLevel="0" collapsed="false"/>
    <row r="63529" customFormat="false" ht="12.75" hidden="false" customHeight="true" outlineLevel="0" collapsed="false"/>
    <row r="63530" customFormat="false" ht="12.75" hidden="false" customHeight="true" outlineLevel="0" collapsed="false"/>
    <row r="63531" customFormat="false" ht="12.75" hidden="false" customHeight="true" outlineLevel="0" collapsed="false"/>
    <row r="63532" customFormat="false" ht="12.75" hidden="false" customHeight="true" outlineLevel="0" collapsed="false"/>
    <row r="63533" customFormat="false" ht="12.75" hidden="false" customHeight="true" outlineLevel="0" collapsed="false"/>
    <row r="63534" customFormat="false" ht="12.75" hidden="false" customHeight="true" outlineLevel="0" collapsed="false"/>
    <row r="63535" customFormat="false" ht="12.75" hidden="false" customHeight="true" outlineLevel="0" collapsed="false"/>
    <row r="63536" customFormat="false" ht="12.75" hidden="false" customHeight="true" outlineLevel="0" collapsed="false"/>
    <row r="63537" customFormat="false" ht="12.75" hidden="false" customHeight="true" outlineLevel="0" collapsed="false"/>
    <row r="63538" customFormat="false" ht="12.75" hidden="false" customHeight="true" outlineLevel="0" collapsed="false"/>
    <row r="63539" customFormat="false" ht="12.75" hidden="false" customHeight="true" outlineLevel="0" collapsed="false"/>
    <row r="63540" customFormat="false" ht="12.75" hidden="false" customHeight="true" outlineLevel="0" collapsed="false"/>
    <row r="63541" customFormat="false" ht="12.75" hidden="false" customHeight="true" outlineLevel="0" collapsed="false"/>
    <row r="63542" customFormat="false" ht="12.75" hidden="false" customHeight="true" outlineLevel="0" collapsed="false"/>
    <row r="63543" customFormat="false" ht="12.75" hidden="false" customHeight="true" outlineLevel="0" collapsed="false"/>
    <row r="63544" customFormat="false" ht="12.75" hidden="false" customHeight="true" outlineLevel="0" collapsed="false"/>
    <row r="63545" customFormat="false" ht="12.75" hidden="false" customHeight="true" outlineLevel="0" collapsed="false"/>
    <row r="63546" customFormat="false" ht="12.75" hidden="false" customHeight="true" outlineLevel="0" collapsed="false"/>
    <row r="63547" customFormat="false" ht="12.75" hidden="false" customHeight="true" outlineLevel="0" collapsed="false"/>
    <row r="63548" customFormat="false" ht="12.75" hidden="false" customHeight="true" outlineLevel="0" collapsed="false"/>
    <row r="63549" customFormat="false" ht="12.75" hidden="false" customHeight="true" outlineLevel="0" collapsed="false"/>
    <row r="63550" customFormat="false" ht="12.75" hidden="false" customHeight="true" outlineLevel="0" collapsed="false"/>
    <row r="63551" customFormat="false" ht="12.75" hidden="false" customHeight="true" outlineLevel="0" collapsed="false"/>
    <row r="63552" customFormat="false" ht="12.75" hidden="false" customHeight="true" outlineLevel="0" collapsed="false"/>
    <row r="63553" customFormat="false" ht="12.75" hidden="false" customHeight="true" outlineLevel="0" collapsed="false"/>
    <row r="63554" customFormat="false" ht="12.75" hidden="false" customHeight="true" outlineLevel="0" collapsed="false"/>
    <row r="63555" customFormat="false" ht="12.75" hidden="false" customHeight="true" outlineLevel="0" collapsed="false"/>
    <row r="63556" customFormat="false" ht="12.75" hidden="false" customHeight="true" outlineLevel="0" collapsed="false"/>
    <row r="63557" customFormat="false" ht="12.75" hidden="false" customHeight="true" outlineLevel="0" collapsed="false"/>
    <row r="63558" customFormat="false" ht="12.75" hidden="false" customHeight="true" outlineLevel="0" collapsed="false"/>
    <row r="63559" customFormat="false" ht="12.75" hidden="false" customHeight="true" outlineLevel="0" collapsed="false"/>
    <row r="63560" customFormat="false" ht="12.75" hidden="false" customHeight="true" outlineLevel="0" collapsed="false"/>
    <row r="63561" customFormat="false" ht="12.75" hidden="false" customHeight="true" outlineLevel="0" collapsed="false"/>
    <row r="63562" customFormat="false" ht="12.75" hidden="false" customHeight="true" outlineLevel="0" collapsed="false"/>
    <row r="63563" customFormat="false" ht="12.75" hidden="false" customHeight="true" outlineLevel="0" collapsed="false"/>
    <row r="63564" customFormat="false" ht="12.75" hidden="false" customHeight="true" outlineLevel="0" collapsed="false"/>
    <row r="63565" customFormat="false" ht="12.75" hidden="false" customHeight="true" outlineLevel="0" collapsed="false"/>
    <row r="63566" customFormat="false" ht="12.75" hidden="false" customHeight="true" outlineLevel="0" collapsed="false"/>
    <row r="63567" customFormat="false" ht="12.75" hidden="false" customHeight="true" outlineLevel="0" collapsed="false"/>
    <row r="63568" customFormat="false" ht="12.75" hidden="false" customHeight="true" outlineLevel="0" collapsed="false"/>
    <row r="63569" customFormat="false" ht="12.75" hidden="false" customHeight="true" outlineLevel="0" collapsed="false"/>
    <row r="63570" customFormat="false" ht="12.75" hidden="false" customHeight="true" outlineLevel="0" collapsed="false"/>
    <row r="63571" customFormat="false" ht="12.75" hidden="false" customHeight="true" outlineLevel="0" collapsed="false"/>
    <row r="63572" customFormat="false" ht="12.75" hidden="false" customHeight="true" outlineLevel="0" collapsed="false"/>
    <row r="63573" customFormat="false" ht="12.75" hidden="false" customHeight="true" outlineLevel="0" collapsed="false"/>
    <row r="63574" customFormat="false" ht="12.75" hidden="false" customHeight="true" outlineLevel="0" collapsed="false"/>
    <row r="63575" customFormat="false" ht="12.75" hidden="false" customHeight="true" outlineLevel="0" collapsed="false"/>
    <row r="63576" customFormat="false" ht="12.75" hidden="false" customHeight="true" outlineLevel="0" collapsed="false"/>
    <row r="63577" customFormat="false" ht="12.75" hidden="false" customHeight="true" outlineLevel="0" collapsed="false"/>
    <row r="63578" customFormat="false" ht="12.75" hidden="false" customHeight="true" outlineLevel="0" collapsed="false"/>
    <row r="63579" customFormat="false" ht="12.75" hidden="false" customHeight="true" outlineLevel="0" collapsed="false"/>
    <row r="63580" customFormat="false" ht="12.75" hidden="false" customHeight="true" outlineLevel="0" collapsed="false"/>
    <row r="63581" customFormat="false" ht="12.75" hidden="false" customHeight="true" outlineLevel="0" collapsed="false"/>
    <row r="63582" customFormat="false" ht="12.75" hidden="false" customHeight="true" outlineLevel="0" collapsed="false"/>
    <row r="63583" customFormat="false" ht="12.75" hidden="false" customHeight="true" outlineLevel="0" collapsed="false"/>
    <row r="63584" customFormat="false" ht="12.75" hidden="false" customHeight="true" outlineLevel="0" collapsed="false"/>
    <row r="63585" customFormat="false" ht="12.75" hidden="false" customHeight="true" outlineLevel="0" collapsed="false"/>
    <row r="63586" customFormat="false" ht="12.75" hidden="false" customHeight="true" outlineLevel="0" collapsed="false"/>
    <row r="63587" customFormat="false" ht="12.75" hidden="false" customHeight="true" outlineLevel="0" collapsed="false"/>
    <row r="63588" customFormat="false" ht="12.75" hidden="false" customHeight="true" outlineLevel="0" collapsed="false"/>
    <row r="63589" customFormat="false" ht="12.75" hidden="false" customHeight="true" outlineLevel="0" collapsed="false"/>
    <row r="63590" customFormat="false" ht="12.75" hidden="false" customHeight="true" outlineLevel="0" collapsed="false"/>
    <row r="63591" customFormat="false" ht="12.75" hidden="false" customHeight="true" outlineLevel="0" collapsed="false"/>
    <row r="63592" customFormat="false" ht="12.75" hidden="false" customHeight="true" outlineLevel="0" collapsed="false"/>
    <row r="63593" customFormat="false" ht="12.75" hidden="false" customHeight="true" outlineLevel="0" collapsed="false"/>
    <row r="63594" customFormat="false" ht="12.75" hidden="false" customHeight="true" outlineLevel="0" collapsed="false"/>
    <row r="63595" customFormat="false" ht="12.75" hidden="false" customHeight="true" outlineLevel="0" collapsed="false"/>
    <row r="63596" customFormat="false" ht="12.75" hidden="false" customHeight="true" outlineLevel="0" collapsed="false"/>
    <row r="63597" customFormat="false" ht="12.75" hidden="false" customHeight="true" outlineLevel="0" collapsed="false"/>
    <row r="63598" customFormat="false" ht="12.75" hidden="false" customHeight="true" outlineLevel="0" collapsed="false"/>
    <row r="63599" customFormat="false" ht="12.75" hidden="false" customHeight="true" outlineLevel="0" collapsed="false"/>
    <row r="63600" customFormat="false" ht="12.75" hidden="false" customHeight="true" outlineLevel="0" collapsed="false"/>
    <row r="63601" customFormat="false" ht="12.75" hidden="false" customHeight="true" outlineLevel="0" collapsed="false"/>
    <row r="63602" customFormat="false" ht="12.75" hidden="false" customHeight="true" outlineLevel="0" collapsed="false"/>
    <row r="63603" customFormat="false" ht="12.75" hidden="false" customHeight="true" outlineLevel="0" collapsed="false"/>
    <row r="63604" customFormat="false" ht="12.75" hidden="false" customHeight="true" outlineLevel="0" collapsed="false"/>
    <row r="63605" customFormat="false" ht="12.75" hidden="false" customHeight="true" outlineLevel="0" collapsed="false"/>
    <row r="63606" customFormat="false" ht="12.75" hidden="false" customHeight="true" outlineLevel="0" collapsed="false"/>
    <row r="63607" customFormat="false" ht="12.75" hidden="false" customHeight="true" outlineLevel="0" collapsed="false"/>
    <row r="63608" customFormat="false" ht="12.75" hidden="false" customHeight="true" outlineLevel="0" collapsed="false"/>
    <row r="63609" customFormat="false" ht="12.75" hidden="false" customHeight="true" outlineLevel="0" collapsed="false"/>
    <row r="63610" customFormat="false" ht="12.75" hidden="false" customHeight="true" outlineLevel="0" collapsed="false"/>
    <row r="63611" customFormat="false" ht="12.75" hidden="false" customHeight="true" outlineLevel="0" collapsed="false"/>
    <row r="63612" customFormat="false" ht="12.75" hidden="false" customHeight="true" outlineLevel="0" collapsed="false"/>
    <row r="63613" customFormat="false" ht="12.75" hidden="false" customHeight="true" outlineLevel="0" collapsed="false"/>
    <row r="63614" customFormat="false" ht="12.75" hidden="false" customHeight="true" outlineLevel="0" collapsed="false"/>
    <row r="63615" customFormat="false" ht="12.75" hidden="false" customHeight="true" outlineLevel="0" collapsed="false"/>
    <row r="63616" customFormat="false" ht="12.75" hidden="false" customHeight="true" outlineLevel="0" collapsed="false"/>
    <row r="63617" customFormat="false" ht="12.75" hidden="false" customHeight="true" outlineLevel="0" collapsed="false"/>
    <row r="63618" customFormat="false" ht="12.75" hidden="false" customHeight="true" outlineLevel="0" collapsed="false"/>
    <row r="63619" customFormat="false" ht="12.75" hidden="false" customHeight="true" outlineLevel="0" collapsed="false"/>
    <row r="63620" customFormat="false" ht="12.75" hidden="false" customHeight="true" outlineLevel="0" collapsed="false"/>
    <row r="63621" customFormat="false" ht="12.75" hidden="false" customHeight="true" outlineLevel="0" collapsed="false"/>
    <row r="63622" customFormat="false" ht="12.75" hidden="false" customHeight="true" outlineLevel="0" collapsed="false"/>
    <row r="63623" customFormat="false" ht="12.75" hidden="false" customHeight="true" outlineLevel="0" collapsed="false"/>
    <row r="63624" customFormat="false" ht="12.75" hidden="false" customHeight="true" outlineLevel="0" collapsed="false"/>
    <row r="63625" customFormat="false" ht="12.75" hidden="false" customHeight="true" outlineLevel="0" collapsed="false"/>
    <row r="63626" customFormat="false" ht="12.75" hidden="false" customHeight="true" outlineLevel="0" collapsed="false"/>
    <row r="63627" customFormat="false" ht="12.75" hidden="false" customHeight="true" outlineLevel="0" collapsed="false"/>
    <row r="63628" customFormat="false" ht="12.75" hidden="false" customHeight="true" outlineLevel="0" collapsed="false"/>
    <row r="63629" customFormat="false" ht="12.75" hidden="false" customHeight="true" outlineLevel="0" collapsed="false"/>
    <row r="63630" customFormat="false" ht="12.75" hidden="false" customHeight="true" outlineLevel="0" collapsed="false"/>
    <row r="63631" customFormat="false" ht="12.75" hidden="false" customHeight="true" outlineLevel="0" collapsed="false"/>
    <row r="63632" customFormat="false" ht="12.75" hidden="false" customHeight="true" outlineLevel="0" collapsed="false"/>
    <row r="63633" customFormat="false" ht="12.75" hidden="false" customHeight="true" outlineLevel="0" collapsed="false"/>
    <row r="63634" customFormat="false" ht="12.75" hidden="false" customHeight="true" outlineLevel="0" collapsed="false"/>
    <row r="63635" customFormat="false" ht="12.75" hidden="false" customHeight="true" outlineLevel="0" collapsed="false"/>
    <row r="63636" customFormat="false" ht="12.75" hidden="false" customHeight="true" outlineLevel="0" collapsed="false"/>
    <row r="63637" customFormat="false" ht="12.75" hidden="false" customHeight="true" outlineLevel="0" collapsed="false"/>
    <row r="63638" customFormat="false" ht="12.75" hidden="false" customHeight="true" outlineLevel="0" collapsed="false"/>
    <row r="63639" customFormat="false" ht="12.75" hidden="false" customHeight="true" outlineLevel="0" collapsed="false"/>
    <row r="63640" customFormat="false" ht="12.75" hidden="false" customHeight="true" outlineLevel="0" collapsed="false"/>
    <row r="63641" customFormat="false" ht="12.75" hidden="false" customHeight="true" outlineLevel="0" collapsed="false"/>
    <row r="63642" customFormat="false" ht="12.75" hidden="false" customHeight="true" outlineLevel="0" collapsed="false"/>
    <row r="63643" customFormat="false" ht="12.75" hidden="false" customHeight="true" outlineLevel="0" collapsed="false"/>
    <row r="63644" customFormat="false" ht="12.75" hidden="false" customHeight="true" outlineLevel="0" collapsed="false"/>
    <row r="63645" customFormat="false" ht="12.75" hidden="false" customHeight="true" outlineLevel="0" collapsed="false"/>
    <row r="63646" customFormat="false" ht="12.75" hidden="false" customHeight="true" outlineLevel="0" collapsed="false"/>
    <row r="63647" customFormat="false" ht="12.75" hidden="false" customHeight="true" outlineLevel="0" collapsed="false"/>
    <row r="63648" customFormat="false" ht="12.75" hidden="false" customHeight="true" outlineLevel="0" collapsed="false"/>
    <row r="63649" customFormat="false" ht="12.75" hidden="false" customHeight="true" outlineLevel="0" collapsed="false"/>
    <row r="63650" customFormat="false" ht="12.75" hidden="false" customHeight="true" outlineLevel="0" collapsed="false"/>
    <row r="63651" customFormat="false" ht="12.75" hidden="false" customHeight="true" outlineLevel="0" collapsed="false"/>
    <row r="63652" customFormat="false" ht="12.75" hidden="false" customHeight="true" outlineLevel="0" collapsed="false"/>
    <row r="63653" customFormat="false" ht="12.75" hidden="false" customHeight="true" outlineLevel="0" collapsed="false"/>
    <row r="63654" customFormat="false" ht="12.75" hidden="false" customHeight="true" outlineLevel="0" collapsed="false"/>
    <row r="63655" customFormat="false" ht="12.75" hidden="false" customHeight="true" outlineLevel="0" collapsed="false"/>
    <row r="63656" customFormat="false" ht="12.75" hidden="false" customHeight="true" outlineLevel="0" collapsed="false"/>
    <row r="63657" customFormat="false" ht="12.75" hidden="false" customHeight="true" outlineLevel="0" collapsed="false"/>
    <row r="63658" customFormat="false" ht="12.75" hidden="false" customHeight="true" outlineLevel="0" collapsed="false"/>
    <row r="63659" customFormat="false" ht="12.75" hidden="false" customHeight="true" outlineLevel="0" collapsed="false"/>
    <row r="63660" customFormat="false" ht="12.75" hidden="false" customHeight="true" outlineLevel="0" collapsed="false"/>
    <row r="63661" customFormat="false" ht="12.75" hidden="false" customHeight="true" outlineLevel="0" collapsed="false"/>
    <row r="63662" customFormat="false" ht="12.75" hidden="false" customHeight="true" outlineLevel="0" collapsed="false"/>
    <row r="63663" customFormat="false" ht="12.75" hidden="false" customHeight="true" outlineLevel="0" collapsed="false"/>
    <row r="63664" customFormat="false" ht="12.75" hidden="false" customHeight="true" outlineLevel="0" collapsed="false"/>
    <row r="63665" customFormat="false" ht="12.75" hidden="false" customHeight="true" outlineLevel="0" collapsed="false"/>
    <row r="63666" customFormat="false" ht="12.75" hidden="false" customHeight="true" outlineLevel="0" collapsed="false"/>
    <row r="63667" customFormat="false" ht="12.75" hidden="false" customHeight="true" outlineLevel="0" collapsed="false"/>
    <row r="63668" customFormat="false" ht="12.75" hidden="false" customHeight="true" outlineLevel="0" collapsed="false"/>
    <row r="63669" customFormat="false" ht="12.75" hidden="false" customHeight="true" outlineLevel="0" collapsed="false"/>
    <row r="63670" customFormat="false" ht="12.75" hidden="false" customHeight="true" outlineLevel="0" collapsed="false"/>
    <row r="63671" customFormat="false" ht="12.75" hidden="false" customHeight="true" outlineLevel="0" collapsed="false"/>
    <row r="63672" customFormat="false" ht="12.75" hidden="false" customHeight="true" outlineLevel="0" collapsed="false"/>
    <row r="63673" customFormat="false" ht="12.75" hidden="false" customHeight="true" outlineLevel="0" collapsed="false"/>
    <row r="63674" customFormat="false" ht="12.75" hidden="false" customHeight="true" outlineLevel="0" collapsed="false"/>
    <row r="63675" customFormat="false" ht="12.75" hidden="false" customHeight="true" outlineLevel="0" collapsed="false"/>
    <row r="63676" customFormat="false" ht="12.75" hidden="false" customHeight="true" outlineLevel="0" collapsed="false"/>
    <row r="63677" customFormat="false" ht="12.75" hidden="false" customHeight="true" outlineLevel="0" collapsed="false"/>
    <row r="63678" customFormat="false" ht="12.75" hidden="false" customHeight="true" outlineLevel="0" collapsed="false"/>
    <row r="63679" customFormat="false" ht="12.75" hidden="false" customHeight="true" outlineLevel="0" collapsed="false"/>
    <row r="63680" customFormat="false" ht="12.75" hidden="false" customHeight="true" outlineLevel="0" collapsed="false"/>
    <row r="63681" customFormat="false" ht="12.75" hidden="false" customHeight="true" outlineLevel="0" collapsed="false"/>
    <row r="63682" customFormat="false" ht="12.75" hidden="false" customHeight="true" outlineLevel="0" collapsed="false"/>
    <row r="63683" customFormat="false" ht="12.75" hidden="false" customHeight="true" outlineLevel="0" collapsed="false"/>
    <row r="63684" customFormat="false" ht="12.75" hidden="false" customHeight="true" outlineLevel="0" collapsed="false"/>
    <row r="63685" customFormat="false" ht="12.75" hidden="false" customHeight="true" outlineLevel="0" collapsed="false"/>
    <row r="63686" customFormat="false" ht="12.75" hidden="false" customHeight="true" outlineLevel="0" collapsed="false"/>
    <row r="63687" customFormat="false" ht="12.75" hidden="false" customHeight="true" outlineLevel="0" collapsed="false"/>
    <row r="63688" customFormat="false" ht="12.75" hidden="false" customHeight="true" outlineLevel="0" collapsed="false"/>
    <row r="63689" customFormat="false" ht="12.75" hidden="false" customHeight="true" outlineLevel="0" collapsed="false"/>
    <row r="63690" customFormat="false" ht="12.75" hidden="false" customHeight="true" outlineLevel="0" collapsed="false"/>
    <row r="63691" customFormat="false" ht="12.75" hidden="false" customHeight="true" outlineLevel="0" collapsed="false"/>
    <row r="63692" customFormat="false" ht="12.75" hidden="false" customHeight="true" outlineLevel="0" collapsed="false"/>
    <row r="63693" customFormat="false" ht="12.75" hidden="false" customHeight="true" outlineLevel="0" collapsed="false"/>
    <row r="63694" customFormat="false" ht="12.75" hidden="false" customHeight="true" outlineLevel="0" collapsed="false"/>
    <row r="63695" customFormat="false" ht="12.75" hidden="false" customHeight="true" outlineLevel="0" collapsed="false"/>
    <row r="63696" customFormat="false" ht="12.75" hidden="false" customHeight="true" outlineLevel="0" collapsed="false"/>
    <row r="63697" customFormat="false" ht="12.75" hidden="false" customHeight="true" outlineLevel="0" collapsed="false"/>
    <row r="63698" customFormat="false" ht="12.75" hidden="false" customHeight="true" outlineLevel="0" collapsed="false"/>
    <row r="63699" customFormat="false" ht="12.75" hidden="false" customHeight="true" outlineLevel="0" collapsed="false"/>
    <row r="63700" customFormat="false" ht="12.75" hidden="false" customHeight="true" outlineLevel="0" collapsed="false"/>
    <row r="63701" customFormat="false" ht="12.75" hidden="false" customHeight="true" outlineLevel="0" collapsed="false"/>
    <row r="63702" customFormat="false" ht="12.75" hidden="false" customHeight="true" outlineLevel="0" collapsed="false"/>
    <row r="63703" customFormat="false" ht="12.75" hidden="false" customHeight="true" outlineLevel="0" collapsed="false"/>
    <row r="63704" customFormat="false" ht="12.75" hidden="false" customHeight="true" outlineLevel="0" collapsed="false"/>
    <row r="63705" customFormat="false" ht="12.75" hidden="false" customHeight="true" outlineLevel="0" collapsed="false"/>
    <row r="63706" customFormat="false" ht="12.75" hidden="false" customHeight="true" outlineLevel="0" collapsed="false"/>
    <row r="63707" customFormat="false" ht="12.75" hidden="false" customHeight="true" outlineLevel="0" collapsed="false"/>
    <row r="63708" customFormat="false" ht="12.75" hidden="false" customHeight="true" outlineLevel="0" collapsed="false"/>
    <row r="63709" customFormat="false" ht="12.75" hidden="false" customHeight="true" outlineLevel="0" collapsed="false"/>
    <row r="63710" customFormat="false" ht="12.75" hidden="false" customHeight="true" outlineLevel="0" collapsed="false"/>
    <row r="63711" customFormat="false" ht="12.75" hidden="false" customHeight="true" outlineLevel="0" collapsed="false"/>
    <row r="63712" customFormat="false" ht="12.75" hidden="false" customHeight="true" outlineLevel="0" collapsed="false"/>
    <row r="63713" customFormat="false" ht="12.75" hidden="false" customHeight="true" outlineLevel="0" collapsed="false"/>
    <row r="63714" customFormat="false" ht="12.75" hidden="false" customHeight="true" outlineLevel="0" collapsed="false"/>
    <row r="63715" customFormat="false" ht="12.75" hidden="false" customHeight="true" outlineLevel="0" collapsed="false"/>
    <row r="63716" customFormat="false" ht="12.75" hidden="false" customHeight="true" outlineLevel="0" collapsed="false"/>
    <row r="63717" customFormat="false" ht="12.75" hidden="false" customHeight="true" outlineLevel="0" collapsed="false"/>
    <row r="63718" customFormat="false" ht="12.75" hidden="false" customHeight="true" outlineLevel="0" collapsed="false"/>
    <row r="63719" customFormat="false" ht="12.75" hidden="false" customHeight="true" outlineLevel="0" collapsed="false"/>
    <row r="63720" customFormat="false" ht="12.75" hidden="false" customHeight="true" outlineLevel="0" collapsed="false"/>
    <row r="63721" customFormat="false" ht="12.75" hidden="false" customHeight="true" outlineLevel="0" collapsed="false"/>
    <row r="63722" customFormat="false" ht="12.75" hidden="false" customHeight="true" outlineLevel="0" collapsed="false"/>
    <row r="63723" customFormat="false" ht="12.75" hidden="false" customHeight="true" outlineLevel="0" collapsed="false"/>
    <row r="63724" customFormat="false" ht="12.75" hidden="false" customHeight="true" outlineLevel="0" collapsed="false"/>
    <row r="63725" customFormat="false" ht="12.75" hidden="false" customHeight="true" outlineLevel="0" collapsed="false"/>
    <row r="63726" customFormat="false" ht="12.75" hidden="false" customHeight="true" outlineLevel="0" collapsed="false"/>
    <row r="63727" customFormat="false" ht="12.75" hidden="false" customHeight="true" outlineLevel="0" collapsed="false"/>
    <row r="63728" customFormat="false" ht="12.75" hidden="false" customHeight="true" outlineLevel="0" collapsed="false"/>
    <row r="63729" customFormat="false" ht="12.75" hidden="false" customHeight="true" outlineLevel="0" collapsed="false"/>
    <row r="63730" customFormat="false" ht="12.75" hidden="false" customHeight="true" outlineLevel="0" collapsed="false"/>
    <row r="63731" customFormat="false" ht="12.75" hidden="false" customHeight="true" outlineLevel="0" collapsed="false"/>
    <row r="63732" customFormat="false" ht="12.75" hidden="false" customHeight="true" outlineLevel="0" collapsed="false"/>
    <row r="63733" customFormat="false" ht="12.75" hidden="false" customHeight="true" outlineLevel="0" collapsed="false"/>
    <row r="63734" customFormat="false" ht="12.75" hidden="false" customHeight="true" outlineLevel="0" collapsed="false"/>
    <row r="63735" customFormat="false" ht="12.75" hidden="false" customHeight="true" outlineLevel="0" collapsed="false"/>
    <row r="63736" customFormat="false" ht="12.75" hidden="false" customHeight="true" outlineLevel="0" collapsed="false"/>
    <row r="63737" customFormat="false" ht="12.75" hidden="false" customHeight="true" outlineLevel="0" collapsed="false"/>
    <row r="63738" customFormat="false" ht="12.75" hidden="false" customHeight="true" outlineLevel="0" collapsed="false"/>
    <row r="63739" customFormat="false" ht="12.75" hidden="false" customHeight="true" outlineLevel="0" collapsed="false"/>
    <row r="63740" customFormat="false" ht="12.75" hidden="false" customHeight="true" outlineLevel="0" collapsed="false"/>
    <row r="63741" customFormat="false" ht="12.75" hidden="false" customHeight="true" outlineLevel="0" collapsed="false"/>
    <row r="63742" customFormat="false" ht="12.75" hidden="false" customHeight="true" outlineLevel="0" collapsed="false"/>
    <row r="63743" customFormat="false" ht="12.75" hidden="false" customHeight="true" outlineLevel="0" collapsed="false"/>
    <row r="63744" customFormat="false" ht="12.75" hidden="false" customHeight="true" outlineLevel="0" collapsed="false"/>
    <row r="63745" customFormat="false" ht="12.75" hidden="false" customHeight="true" outlineLevel="0" collapsed="false"/>
    <row r="63746" customFormat="false" ht="12.75" hidden="false" customHeight="true" outlineLevel="0" collapsed="false"/>
    <row r="63747" customFormat="false" ht="12.75" hidden="false" customHeight="true" outlineLevel="0" collapsed="false"/>
    <row r="63748" customFormat="false" ht="12.75" hidden="false" customHeight="true" outlineLevel="0" collapsed="false"/>
    <row r="63749" customFormat="false" ht="12.75" hidden="false" customHeight="true" outlineLevel="0" collapsed="false"/>
    <row r="63750" customFormat="false" ht="12.75" hidden="false" customHeight="true" outlineLevel="0" collapsed="false"/>
    <row r="63751" customFormat="false" ht="12.75" hidden="false" customHeight="true" outlineLevel="0" collapsed="false"/>
    <row r="63752" customFormat="false" ht="12.75" hidden="false" customHeight="true" outlineLevel="0" collapsed="false"/>
    <row r="63753" customFormat="false" ht="12.75" hidden="false" customHeight="true" outlineLevel="0" collapsed="false"/>
    <row r="63754" customFormat="false" ht="12.75" hidden="false" customHeight="true" outlineLevel="0" collapsed="false"/>
    <row r="63755" customFormat="false" ht="12.75" hidden="false" customHeight="true" outlineLevel="0" collapsed="false"/>
    <row r="63756" customFormat="false" ht="12.75" hidden="false" customHeight="true" outlineLevel="0" collapsed="false"/>
    <row r="63757" customFormat="false" ht="12.75" hidden="false" customHeight="true" outlineLevel="0" collapsed="false"/>
    <row r="63758" customFormat="false" ht="12.75" hidden="false" customHeight="true" outlineLevel="0" collapsed="false"/>
    <row r="63759" customFormat="false" ht="12.75" hidden="false" customHeight="true" outlineLevel="0" collapsed="false"/>
    <row r="63760" customFormat="false" ht="12.75" hidden="false" customHeight="true" outlineLevel="0" collapsed="false"/>
    <row r="63761" customFormat="false" ht="12.75" hidden="false" customHeight="true" outlineLevel="0" collapsed="false"/>
    <row r="63762" customFormat="false" ht="12.75" hidden="false" customHeight="true" outlineLevel="0" collapsed="false"/>
    <row r="63763" customFormat="false" ht="12.75" hidden="false" customHeight="true" outlineLevel="0" collapsed="false"/>
    <row r="63764" customFormat="false" ht="12.75" hidden="false" customHeight="true" outlineLevel="0" collapsed="false"/>
    <row r="63765" customFormat="false" ht="12.75" hidden="false" customHeight="true" outlineLevel="0" collapsed="false"/>
    <row r="63766" customFormat="false" ht="12.75" hidden="false" customHeight="true" outlineLevel="0" collapsed="false"/>
    <row r="63767" customFormat="false" ht="12.75" hidden="false" customHeight="true" outlineLevel="0" collapsed="false"/>
    <row r="63768" customFormat="false" ht="12.75" hidden="false" customHeight="true" outlineLevel="0" collapsed="false"/>
    <row r="63769" customFormat="false" ht="12.75" hidden="false" customHeight="true" outlineLevel="0" collapsed="false"/>
    <row r="63770" customFormat="false" ht="12.75" hidden="false" customHeight="true" outlineLevel="0" collapsed="false"/>
    <row r="63771" customFormat="false" ht="12.75" hidden="false" customHeight="true" outlineLevel="0" collapsed="false"/>
    <row r="63772" customFormat="false" ht="12.75" hidden="false" customHeight="true" outlineLevel="0" collapsed="false"/>
    <row r="63773" customFormat="false" ht="12.75" hidden="false" customHeight="true" outlineLevel="0" collapsed="false"/>
    <row r="63774" customFormat="false" ht="12.75" hidden="false" customHeight="true" outlineLevel="0" collapsed="false"/>
    <row r="63775" customFormat="false" ht="12.75" hidden="false" customHeight="true" outlineLevel="0" collapsed="false"/>
    <row r="63776" customFormat="false" ht="12.75" hidden="false" customHeight="true" outlineLevel="0" collapsed="false"/>
    <row r="63777" customFormat="false" ht="12.75" hidden="false" customHeight="true" outlineLevel="0" collapsed="false"/>
    <row r="63778" customFormat="false" ht="12.75" hidden="false" customHeight="true" outlineLevel="0" collapsed="false"/>
    <row r="63779" customFormat="false" ht="12.75" hidden="false" customHeight="true" outlineLevel="0" collapsed="false"/>
    <row r="63780" customFormat="false" ht="12.75" hidden="false" customHeight="true" outlineLevel="0" collapsed="false"/>
    <row r="63781" customFormat="false" ht="12.75" hidden="false" customHeight="true" outlineLevel="0" collapsed="false"/>
    <row r="63782" customFormat="false" ht="12.75" hidden="false" customHeight="true" outlineLevel="0" collapsed="false"/>
    <row r="63783" customFormat="false" ht="12.75" hidden="false" customHeight="true" outlineLevel="0" collapsed="false"/>
    <row r="63784" customFormat="false" ht="12.75" hidden="false" customHeight="true" outlineLevel="0" collapsed="false"/>
    <row r="63785" customFormat="false" ht="12.75" hidden="false" customHeight="true" outlineLevel="0" collapsed="false"/>
    <row r="63786" customFormat="false" ht="12.75" hidden="false" customHeight="true" outlineLevel="0" collapsed="false"/>
    <row r="63787" customFormat="false" ht="12.75" hidden="false" customHeight="true" outlineLevel="0" collapsed="false"/>
    <row r="63788" customFormat="false" ht="12.75" hidden="false" customHeight="true" outlineLevel="0" collapsed="false"/>
    <row r="63789" customFormat="false" ht="12.75" hidden="false" customHeight="true" outlineLevel="0" collapsed="false"/>
    <row r="63790" customFormat="false" ht="12.75" hidden="false" customHeight="true" outlineLevel="0" collapsed="false"/>
    <row r="63791" customFormat="false" ht="12.75" hidden="false" customHeight="true" outlineLevel="0" collapsed="false"/>
    <row r="63792" customFormat="false" ht="12.75" hidden="false" customHeight="true" outlineLevel="0" collapsed="false"/>
    <row r="63793" customFormat="false" ht="12.75" hidden="false" customHeight="true" outlineLevel="0" collapsed="false"/>
    <row r="63794" customFormat="false" ht="12.75" hidden="false" customHeight="true" outlineLevel="0" collapsed="false"/>
    <row r="63795" customFormat="false" ht="12.75" hidden="false" customHeight="true" outlineLevel="0" collapsed="false"/>
    <row r="63796" customFormat="false" ht="12.75" hidden="false" customHeight="true" outlineLevel="0" collapsed="false"/>
    <row r="63797" customFormat="false" ht="12.75" hidden="false" customHeight="true" outlineLevel="0" collapsed="false"/>
    <row r="63798" customFormat="false" ht="12.75" hidden="false" customHeight="true" outlineLevel="0" collapsed="false"/>
    <row r="63799" customFormat="false" ht="12.75" hidden="false" customHeight="true" outlineLevel="0" collapsed="false"/>
    <row r="63800" customFormat="false" ht="12.75" hidden="false" customHeight="true" outlineLevel="0" collapsed="false"/>
    <row r="63801" customFormat="false" ht="12.75" hidden="false" customHeight="true" outlineLevel="0" collapsed="false"/>
    <row r="63802" customFormat="false" ht="12.75" hidden="false" customHeight="true" outlineLevel="0" collapsed="false"/>
    <row r="63803" customFormat="false" ht="12.75" hidden="false" customHeight="true" outlineLevel="0" collapsed="false"/>
    <row r="63804" customFormat="false" ht="12.75" hidden="false" customHeight="true" outlineLevel="0" collapsed="false"/>
    <row r="63805" customFormat="false" ht="12.75" hidden="false" customHeight="true" outlineLevel="0" collapsed="false"/>
    <row r="63806" customFormat="false" ht="12.75" hidden="false" customHeight="true" outlineLevel="0" collapsed="false"/>
    <row r="63807" customFormat="false" ht="12.75" hidden="false" customHeight="true" outlineLevel="0" collapsed="false"/>
    <row r="63808" customFormat="false" ht="12.75" hidden="false" customHeight="true" outlineLevel="0" collapsed="false"/>
    <row r="63809" customFormat="false" ht="12.75" hidden="false" customHeight="true" outlineLevel="0" collapsed="false"/>
    <row r="63810" customFormat="false" ht="12.75" hidden="false" customHeight="true" outlineLevel="0" collapsed="false"/>
    <row r="63811" customFormat="false" ht="12.75" hidden="false" customHeight="true" outlineLevel="0" collapsed="false"/>
    <row r="63812" customFormat="false" ht="12.75" hidden="false" customHeight="true" outlineLevel="0" collapsed="false"/>
    <row r="63813" customFormat="false" ht="12.75" hidden="false" customHeight="true" outlineLevel="0" collapsed="false"/>
    <row r="63814" customFormat="false" ht="12.75" hidden="false" customHeight="true" outlineLevel="0" collapsed="false"/>
    <row r="63815" customFormat="false" ht="12.75" hidden="false" customHeight="true" outlineLevel="0" collapsed="false"/>
    <row r="63816" customFormat="false" ht="12.75" hidden="false" customHeight="true" outlineLevel="0" collapsed="false"/>
    <row r="63817" customFormat="false" ht="12.75" hidden="false" customHeight="true" outlineLevel="0" collapsed="false"/>
    <row r="63818" customFormat="false" ht="12.75" hidden="false" customHeight="true" outlineLevel="0" collapsed="false"/>
    <row r="63819" customFormat="false" ht="12.75" hidden="false" customHeight="true" outlineLevel="0" collapsed="false"/>
    <row r="63820" customFormat="false" ht="12.75" hidden="false" customHeight="true" outlineLevel="0" collapsed="false"/>
    <row r="63821" customFormat="false" ht="12.75" hidden="false" customHeight="true" outlineLevel="0" collapsed="false"/>
    <row r="63822" customFormat="false" ht="12.75" hidden="false" customHeight="true" outlineLevel="0" collapsed="false"/>
    <row r="63823" customFormat="false" ht="12.75" hidden="false" customHeight="true" outlineLevel="0" collapsed="false"/>
    <row r="63824" customFormat="false" ht="12.75" hidden="false" customHeight="true" outlineLevel="0" collapsed="false"/>
    <row r="63825" customFormat="false" ht="12.75" hidden="false" customHeight="true" outlineLevel="0" collapsed="false"/>
    <row r="63826" customFormat="false" ht="12.75" hidden="false" customHeight="true" outlineLevel="0" collapsed="false"/>
    <row r="63827" customFormat="false" ht="12.75" hidden="false" customHeight="true" outlineLevel="0" collapsed="false"/>
    <row r="63828" customFormat="false" ht="12.75" hidden="false" customHeight="true" outlineLevel="0" collapsed="false"/>
    <row r="63829" customFormat="false" ht="12.75" hidden="false" customHeight="true" outlineLevel="0" collapsed="false"/>
    <row r="63830" customFormat="false" ht="12.75" hidden="false" customHeight="true" outlineLevel="0" collapsed="false"/>
    <row r="63831" customFormat="false" ht="12.75" hidden="false" customHeight="true" outlineLevel="0" collapsed="false"/>
    <row r="63832" customFormat="false" ht="12.75" hidden="false" customHeight="true" outlineLevel="0" collapsed="false"/>
    <row r="63833" customFormat="false" ht="12.75" hidden="false" customHeight="true" outlineLevel="0" collapsed="false"/>
    <row r="63834" customFormat="false" ht="12.75" hidden="false" customHeight="true" outlineLevel="0" collapsed="false"/>
    <row r="63835" customFormat="false" ht="12.75" hidden="false" customHeight="true" outlineLevel="0" collapsed="false"/>
    <row r="63836" customFormat="false" ht="12.75" hidden="false" customHeight="true" outlineLevel="0" collapsed="false"/>
    <row r="63837" customFormat="false" ht="12.75" hidden="false" customHeight="true" outlineLevel="0" collapsed="false"/>
    <row r="63838" customFormat="false" ht="12.75" hidden="false" customHeight="true" outlineLevel="0" collapsed="false"/>
    <row r="63839" customFormat="false" ht="12.75" hidden="false" customHeight="true" outlineLevel="0" collapsed="false"/>
    <row r="63840" customFormat="false" ht="12.75" hidden="false" customHeight="true" outlineLevel="0" collapsed="false"/>
    <row r="63841" customFormat="false" ht="12.75" hidden="false" customHeight="true" outlineLevel="0" collapsed="false"/>
    <row r="63842" customFormat="false" ht="12.75" hidden="false" customHeight="true" outlineLevel="0" collapsed="false"/>
    <row r="63843" customFormat="false" ht="12.75" hidden="false" customHeight="true" outlineLevel="0" collapsed="false"/>
    <row r="63844" customFormat="false" ht="12.75" hidden="false" customHeight="true" outlineLevel="0" collapsed="false"/>
    <row r="63845" customFormat="false" ht="12.75" hidden="false" customHeight="true" outlineLevel="0" collapsed="false"/>
    <row r="63846" customFormat="false" ht="12.75" hidden="false" customHeight="true" outlineLevel="0" collapsed="false"/>
    <row r="63847" customFormat="false" ht="12.75" hidden="false" customHeight="true" outlineLevel="0" collapsed="false"/>
    <row r="63848" customFormat="false" ht="12.75" hidden="false" customHeight="true" outlineLevel="0" collapsed="false"/>
    <row r="63849" customFormat="false" ht="12.75" hidden="false" customHeight="true" outlineLevel="0" collapsed="false"/>
    <row r="63850" customFormat="false" ht="12.75" hidden="false" customHeight="true" outlineLevel="0" collapsed="false"/>
    <row r="63851" customFormat="false" ht="12.75" hidden="false" customHeight="true" outlineLevel="0" collapsed="false"/>
    <row r="63852" customFormat="false" ht="12.75" hidden="false" customHeight="true" outlineLevel="0" collapsed="false"/>
    <row r="63853" customFormat="false" ht="12.75" hidden="false" customHeight="true" outlineLevel="0" collapsed="false"/>
    <row r="63854" customFormat="false" ht="12.75" hidden="false" customHeight="true" outlineLevel="0" collapsed="false"/>
    <row r="63855" customFormat="false" ht="12.75" hidden="false" customHeight="true" outlineLevel="0" collapsed="false"/>
    <row r="63856" customFormat="false" ht="12.75" hidden="false" customHeight="true" outlineLevel="0" collapsed="false"/>
    <row r="63857" customFormat="false" ht="12.75" hidden="false" customHeight="true" outlineLevel="0" collapsed="false"/>
    <row r="63858" customFormat="false" ht="12.75" hidden="false" customHeight="true" outlineLevel="0" collapsed="false"/>
    <row r="63859" customFormat="false" ht="12.75" hidden="false" customHeight="true" outlineLevel="0" collapsed="false"/>
    <row r="63860" customFormat="false" ht="12.75" hidden="false" customHeight="true" outlineLevel="0" collapsed="false"/>
    <row r="63861" customFormat="false" ht="12.75" hidden="false" customHeight="true" outlineLevel="0" collapsed="false"/>
    <row r="63862" customFormat="false" ht="12.75" hidden="false" customHeight="true" outlineLevel="0" collapsed="false"/>
    <row r="63863" customFormat="false" ht="12.75" hidden="false" customHeight="true" outlineLevel="0" collapsed="false"/>
    <row r="63864" customFormat="false" ht="12.75" hidden="false" customHeight="true" outlineLevel="0" collapsed="false"/>
    <row r="63865" customFormat="false" ht="12.75" hidden="false" customHeight="true" outlineLevel="0" collapsed="false"/>
    <row r="63866" customFormat="false" ht="12.75" hidden="false" customHeight="true" outlineLevel="0" collapsed="false"/>
    <row r="63867" customFormat="false" ht="12.75" hidden="false" customHeight="true" outlineLevel="0" collapsed="false"/>
    <row r="63868" customFormat="false" ht="12.75" hidden="false" customHeight="true" outlineLevel="0" collapsed="false"/>
    <row r="63869" customFormat="false" ht="12.75" hidden="false" customHeight="true" outlineLevel="0" collapsed="false"/>
    <row r="63870" customFormat="false" ht="12.75" hidden="false" customHeight="true" outlineLevel="0" collapsed="false"/>
    <row r="63871" customFormat="false" ht="12.75" hidden="false" customHeight="true" outlineLevel="0" collapsed="false"/>
    <row r="63872" customFormat="false" ht="12.75" hidden="false" customHeight="true" outlineLevel="0" collapsed="false"/>
    <row r="63873" customFormat="false" ht="12.75" hidden="false" customHeight="true" outlineLevel="0" collapsed="false"/>
    <row r="63874" customFormat="false" ht="12.75" hidden="false" customHeight="true" outlineLevel="0" collapsed="false"/>
    <row r="63875" customFormat="false" ht="12.75" hidden="false" customHeight="true" outlineLevel="0" collapsed="false"/>
    <row r="63876" customFormat="false" ht="12.75" hidden="false" customHeight="true" outlineLevel="0" collapsed="false"/>
    <row r="63877" customFormat="false" ht="12.75" hidden="false" customHeight="true" outlineLevel="0" collapsed="false"/>
    <row r="63878" customFormat="false" ht="12.75" hidden="false" customHeight="true" outlineLevel="0" collapsed="false"/>
    <row r="63879" customFormat="false" ht="12.75" hidden="false" customHeight="true" outlineLevel="0" collapsed="false"/>
    <row r="63880" customFormat="false" ht="12.75" hidden="false" customHeight="true" outlineLevel="0" collapsed="false"/>
    <row r="63881" customFormat="false" ht="12.75" hidden="false" customHeight="true" outlineLevel="0" collapsed="false"/>
    <row r="63882" customFormat="false" ht="12.75" hidden="false" customHeight="true" outlineLevel="0" collapsed="false"/>
    <row r="63883" customFormat="false" ht="12.75" hidden="false" customHeight="true" outlineLevel="0" collapsed="false"/>
    <row r="63884" customFormat="false" ht="12.75" hidden="false" customHeight="true" outlineLevel="0" collapsed="false"/>
    <row r="63885" customFormat="false" ht="12.75" hidden="false" customHeight="true" outlineLevel="0" collapsed="false"/>
    <row r="63886" customFormat="false" ht="12.75" hidden="false" customHeight="true" outlineLevel="0" collapsed="false"/>
    <row r="63887" customFormat="false" ht="12.75" hidden="false" customHeight="true" outlineLevel="0" collapsed="false"/>
    <row r="63888" customFormat="false" ht="12.75" hidden="false" customHeight="true" outlineLevel="0" collapsed="false"/>
    <row r="63889" customFormat="false" ht="12.75" hidden="false" customHeight="true" outlineLevel="0" collapsed="false"/>
    <row r="63890" customFormat="false" ht="12.75" hidden="false" customHeight="true" outlineLevel="0" collapsed="false"/>
    <row r="63891" customFormat="false" ht="12.75" hidden="false" customHeight="true" outlineLevel="0" collapsed="false"/>
    <row r="63892" customFormat="false" ht="12.75" hidden="false" customHeight="true" outlineLevel="0" collapsed="false"/>
    <row r="63893" customFormat="false" ht="12.75" hidden="false" customHeight="true" outlineLevel="0" collapsed="false"/>
    <row r="63894" customFormat="false" ht="12.75" hidden="false" customHeight="true" outlineLevel="0" collapsed="false"/>
    <row r="63895" customFormat="false" ht="12.75" hidden="false" customHeight="true" outlineLevel="0" collapsed="false"/>
    <row r="63896" customFormat="false" ht="12.75" hidden="false" customHeight="true" outlineLevel="0" collapsed="false"/>
    <row r="63897" customFormat="false" ht="12.75" hidden="false" customHeight="true" outlineLevel="0" collapsed="false"/>
    <row r="63898" customFormat="false" ht="12.75" hidden="false" customHeight="true" outlineLevel="0" collapsed="false"/>
    <row r="63899" customFormat="false" ht="12.75" hidden="false" customHeight="true" outlineLevel="0" collapsed="false"/>
    <row r="63900" customFormat="false" ht="12.75" hidden="false" customHeight="true" outlineLevel="0" collapsed="false"/>
    <row r="63901" customFormat="false" ht="12.75" hidden="false" customHeight="true" outlineLevel="0" collapsed="false"/>
    <row r="63902" customFormat="false" ht="12.75" hidden="false" customHeight="true" outlineLevel="0" collapsed="false"/>
    <row r="63903" customFormat="false" ht="12.75" hidden="false" customHeight="true" outlineLevel="0" collapsed="false"/>
    <row r="63904" customFormat="false" ht="12.75" hidden="false" customHeight="true" outlineLevel="0" collapsed="false"/>
    <row r="63905" customFormat="false" ht="12.75" hidden="false" customHeight="true" outlineLevel="0" collapsed="false"/>
    <row r="63906" customFormat="false" ht="12.75" hidden="false" customHeight="true" outlineLevel="0" collapsed="false"/>
    <row r="63907" customFormat="false" ht="12.75" hidden="false" customHeight="true" outlineLevel="0" collapsed="false"/>
    <row r="63908" customFormat="false" ht="12.75" hidden="false" customHeight="true" outlineLevel="0" collapsed="false"/>
    <row r="63909" customFormat="false" ht="12.75" hidden="false" customHeight="true" outlineLevel="0" collapsed="false"/>
    <row r="63910" customFormat="false" ht="12.75" hidden="false" customHeight="true" outlineLevel="0" collapsed="false"/>
    <row r="63911" customFormat="false" ht="12.75" hidden="false" customHeight="true" outlineLevel="0" collapsed="false"/>
    <row r="63912" customFormat="false" ht="12.75" hidden="false" customHeight="true" outlineLevel="0" collapsed="false"/>
    <row r="63913" customFormat="false" ht="12.75" hidden="false" customHeight="true" outlineLevel="0" collapsed="false"/>
    <row r="63914" customFormat="false" ht="12.75" hidden="false" customHeight="true" outlineLevel="0" collapsed="false"/>
    <row r="63915" customFormat="false" ht="12.75" hidden="false" customHeight="true" outlineLevel="0" collapsed="false"/>
    <row r="63916" customFormat="false" ht="12.75" hidden="false" customHeight="true" outlineLevel="0" collapsed="false"/>
    <row r="63917" customFormat="false" ht="12.75" hidden="false" customHeight="true" outlineLevel="0" collapsed="false"/>
    <row r="63918" customFormat="false" ht="12.75" hidden="false" customHeight="true" outlineLevel="0" collapsed="false"/>
    <row r="63919" customFormat="false" ht="12.75" hidden="false" customHeight="true" outlineLevel="0" collapsed="false"/>
    <row r="63920" customFormat="false" ht="12.75" hidden="false" customHeight="true" outlineLevel="0" collapsed="false"/>
    <row r="63921" customFormat="false" ht="12.75" hidden="false" customHeight="true" outlineLevel="0" collapsed="false"/>
    <row r="63922" customFormat="false" ht="12.75" hidden="false" customHeight="true" outlineLevel="0" collapsed="false"/>
    <row r="63923" customFormat="false" ht="12.75" hidden="false" customHeight="true" outlineLevel="0" collapsed="false"/>
    <row r="63924" customFormat="false" ht="12.75" hidden="false" customHeight="true" outlineLevel="0" collapsed="false"/>
    <row r="63925" customFormat="false" ht="12.75" hidden="false" customHeight="true" outlineLevel="0" collapsed="false"/>
    <row r="63926" customFormat="false" ht="12.75" hidden="false" customHeight="true" outlineLevel="0" collapsed="false"/>
    <row r="63927" customFormat="false" ht="12.75" hidden="false" customHeight="true" outlineLevel="0" collapsed="false"/>
    <row r="63928" customFormat="false" ht="12.75" hidden="false" customHeight="true" outlineLevel="0" collapsed="false"/>
    <row r="63929" customFormat="false" ht="12.75" hidden="false" customHeight="true" outlineLevel="0" collapsed="false"/>
    <row r="63930" customFormat="false" ht="12.75" hidden="false" customHeight="true" outlineLevel="0" collapsed="false"/>
    <row r="63931" customFormat="false" ht="12.75" hidden="false" customHeight="true" outlineLevel="0" collapsed="false"/>
    <row r="63932" customFormat="false" ht="12.75" hidden="false" customHeight="true" outlineLevel="0" collapsed="false"/>
    <row r="63933" customFormat="false" ht="12.75" hidden="false" customHeight="true" outlineLevel="0" collapsed="false"/>
    <row r="63934" customFormat="false" ht="12.75" hidden="false" customHeight="true" outlineLevel="0" collapsed="false"/>
    <row r="63935" customFormat="false" ht="12.75" hidden="false" customHeight="true" outlineLevel="0" collapsed="false"/>
    <row r="63936" customFormat="false" ht="12.75" hidden="false" customHeight="true" outlineLevel="0" collapsed="false"/>
    <row r="63937" customFormat="false" ht="12.75" hidden="false" customHeight="true" outlineLevel="0" collapsed="false"/>
    <row r="63938" customFormat="false" ht="12.75" hidden="false" customHeight="true" outlineLevel="0" collapsed="false"/>
    <row r="63939" customFormat="false" ht="12.75" hidden="false" customHeight="true" outlineLevel="0" collapsed="false"/>
    <row r="63940" customFormat="false" ht="12.75" hidden="false" customHeight="true" outlineLevel="0" collapsed="false"/>
    <row r="63941" customFormat="false" ht="12.75" hidden="false" customHeight="true" outlineLevel="0" collapsed="false"/>
    <row r="63942" customFormat="false" ht="12.75" hidden="false" customHeight="true" outlineLevel="0" collapsed="false"/>
    <row r="63943" customFormat="false" ht="12.75" hidden="false" customHeight="true" outlineLevel="0" collapsed="false"/>
    <row r="63944" customFormat="false" ht="12.75" hidden="false" customHeight="true" outlineLevel="0" collapsed="false"/>
    <row r="63945" customFormat="false" ht="12.75" hidden="false" customHeight="true" outlineLevel="0" collapsed="false"/>
    <row r="63946" customFormat="false" ht="12.75" hidden="false" customHeight="true" outlineLevel="0" collapsed="false"/>
    <row r="63947" customFormat="false" ht="12.75" hidden="false" customHeight="true" outlineLevel="0" collapsed="false"/>
    <row r="63948" customFormat="false" ht="12.75" hidden="false" customHeight="true" outlineLevel="0" collapsed="false"/>
    <row r="63949" customFormat="false" ht="12.75" hidden="false" customHeight="true" outlineLevel="0" collapsed="false"/>
    <row r="63950" customFormat="false" ht="12.75" hidden="false" customHeight="true" outlineLevel="0" collapsed="false"/>
    <row r="63951" customFormat="false" ht="12.75" hidden="false" customHeight="true" outlineLevel="0" collapsed="false"/>
    <row r="63952" customFormat="false" ht="12.75" hidden="false" customHeight="true" outlineLevel="0" collapsed="false"/>
    <row r="63953" customFormat="false" ht="12.75" hidden="false" customHeight="true" outlineLevel="0" collapsed="false"/>
    <row r="63954" customFormat="false" ht="12.75" hidden="false" customHeight="true" outlineLevel="0" collapsed="false"/>
    <row r="63955" customFormat="false" ht="12.75" hidden="false" customHeight="true" outlineLevel="0" collapsed="false"/>
    <row r="63956" customFormat="false" ht="12.75" hidden="false" customHeight="true" outlineLevel="0" collapsed="false"/>
    <row r="63957" customFormat="false" ht="12.75" hidden="false" customHeight="true" outlineLevel="0" collapsed="false"/>
    <row r="63958" customFormat="false" ht="12.75" hidden="false" customHeight="true" outlineLevel="0" collapsed="false"/>
    <row r="63959" customFormat="false" ht="12.75" hidden="false" customHeight="true" outlineLevel="0" collapsed="false"/>
    <row r="63960" customFormat="false" ht="12.75" hidden="false" customHeight="true" outlineLevel="0" collapsed="false"/>
    <row r="63961" customFormat="false" ht="12.75" hidden="false" customHeight="true" outlineLevel="0" collapsed="false"/>
    <row r="63962" customFormat="false" ht="12.75" hidden="false" customHeight="true" outlineLevel="0" collapsed="false"/>
    <row r="63963" customFormat="false" ht="12.75" hidden="false" customHeight="true" outlineLevel="0" collapsed="false"/>
    <row r="63964" customFormat="false" ht="12.75" hidden="false" customHeight="true" outlineLevel="0" collapsed="false"/>
    <row r="63965" customFormat="false" ht="12.75" hidden="false" customHeight="true" outlineLevel="0" collapsed="false"/>
    <row r="63966" customFormat="false" ht="12.75" hidden="false" customHeight="true" outlineLevel="0" collapsed="false"/>
    <row r="63967" customFormat="false" ht="12.75" hidden="false" customHeight="true" outlineLevel="0" collapsed="false"/>
    <row r="63968" customFormat="false" ht="12.75" hidden="false" customHeight="true" outlineLevel="0" collapsed="false"/>
    <row r="63969" customFormat="false" ht="12.75" hidden="false" customHeight="true" outlineLevel="0" collapsed="false"/>
    <row r="63970" customFormat="false" ht="12.75" hidden="false" customHeight="true" outlineLevel="0" collapsed="false"/>
    <row r="63971" customFormat="false" ht="12.75" hidden="false" customHeight="true" outlineLevel="0" collapsed="false"/>
    <row r="63972" customFormat="false" ht="12.75" hidden="false" customHeight="true" outlineLevel="0" collapsed="false"/>
    <row r="63973" customFormat="false" ht="12.75" hidden="false" customHeight="true" outlineLevel="0" collapsed="false"/>
    <row r="63974" customFormat="false" ht="12.75" hidden="false" customHeight="true" outlineLevel="0" collapsed="false"/>
    <row r="63975" customFormat="false" ht="12.75" hidden="false" customHeight="true" outlineLevel="0" collapsed="false"/>
    <row r="63976" customFormat="false" ht="12.75" hidden="false" customHeight="true" outlineLevel="0" collapsed="false"/>
    <row r="63977" customFormat="false" ht="12.75" hidden="false" customHeight="true" outlineLevel="0" collapsed="false"/>
    <row r="63978" customFormat="false" ht="12.75" hidden="false" customHeight="true" outlineLevel="0" collapsed="false"/>
    <row r="63979" customFormat="false" ht="12.75" hidden="false" customHeight="true" outlineLevel="0" collapsed="false"/>
    <row r="63980" customFormat="false" ht="12.75" hidden="false" customHeight="true" outlineLevel="0" collapsed="false"/>
    <row r="63981" customFormat="false" ht="12.75" hidden="false" customHeight="true" outlineLevel="0" collapsed="false"/>
    <row r="63982" customFormat="false" ht="12.75" hidden="false" customHeight="true" outlineLevel="0" collapsed="false"/>
    <row r="63983" customFormat="false" ht="12.75" hidden="false" customHeight="true" outlineLevel="0" collapsed="false"/>
    <row r="63984" customFormat="false" ht="12.75" hidden="false" customHeight="true" outlineLevel="0" collapsed="false"/>
    <row r="63985" customFormat="false" ht="12.75" hidden="false" customHeight="true" outlineLevel="0" collapsed="false"/>
    <row r="63986" customFormat="false" ht="12.75" hidden="false" customHeight="true" outlineLevel="0" collapsed="false"/>
    <row r="63987" customFormat="false" ht="12.75" hidden="false" customHeight="true" outlineLevel="0" collapsed="false"/>
    <row r="63988" customFormat="false" ht="12.75" hidden="false" customHeight="true" outlineLevel="0" collapsed="false"/>
    <row r="63989" customFormat="false" ht="12.75" hidden="false" customHeight="true" outlineLevel="0" collapsed="false"/>
    <row r="63990" customFormat="false" ht="12.75" hidden="false" customHeight="true" outlineLevel="0" collapsed="false"/>
    <row r="63991" customFormat="false" ht="12.75" hidden="false" customHeight="true" outlineLevel="0" collapsed="false"/>
    <row r="63992" customFormat="false" ht="12.75" hidden="false" customHeight="true" outlineLevel="0" collapsed="false"/>
    <row r="63993" customFormat="false" ht="12.75" hidden="false" customHeight="true" outlineLevel="0" collapsed="false"/>
    <row r="63994" customFormat="false" ht="12.75" hidden="false" customHeight="true" outlineLevel="0" collapsed="false"/>
    <row r="63995" customFormat="false" ht="12.75" hidden="false" customHeight="true" outlineLevel="0" collapsed="false"/>
    <row r="63996" customFormat="false" ht="12.75" hidden="false" customHeight="true" outlineLevel="0" collapsed="false"/>
    <row r="63997" customFormat="false" ht="12.75" hidden="false" customHeight="true" outlineLevel="0" collapsed="false"/>
    <row r="63998" customFormat="false" ht="12.75" hidden="false" customHeight="true" outlineLevel="0" collapsed="false"/>
    <row r="63999" customFormat="false" ht="12.75" hidden="false" customHeight="true" outlineLevel="0" collapsed="false"/>
    <row r="64000" customFormat="false" ht="12.75" hidden="false" customHeight="true" outlineLevel="0" collapsed="false"/>
    <row r="64001" customFormat="false" ht="12.75" hidden="false" customHeight="true" outlineLevel="0" collapsed="false"/>
    <row r="64002" customFormat="false" ht="12.75" hidden="false" customHeight="true" outlineLevel="0" collapsed="false"/>
    <row r="64003" customFormat="false" ht="12.75" hidden="false" customHeight="true" outlineLevel="0" collapsed="false"/>
    <row r="64004" customFormat="false" ht="12.75" hidden="false" customHeight="true" outlineLevel="0" collapsed="false"/>
    <row r="64005" customFormat="false" ht="12.75" hidden="false" customHeight="true" outlineLevel="0" collapsed="false"/>
    <row r="64006" customFormat="false" ht="12.75" hidden="false" customHeight="true" outlineLevel="0" collapsed="false"/>
    <row r="64007" customFormat="false" ht="12.75" hidden="false" customHeight="true" outlineLevel="0" collapsed="false"/>
    <row r="64008" customFormat="false" ht="12.75" hidden="false" customHeight="true" outlineLevel="0" collapsed="false"/>
    <row r="64009" customFormat="false" ht="12.75" hidden="false" customHeight="true" outlineLevel="0" collapsed="false"/>
    <row r="64010" customFormat="false" ht="12.75" hidden="false" customHeight="true" outlineLevel="0" collapsed="false"/>
    <row r="64011" customFormat="false" ht="12.75" hidden="false" customHeight="true" outlineLevel="0" collapsed="false"/>
    <row r="64012" customFormat="false" ht="12.75" hidden="false" customHeight="true" outlineLevel="0" collapsed="false"/>
    <row r="64013" customFormat="false" ht="12.75" hidden="false" customHeight="true" outlineLevel="0" collapsed="false"/>
    <row r="64014" customFormat="false" ht="12.75" hidden="false" customHeight="true" outlineLevel="0" collapsed="false"/>
    <row r="64015" customFormat="false" ht="12.75" hidden="false" customHeight="true" outlineLevel="0" collapsed="false"/>
    <row r="64016" customFormat="false" ht="12.75" hidden="false" customHeight="true" outlineLevel="0" collapsed="false"/>
    <row r="64017" customFormat="false" ht="12.75" hidden="false" customHeight="true" outlineLevel="0" collapsed="false"/>
    <row r="64018" customFormat="false" ht="12.75" hidden="false" customHeight="true" outlineLevel="0" collapsed="false"/>
    <row r="64019" customFormat="false" ht="12.75" hidden="false" customHeight="true" outlineLevel="0" collapsed="false"/>
    <row r="64020" customFormat="false" ht="12.75" hidden="false" customHeight="true" outlineLevel="0" collapsed="false"/>
    <row r="64021" customFormat="false" ht="12.75" hidden="false" customHeight="true" outlineLevel="0" collapsed="false"/>
    <row r="64022" customFormat="false" ht="12.75" hidden="false" customHeight="true" outlineLevel="0" collapsed="false"/>
    <row r="64023" customFormat="false" ht="12.75" hidden="false" customHeight="true" outlineLevel="0" collapsed="false"/>
    <row r="64024" customFormat="false" ht="12.75" hidden="false" customHeight="true" outlineLevel="0" collapsed="false"/>
    <row r="64025" customFormat="false" ht="12.75" hidden="false" customHeight="true" outlineLevel="0" collapsed="false"/>
    <row r="64026" customFormat="false" ht="12.75" hidden="false" customHeight="true" outlineLevel="0" collapsed="false"/>
    <row r="64027" customFormat="false" ht="12.75" hidden="false" customHeight="true" outlineLevel="0" collapsed="false"/>
    <row r="64028" customFormat="false" ht="12.75" hidden="false" customHeight="true" outlineLevel="0" collapsed="false"/>
    <row r="64029" customFormat="false" ht="12.75" hidden="false" customHeight="true" outlineLevel="0" collapsed="false"/>
    <row r="64030" customFormat="false" ht="12.75" hidden="false" customHeight="true" outlineLevel="0" collapsed="false"/>
    <row r="64031" customFormat="false" ht="12.75" hidden="false" customHeight="true" outlineLevel="0" collapsed="false"/>
    <row r="64032" customFormat="false" ht="12.75" hidden="false" customHeight="true" outlineLevel="0" collapsed="false"/>
    <row r="64033" customFormat="false" ht="12.75" hidden="false" customHeight="true" outlineLevel="0" collapsed="false"/>
    <row r="64034" customFormat="false" ht="12.75" hidden="false" customHeight="true" outlineLevel="0" collapsed="false"/>
    <row r="64035" customFormat="false" ht="12.75" hidden="false" customHeight="true" outlineLevel="0" collapsed="false"/>
    <row r="64036" customFormat="false" ht="12.75" hidden="false" customHeight="true" outlineLevel="0" collapsed="false"/>
    <row r="64037" customFormat="false" ht="12.75" hidden="false" customHeight="true" outlineLevel="0" collapsed="false"/>
    <row r="64038" customFormat="false" ht="12.75" hidden="false" customHeight="true" outlineLevel="0" collapsed="false"/>
    <row r="64039" customFormat="false" ht="12.75" hidden="false" customHeight="true" outlineLevel="0" collapsed="false"/>
    <row r="64040" customFormat="false" ht="12.75" hidden="false" customHeight="true" outlineLevel="0" collapsed="false"/>
    <row r="64041" customFormat="false" ht="12.75" hidden="false" customHeight="true" outlineLevel="0" collapsed="false"/>
    <row r="64042" customFormat="false" ht="12.75" hidden="false" customHeight="true" outlineLevel="0" collapsed="false"/>
    <row r="64043" customFormat="false" ht="12.75" hidden="false" customHeight="true" outlineLevel="0" collapsed="false"/>
    <row r="64044" customFormat="false" ht="12.75" hidden="false" customHeight="true" outlineLevel="0" collapsed="false"/>
    <row r="64045" customFormat="false" ht="12.75" hidden="false" customHeight="true" outlineLevel="0" collapsed="false"/>
    <row r="64046" customFormat="false" ht="12.75" hidden="false" customHeight="true" outlineLevel="0" collapsed="false"/>
    <row r="64047" customFormat="false" ht="12.75" hidden="false" customHeight="true" outlineLevel="0" collapsed="false"/>
    <row r="64048" customFormat="false" ht="12.75" hidden="false" customHeight="true" outlineLevel="0" collapsed="false"/>
    <row r="64049" customFormat="false" ht="12.75" hidden="false" customHeight="true" outlineLevel="0" collapsed="false"/>
    <row r="64050" customFormat="false" ht="12.75" hidden="false" customHeight="true" outlineLevel="0" collapsed="false"/>
    <row r="64051" customFormat="false" ht="12.75" hidden="false" customHeight="true" outlineLevel="0" collapsed="false"/>
    <row r="64052" customFormat="false" ht="12.75" hidden="false" customHeight="true" outlineLevel="0" collapsed="false"/>
    <row r="64053" customFormat="false" ht="12.75" hidden="false" customHeight="true" outlineLevel="0" collapsed="false"/>
    <row r="64054" customFormat="false" ht="12.75" hidden="false" customHeight="true" outlineLevel="0" collapsed="false"/>
    <row r="64055" customFormat="false" ht="12.75" hidden="false" customHeight="true" outlineLevel="0" collapsed="false"/>
    <row r="64056" customFormat="false" ht="12.75" hidden="false" customHeight="true" outlineLevel="0" collapsed="false"/>
    <row r="64057" customFormat="false" ht="12.75" hidden="false" customHeight="true" outlineLevel="0" collapsed="false"/>
    <row r="64058" customFormat="false" ht="12.75" hidden="false" customHeight="true" outlineLevel="0" collapsed="false"/>
    <row r="64059" customFormat="false" ht="12.75" hidden="false" customHeight="true" outlineLevel="0" collapsed="false"/>
    <row r="64060" customFormat="false" ht="12.75" hidden="false" customHeight="true" outlineLevel="0" collapsed="false"/>
    <row r="64061" customFormat="false" ht="12.75" hidden="false" customHeight="true" outlineLevel="0" collapsed="false"/>
    <row r="64062" customFormat="false" ht="12.75" hidden="false" customHeight="true" outlineLevel="0" collapsed="false"/>
    <row r="64063" customFormat="false" ht="12.75" hidden="false" customHeight="true" outlineLevel="0" collapsed="false"/>
    <row r="64064" customFormat="false" ht="12.75" hidden="false" customHeight="true" outlineLevel="0" collapsed="false"/>
    <row r="64065" customFormat="false" ht="12.75" hidden="false" customHeight="true" outlineLevel="0" collapsed="false"/>
    <row r="64066" customFormat="false" ht="12.75" hidden="false" customHeight="true" outlineLevel="0" collapsed="false"/>
    <row r="64067" customFormat="false" ht="12.75" hidden="false" customHeight="true" outlineLevel="0" collapsed="false"/>
    <row r="64068" customFormat="false" ht="12.75" hidden="false" customHeight="true" outlineLevel="0" collapsed="false"/>
    <row r="64069" customFormat="false" ht="12.75" hidden="false" customHeight="true" outlineLevel="0" collapsed="false"/>
    <row r="64070" customFormat="false" ht="12.75" hidden="false" customHeight="true" outlineLevel="0" collapsed="false"/>
    <row r="64071" customFormat="false" ht="12.75" hidden="false" customHeight="true" outlineLevel="0" collapsed="false"/>
    <row r="64072" customFormat="false" ht="12.75" hidden="false" customHeight="true" outlineLevel="0" collapsed="false"/>
    <row r="64073" customFormat="false" ht="12.75" hidden="false" customHeight="true" outlineLevel="0" collapsed="false"/>
    <row r="64074" customFormat="false" ht="12.75" hidden="false" customHeight="true" outlineLevel="0" collapsed="false"/>
    <row r="64075" customFormat="false" ht="12.75" hidden="false" customHeight="true" outlineLevel="0" collapsed="false"/>
    <row r="64076" customFormat="false" ht="12.75" hidden="false" customHeight="true" outlineLevel="0" collapsed="false"/>
    <row r="64077" customFormat="false" ht="12.75" hidden="false" customHeight="true" outlineLevel="0" collapsed="false"/>
    <row r="64078" customFormat="false" ht="12.75" hidden="false" customHeight="true" outlineLevel="0" collapsed="false"/>
    <row r="64079" customFormat="false" ht="12.75" hidden="false" customHeight="true" outlineLevel="0" collapsed="false"/>
    <row r="64080" customFormat="false" ht="12.75" hidden="false" customHeight="true" outlineLevel="0" collapsed="false"/>
    <row r="64081" customFormat="false" ht="12.75" hidden="false" customHeight="true" outlineLevel="0" collapsed="false"/>
    <row r="64082" customFormat="false" ht="12.75" hidden="false" customHeight="true" outlineLevel="0" collapsed="false"/>
    <row r="64083" customFormat="false" ht="12.75" hidden="false" customHeight="true" outlineLevel="0" collapsed="false"/>
    <row r="64084" customFormat="false" ht="12.75" hidden="false" customHeight="true" outlineLevel="0" collapsed="false"/>
    <row r="64085" customFormat="false" ht="12.75" hidden="false" customHeight="true" outlineLevel="0" collapsed="false"/>
    <row r="64086" customFormat="false" ht="12.75" hidden="false" customHeight="true" outlineLevel="0" collapsed="false"/>
    <row r="64087" customFormat="false" ht="12.75" hidden="false" customHeight="true" outlineLevel="0" collapsed="false"/>
    <row r="64088" customFormat="false" ht="12.75" hidden="false" customHeight="true" outlineLevel="0" collapsed="false"/>
    <row r="64089" customFormat="false" ht="12.75" hidden="false" customHeight="true" outlineLevel="0" collapsed="false"/>
    <row r="64090" customFormat="false" ht="12.75" hidden="false" customHeight="true" outlineLevel="0" collapsed="false"/>
    <row r="64091" customFormat="false" ht="12.75" hidden="false" customHeight="true" outlineLevel="0" collapsed="false"/>
    <row r="64092" customFormat="false" ht="12.75" hidden="false" customHeight="true" outlineLevel="0" collapsed="false"/>
    <row r="64093" customFormat="false" ht="12.75" hidden="false" customHeight="true" outlineLevel="0" collapsed="false"/>
    <row r="64094" customFormat="false" ht="12.75" hidden="false" customHeight="true" outlineLevel="0" collapsed="false"/>
    <row r="64095" customFormat="false" ht="12.75" hidden="false" customHeight="true" outlineLevel="0" collapsed="false"/>
    <row r="64096" customFormat="false" ht="12.75" hidden="false" customHeight="true" outlineLevel="0" collapsed="false"/>
    <row r="64097" customFormat="false" ht="12.75" hidden="false" customHeight="true" outlineLevel="0" collapsed="false"/>
    <row r="64098" customFormat="false" ht="12.75" hidden="false" customHeight="true" outlineLevel="0" collapsed="false"/>
    <row r="64099" customFormat="false" ht="12.75" hidden="false" customHeight="true" outlineLevel="0" collapsed="false"/>
    <row r="64100" customFormat="false" ht="12.75" hidden="false" customHeight="true" outlineLevel="0" collapsed="false"/>
    <row r="64101" customFormat="false" ht="12.75" hidden="false" customHeight="true" outlineLevel="0" collapsed="false"/>
    <row r="64102" customFormat="false" ht="12.75" hidden="false" customHeight="true" outlineLevel="0" collapsed="false"/>
    <row r="64103" customFormat="false" ht="12.75" hidden="false" customHeight="true" outlineLevel="0" collapsed="false"/>
    <row r="64104" customFormat="false" ht="12.75" hidden="false" customHeight="true" outlineLevel="0" collapsed="false"/>
    <row r="64105" customFormat="false" ht="12.75" hidden="false" customHeight="true" outlineLevel="0" collapsed="false"/>
    <row r="64106" customFormat="false" ht="12.75" hidden="false" customHeight="true" outlineLevel="0" collapsed="false"/>
    <row r="64107" customFormat="false" ht="12.75" hidden="false" customHeight="true" outlineLevel="0" collapsed="false"/>
    <row r="64108" customFormat="false" ht="12.75" hidden="false" customHeight="true" outlineLevel="0" collapsed="false"/>
    <row r="64109" customFormat="false" ht="12.75" hidden="false" customHeight="true" outlineLevel="0" collapsed="false"/>
    <row r="64110" customFormat="false" ht="12.75" hidden="false" customHeight="true" outlineLevel="0" collapsed="false"/>
    <row r="64111" customFormat="false" ht="12.75" hidden="false" customHeight="true" outlineLevel="0" collapsed="false"/>
    <row r="64112" customFormat="false" ht="12.75" hidden="false" customHeight="true" outlineLevel="0" collapsed="false"/>
    <row r="64113" customFormat="false" ht="12.75" hidden="false" customHeight="true" outlineLevel="0" collapsed="false"/>
    <row r="64114" customFormat="false" ht="12.75" hidden="false" customHeight="true" outlineLevel="0" collapsed="false"/>
    <row r="64115" customFormat="false" ht="12.75" hidden="false" customHeight="true" outlineLevel="0" collapsed="false"/>
    <row r="64116" customFormat="false" ht="12.75" hidden="false" customHeight="true" outlineLevel="0" collapsed="false"/>
    <row r="64117" customFormat="false" ht="12.75" hidden="false" customHeight="true" outlineLevel="0" collapsed="false"/>
    <row r="64118" customFormat="false" ht="12.75" hidden="false" customHeight="true" outlineLevel="0" collapsed="false"/>
    <row r="64119" customFormat="false" ht="12.75" hidden="false" customHeight="true" outlineLevel="0" collapsed="false"/>
    <row r="64120" customFormat="false" ht="12.75" hidden="false" customHeight="true" outlineLevel="0" collapsed="false"/>
    <row r="64121" customFormat="false" ht="12.75" hidden="false" customHeight="true" outlineLevel="0" collapsed="false"/>
    <row r="64122" customFormat="false" ht="12.75" hidden="false" customHeight="true" outlineLevel="0" collapsed="false"/>
    <row r="64123" customFormat="false" ht="12.75" hidden="false" customHeight="true" outlineLevel="0" collapsed="false"/>
    <row r="64124" customFormat="false" ht="12.75" hidden="false" customHeight="true" outlineLevel="0" collapsed="false"/>
    <row r="64125" customFormat="false" ht="12.75" hidden="false" customHeight="true" outlineLevel="0" collapsed="false"/>
    <row r="64126" customFormat="false" ht="12.75" hidden="false" customHeight="true" outlineLevel="0" collapsed="false"/>
    <row r="64127" customFormat="false" ht="12.75" hidden="false" customHeight="true" outlineLevel="0" collapsed="false"/>
    <row r="64128" customFormat="false" ht="12.75" hidden="false" customHeight="true" outlineLevel="0" collapsed="false"/>
    <row r="64129" customFormat="false" ht="12.75" hidden="false" customHeight="true" outlineLevel="0" collapsed="false"/>
    <row r="64130" customFormat="false" ht="12.75" hidden="false" customHeight="true" outlineLevel="0" collapsed="false"/>
    <row r="64131" customFormat="false" ht="12.75" hidden="false" customHeight="true" outlineLevel="0" collapsed="false"/>
    <row r="64132" customFormat="false" ht="12.75" hidden="false" customHeight="true" outlineLevel="0" collapsed="false"/>
    <row r="64133" customFormat="false" ht="12.75" hidden="false" customHeight="true" outlineLevel="0" collapsed="false"/>
    <row r="64134" customFormat="false" ht="12.75" hidden="false" customHeight="true" outlineLevel="0" collapsed="false"/>
    <row r="64135" customFormat="false" ht="12.75" hidden="false" customHeight="true" outlineLevel="0" collapsed="false"/>
    <row r="64136" customFormat="false" ht="12.75" hidden="false" customHeight="true" outlineLevel="0" collapsed="false"/>
    <row r="64137" customFormat="false" ht="12.75" hidden="false" customHeight="true" outlineLevel="0" collapsed="false"/>
    <row r="64138" customFormat="false" ht="12.75" hidden="false" customHeight="true" outlineLevel="0" collapsed="false"/>
    <row r="64139" customFormat="false" ht="12.75" hidden="false" customHeight="true" outlineLevel="0" collapsed="false"/>
    <row r="64140" customFormat="false" ht="12.75" hidden="false" customHeight="true" outlineLevel="0" collapsed="false"/>
    <row r="64141" customFormat="false" ht="12.75" hidden="false" customHeight="true" outlineLevel="0" collapsed="false"/>
    <row r="64142" customFormat="false" ht="12.75" hidden="false" customHeight="true" outlineLevel="0" collapsed="false"/>
    <row r="64143" customFormat="false" ht="12.75" hidden="false" customHeight="true" outlineLevel="0" collapsed="false"/>
    <row r="64144" customFormat="false" ht="12.75" hidden="false" customHeight="true" outlineLevel="0" collapsed="false"/>
    <row r="64145" customFormat="false" ht="12.75" hidden="false" customHeight="true" outlineLevel="0" collapsed="false"/>
    <row r="64146" customFormat="false" ht="12.75" hidden="false" customHeight="true" outlineLevel="0" collapsed="false"/>
    <row r="64147" customFormat="false" ht="12.75" hidden="false" customHeight="true" outlineLevel="0" collapsed="false"/>
    <row r="64148" customFormat="false" ht="12.75" hidden="false" customHeight="true" outlineLevel="0" collapsed="false"/>
    <row r="64149" customFormat="false" ht="12.75" hidden="false" customHeight="true" outlineLevel="0" collapsed="false"/>
    <row r="64150" customFormat="false" ht="12.75" hidden="false" customHeight="true" outlineLevel="0" collapsed="false"/>
    <row r="64151" customFormat="false" ht="12.75" hidden="false" customHeight="true" outlineLevel="0" collapsed="false"/>
    <row r="64152" customFormat="false" ht="12.75" hidden="false" customHeight="true" outlineLevel="0" collapsed="false"/>
    <row r="64153" customFormat="false" ht="12.75" hidden="false" customHeight="true" outlineLevel="0" collapsed="false"/>
    <row r="64154" customFormat="false" ht="12.75" hidden="false" customHeight="true" outlineLevel="0" collapsed="false"/>
    <row r="64155" customFormat="false" ht="12.75" hidden="false" customHeight="true" outlineLevel="0" collapsed="false"/>
    <row r="64156" customFormat="false" ht="12.75" hidden="false" customHeight="true" outlineLevel="0" collapsed="false"/>
    <row r="64157" customFormat="false" ht="12.75" hidden="false" customHeight="true" outlineLevel="0" collapsed="false"/>
    <row r="64158" customFormat="false" ht="12.75" hidden="false" customHeight="true" outlineLevel="0" collapsed="false"/>
    <row r="64159" customFormat="false" ht="12.75" hidden="false" customHeight="true" outlineLevel="0" collapsed="false"/>
    <row r="64160" customFormat="false" ht="12.75" hidden="false" customHeight="true" outlineLevel="0" collapsed="false"/>
    <row r="64161" customFormat="false" ht="12.75" hidden="false" customHeight="true" outlineLevel="0" collapsed="false"/>
    <row r="64162" customFormat="false" ht="12.75" hidden="false" customHeight="true" outlineLevel="0" collapsed="false"/>
    <row r="64163" customFormat="false" ht="12.75" hidden="false" customHeight="true" outlineLevel="0" collapsed="false"/>
    <row r="64164" customFormat="false" ht="12.75" hidden="false" customHeight="true" outlineLevel="0" collapsed="false"/>
    <row r="64165" customFormat="false" ht="12.75" hidden="false" customHeight="true" outlineLevel="0" collapsed="false"/>
    <row r="64166" customFormat="false" ht="12.75" hidden="false" customHeight="true" outlineLevel="0" collapsed="false"/>
    <row r="64167" customFormat="false" ht="12.75" hidden="false" customHeight="true" outlineLevel="0" collapsed="false"/>
    <row r="64168" customFormat="false" ht="12.75" hidden="false" customHeight="true" outlineLevel="0" collapsed="false"/>
    <row r="64169" customFormat="false" ht="12.75" hidden="false" customHeight="true" outlineLevel="0" collapsed="false"/>
    <row r="64170" customFormat="false" ht="12.75" hidden="false" customHeight="true" outlineLevel="0" collapsed="false"/>
    <row r="64171" customFormat="false" ht="12.75" hidden="false" customHeight="true" outlineLevel="0" collapsed="false"/>
    <row r="64172" customFormat="false" ht="12.75" hidden="false" customHeight="true" outlineLevel="0" collapsed="false"/>
    <row r="64173" customFormat="false" ht="12.75" hidden="false" customHeight="true" outlineLevel="0" collapsed="false"/>
    <row r="64174" customFormat="false" ht="12.75" hidden="false" customHeight="true" outlineLevel="0" collapsed="false"/>
    <row r="64175" customFormat="false" ht="12.75" hidden="false" customHeight="true" outlineLevel="0" collapsed="false"/>
    <row r="64176" customFormat="false" ht="12.75" hidden="false" customHeight="true" outlineLevel="0" collapsed="false"/>
    <row r="64177" customFormat="false" ht="12.75" hidden="false" customHeight="true" outlineLevel="0" collapsed="false"/>
    <row r="64178" customFormat="false" ht="12.75" hidden="false" customHeight="true" outlineLevel="0" collapsed="false"/>
    <row r="64179" customFormat="false" ht="12.75" hidden="false" customHeight="true" outlineLevel="0" collapsed="false"/>
    <row r="64180" customFormat="false" ht="12.75" hidden="false" customHeight="true" outlineLevel="0" collapsed="false"/>
    <row r="64181" customFormat="false" ht="12.75" hidden="false" customHeight="true" outlineLevel="0" collapsed="false"/>
    <row r="64182" customFormat="false" ht="12.75" hidden="false" customHeight="true" outlineLevel="0" collapsed="false"/>
    <row r="64183" customFormat="false" ht="12.75" hidden="false" customHeight="true" outlineLevel="0" collapsed="false"/>
    <row r="64184" customFormat="false" ht="12.75" hidden="false" customHeight="true" outlineLevel="0" collapsed="false"/>
    <row r="64185" customFormat="false" ht="12.75" hidden="false" customHeight="true" outlineLevel="0" collapsed="false"/>
    <row r="64186" customFormat="false" ht="12.75" hidden="false" customHeight="true" outlineLevel="0" collapsed="false"/>
    <row r="64187" customFormat="false" ht="12.75" hidden="false" customHeight="true" outlineLevel="0" collapsed="false"/>
    <row r="64188" customFormat="false" ht="12.75" hidden="false" customHeight="true" outlineLevel="0" collapsed="false"/>
    <row r="64189" customFormat="false" ht="12.75" hidden="false" customHeight="true" outlineLevel="0" collapsed="false"/>
    <row r="64190" customFormat="false" ht="12.75" hidden="false" customHeight="true" outlineLevel="0" collapsed="false"/>
    <row r="64191" customFormat="false" ht="12.75" hidden="false" customHeight="true" outlineLevel="0" collapsed="false"/>
    <row r="64192" customFormat="false" ht="12.75" hidden="false" customHeight="true" outlineLevel="0" collapsed="false"/>
    <row r="64193" customFormat="false" ht="12.75" hidden="false" customHeight="true" outlineLevel="0" collapsed="false"/>
    <row r="64194" customFormat="false" ht="12.75" hidden="false" customHeight="true" outlineLevel="0" collapsed="false"/>
    <row r="64195" customFormat="false" ht="12.75" hidden="false" customHeight="true" outlineLevel="0" collapsed="false"/>
    <row r="64196" customFormat="false" ht="12.75" hidden="false" customHeight="true" outlineLevel="0" collapsed="false"/>
    <row r="64197" customFormat="false" ht="12.75" hidden="false" customHeight="true" outlineLevel="0" collapsed="false"/>
    <row r="64198" customFormat="false" ht="12.75" hidden="false" customHeight="true" outlineLevel="0" collapsed="false"/>
    <row r="64199" customFormat="false" ht="12.75" hidden="false" customHeight="true" outlineLevel="0" collapsed="false"/>
    <row r="64200" customFormat="false" ht="12.75" hidden="false" customHeight="true" outlineLevel="0" collapsed="false"/>
    <row r="64201" customFormat="false" ht="12.75" hidden="false" customHeight="true" outlineLevel="0" collapsed="false"/>
    <row r="64202" customFormat="false" ht="12.75" hidden="false" customHeight="true" outlineLevel="0" collapsed="false"/>
    <row r="64203" customFormat="false" ht="12.75" hidden="false" customHeight="true" outlineLevel="0" collapsed="false"/>
    <row r="64204" customFormat="false" ht="12.75" hidden="false" customHeight="true" outlineLevel="0" collapsed="false"/>
    <row r="64205" customFormat="false" ht="12.75" hidden="false" customHeight="true" outlineLevel="0" collapsed="false"/>
    <row r="64206" customFormat="false" ht="12.75" hidden="false" customHeight="true" outlineLevel="0" collapsed="false"/>
    <row r="64207" customFormat="false" ht="12.75" hidden="false" customHeight="true" outlineLevel="0" collapsed="false"/>
    <row r="64208" customFormat="false" ht="12.75" hidden="false" customHeight="true" outlineLevel="0" collapsed="false"/>
    <row r="64209" customFormat="false" ht="12.75" hidden="false" customHeight="true" outlineLevel="0" collapsed="false"/>
    <row r="64210" customFormat="false" ht="12.75" hidden="false" customHeight="true" outlineLevel="0" collapsed="false"/>
    <row r="64211" customFormat="false" ht="12.75" hidden="false" customHeight="true" outlineLevel="0" collapsed="false"/>
    <row r="64212" customFormat="false" ht="12.75" hidden="false" customHeight="true" outlineLevel="0" collapsed="false"/>
    <row r="64213" customFormat="false" ht="12.75" hidden="false" customHeight="true" outlineLevel="0" collapsed="false"/>
    <row r="64214" customFormat="false" ht="12.75" hidden="false" customHeight="true" outlineLevel="0" collapsed="false"/>
    <row r="64215" customFormat="false" ht="12.75" hidden="false" customHeight="true" outlineLevel="0" collapsed="false"/>
    <row r="64216" customFormat="false" ht="12.75" hidden="false" customHeight="true" outlineLevel="0" collapsed="false"/>
    <row r="64217" customFormat="false" ht="12.75" hidden="false" customHeight="true" outlineLevel="0" collapsed="false"/>
    <row r="64218" customFormat="false" ht="12.75" hidden="false" customHeight="true" outlineLevel="0" collapsed="false"/>
    <row r="64219" customFormat="false" ht="12.75" hidden="false" customHeight="true" outlineLevel="0" collapsed="false"/>
    <row r="64220" customFormat="false" ht="12.75" hidden="false" customHeight="true" outlineLevel="0" collapsed="false"/>
    <row r="64221" customFormat="false" ht="12.75" hidden="false" customHeight="true" outlineLevel="0" collapsed="false"/>
    <row r="64222" customFormat="false" ht="12.75" hidden="false" customHeight="true" outlineLevel="0" collapsed="false"/>
    <row r="64223" customFormat="false" ht="12.75" hidden="false" customHeight="true" outlineLevel="0" collapsed="false"/>
    <row r="64224" customFormat="false" ht="12.75" hidden="false" customHeight="true" outlineLevel="0" collapsed="false"/>
    <row r="64225" customFormat="false" ht="12.75" hidden="false" customHeight="true" outlineLevel="0" collapsed="false"/>
    <row r="64226" customFormat="false" ht="12.75" hidden="false" customHeight="true" outlineLevel="0" collapsed="false"/>
    <row r="64227" customFormat="false" ht="12.75" hidden="false" customHeight="true" outlineLevel="0" collapsed="false"/>
    <row r="64228" customFormat="false" ht="12.75" hidden="false" customHeight="true" outlineLevel="0" collapsed="false"/>
    <row r="64229" customFormat="false" ht="12.75" hidden="false" customHeight="true" outlineLevel="0" collapsed="false"/>
    <row r="64230" customFormat="false" ht="12.75" hidden="false" customHeight="true" outlineLevel="0" collapsed="false"/>
    <row r="64231" customFormat="false" ht="12.75" hidden="false" customHeight="true" outlineLevel="0" collapsed="false"/>
    <row r="64232" customFormat="false" ht="12.75" hidden="false" customHeight="true" outlineLevel="0" collapsed="false"/>
    <row r="64233" customFormat="false" ht="12.75" hidden="false" customHeight="true" outlineLevel="0" collapsed="false"/>
    <row r="64234" customFormat="false" ht="12.75" hidden="false" customHeight="true" outlineLevel="0" collapsed="false"/>
    <row r="64235" customFormat="false" ht="12.75" hidden="false" customHeight="true" outlineLevel="0" collapsed="false"/>
    <row r="64236" customFormat="false" ht="12.75" hidden="false" customHeight="true" outlineLevel="0" collapsed="false"/>
    <row r="64237" customFormat="false" ht="12.75" hidden="false" customHeight="true" outlineLevel="0" collapsed="false"/>
    <row r="64238" customFormat="false" ht="12.75" hidden="false" customHeight="true" outlineLevel="0" collapsed="false"/>
    <row r="64239" customFormat="false" ht="12.75" hidden="false" customHeight="true" outlineLevel="0" collapsed="false"/>
    <row r="64240" customFormat="false" ht="12.75" hidden="false" customHeight="true" outlineLevel="0" collapsed="false"/>
    <row r="64241" customFormat="false" ht="12.75" hidden="false" customHeight="true" outlineLevel="0" collapsed="false"/>
    <row r="64242" customFormat="false" ht="12.75" hidden="false" customHeight="true" outlineLevel="0" collapsed="false"/>
    <row r="64243" customFormat="false" ht="12.75" hidden="false" customHeight="true" outlineLevel="0" collapsed="false"/>
    <row r="64244" customFormat="false" ht="12.75" hidden="false" customHeight="true" outlineLevel="0" collapsed="false"/>
    <row r="64245" customFormat="false" ht="12.75" hidden="false" customHeight="true" outlineLevel="0" collapsed="false"/>
    <row r="64246" customFormat="false" ht="12.75" hidden="false" customHeight="true" outlineLevel="0" collapsed="false"/>
    <row r="64247" customFormat="false" ht="12.75" hidden="false" customHeight="true" outlineLevel="0" collapsed="false"/>
    <row r="64248" customFormat="false" ht="12.75" hidden="false" customHeight="true" outlineLevel="0" collapsed="false"/>
    <row r="64249" customFormat="false" ht="12.75" hidden="false" customHeight="true" outlineLevel="0" collapsed="false"/>
    <row r="64250" customFormat="false" ht="12.75" hidden="false" customHeight="true" outlineLevel="0" collapsed="false"/>
    <row r="64251" customFormat="false" ht="12.75" hidden="false" customHeight="true" outlineLevel="0" collapsed="false"/>
    <row r="64252" customFormat="false" ht="12.75" hidden="false" customHeight="true" outlineLevel="0" collapsed="false"/>
    <row r="64253" customFormat="false" ht="12.75" hidden="false" customHeight="true" outlineLevel="0" collapsed="false"/>
    <row r="64254" customFormat="false" ht="12.75" hidden="false" customHeight="true" outlineLevel="0" collapsed="false"/>
    <row r="64255" customFormat="false" ht="12.75" hidden="false" customHeight="true" outlineLevel="0" collapsed="false"/>
    <row r="64256" customFormat="false" ht="12.75" hidden="false" customHeight="true" outlineLevel="0" collapsed="false"/>
    <row r="64257" customFormat="false" ht="12.75" hidden="false" customHeight="true" outlineLevel="0" collapsed="false"/>
    <row r="64258" customFormat="false" ht="12.75" hidden="false" customHeight="true" outlineLevel="0" collapsed="false"/>
    <row r="64259" customFormat="false" ht="12.75" hidden="false" customHeight="true" outlineLevel="0" collapsed="false"/>
    <row r="64260" customFormat="false" ht="12.75" hidden="false" customHeight="true" outlineLevel="0" collapsed="false"/>
    <row r="64261" customFormat="false" ht="12.75" hidden="false" customHeight="true" outlineLevel="0" collapsed="false"/>
    <row r="64262" customFormat="false" ht="12.75" hidden="false" customHeight="true" outlineLevel="0" collapsed="false"/>
    <row r="64263" customFormat="false" ht="12.75" hidden="false" customHeight="true" outlineLevel="0" collapsed="false"/>
    <row r="64264" customFormat="false" ht="12.75" hidden="false" customHeight="true" outlineLevel="0" collapsed="false"/>
    <row r="64265" customFormat="false" ht="12.75" hidden="false" customHeight="true" outlineLevel="0" collapsed="false"/>
    <row r="64266" customFormat="false" ht="12.75" hidden="false" customHeight="true" outlineLevel="0" collapsed="false"/>
    <row r="64267" customFormat="false" ht="12.75" hidden="false" customHeight="true" outlineLevel="0" collapsed="false"/>
    <row r="64268" customFormat="false" ht="12.75" hidden="false" customHeight="true" outlineLevel="0" collapsed="false"/>
    <row r="64269" customFormat="false" ht="12.75" hidden="false" customHeight="true" outlineLevel="0" collapsed="false"/>
    <row r="64270" customFormat="false" ht="12.75" hidden="false" customHeight="true" outlineLevel="0" collapsed="false"/>
    <row r="64271" customFormat="false" ht="12.75" hidden="false" customHeight="true" outlineLevel="0" collapsed="false"/>
    <row r="64272" customFormat="false" ht="12.75" hidden="false" customHeight="true" outlineLevel="0" collapsed="false"/>
    <row r="64273" customFormat="false" ht="12.75" hidden="false" customHeight="true" outlineLevel="0" collapsed="false"/>
    <row r="64274" customFormat="false" ht="12.75" hidden="false" customHeight="true" outlineLevel="0" collapsed="false"/>
    <row r="64275" customFormat="false" ht="12.75" hidden="false" customHeight="true" outlineLevel="0" collapsed="false"/>
    <row r="64276" customFormat="false" ht="12.75" hidden="false" customHeight="true" outlineLevel="0" collapsed="false"/>
    <row r="64277" customFormat="false" ht="12.75" hidden="false" customHeight="true" outlineLevel="0" collapsed="false"/>
    <row r="64278" customFormat="false" ht="12.75" hidden="false" customHeight="true" outlineLevel="0" collapsed="false"/>
    <row r="64279" customFormat="false" ht="12.75" hidden="false" customHeight="true" outlineLevel="0" collapsed="false"/>
    <row r="64280" customFormat="false" ht="12.75" hidden="false" customHeight="true" outlineLevel="0" collapsed="false"/>
    <row r="64281" customFormat="false" ht="12.75" hidden="false" customHeight="true" outlineLevel="0" collapsed="false"/>
    <row r="64282" customFormat="false" ht="12.75" hidden="false" customHeight="true" outlineLevel="0" collapsed="false"/>
    <row r="64283" customFormat="false" ht="12.75" hidden="false" customHeight="true" outlineLevel="0" collapsed="false"/>
    <row r="64284" customFormat="false" ht="12.75" hidden="false" customHeight="true" outlineLevel="0" collapsed="false"/>
    <row r="64285" customFormat="false" ht="12.75" hidden="false" customHeight="true" outlineLevel="0" collapsed="false"/>
    <row r="64286" customFormat="false" ht="12.75" hidden="false" customHeight="true" outlineLevel="0" collapsed="false"/>
    <row r="64287" customFormat="false" ht="12.75" hidden="false" customHeight="true" outlineLevel="0" collapsed="false"/>
    <row r="64288" customFormat="false" ht="12.75" hidden="false" customHeight="true" outlineLevel="0" collapsed="false"/>
    <row r="64289" customFormat="false" ht="12.75" hidden="false" customHeight="true" outlineLevel="0" collapsed="false"/>
    <row r="64290" customFormat="false" ht="12.75" hidden="false" customHeight="true" outlineLevel="0" collapsed="false"/>
    <row r="64291" customFormat="false" ht="12.75" hidden="false" customHeight="true" outlineLevel="0" collapsed="false"/>
    <row r="64292" customFormat="false" ht="12.75" hidden="false" customHeight="true" outlineLevel="0" collapsed="false"/>
    <row r="64293" customFormat="false" ht="12.75" hidden="false" customHeight="true" outlineLevel="0" collapsed="false"/>
    <row r="64294" customFormat="false" ht="12.75" hidden="false" customHeight="true" outlineLevel="0" collapsed="false"/>
    <row r="64295" customFormat="false" ht="12.75" hidden="false" customHeight="true" outlineLevel="0" collapsed="false"/>
    <row r="64296" customFormat="false" ht="12.75" hidden="false" customHeight="true" outlineLevel="0" collapsed="false"/>
    <row r="64297" customFormat="false" ht="12.75" hidden="false" customHeight="true" outlineLevel="0" collapsed="false"/>
    <row r="64298" customFormat="false" ht="12.75" hidden="false" customHeight="true" outlineLevel="0" collapsed="false"/>
    <row r="64299" customFormat="false" ht="12.75" hidden="false" customHeight="true" outlineLevel="0" collapsed="false"/>
    <row r="64300" customFormat="false" ht="12.75" hidden="false" customHeight="true" outlineLevel="0" collapsed="false"/>
    <row r="64301" customFormat="false" ht="12.75" hidden="false" customHeight="true" outlineLevel="0" collapsed="false"/>
    <row r="64302" customFormat="false" ht="12.75" hidden="false" customHeight="true" outlineLevel="0" collapsed="false"/>
    <row r="64303" customFormat="false" ht="12.75" hidden="false" customHeight="true" outlineLevel="0" collapsed="false"/>
    <row r="64304" customFormat="false" ht="12.75" hidden="false" customHeight="true" outlineLevel="0" collapsed="false"/>
    <row r="64305" customFormat="false" ht="12.75" hidden="false" customHeight="true" outlineLevel="0" collapsed="false"/>
    <row r="64306" customFormat="false" ht="12.75" hidden="false" customHeight="true" outlineLevel="0" collapsed="false"/>
    <row r="64307" customFormat="false" ht="12.75" hidden="false" customHeight="true" outlineLevel="0" collapsed="false"/>
    <row r="64308" customFormat="false" ht="12.75" hidden="false" customHeight="true" outlineLevel="0" collapsed="false"/>
    <row r="64309" customFormat="false" ht="12.75" hidden="false" customHeight="true" outlineLevel="0" collapsed="false"/>
    <row r="64310" customFormat="false" ht="12.75" hidden="false" customHeight="true" outlineLevel="0" collapsed="false"/>
    <row r="64311" customFormat="false" ht="12.75" hidden="false" customHeight="true" outlineLevel="0" collapsed="false"/>
    <row r="64312" customFormat="false" ht="12.75" hidden="false" customHeight="true" outlineLevel="0" collapsed="false"/>
    <row r="64313" customFormat="false" ht="12.75" hidden="false" customHeight="true" outlineLevel="0" collapsed="false"/>
    <row r="64314" customFormat="false" ht="12.75" hidden="false" customHeight="true" outlineLevel="0" collapsed="false"/>
    <row r="64315" customFormat="false" ht="12.75" hidden="false" customHeight="true" outlineLevel="0" collapsed="false"/>
    <row r="64316" customFormat="false" ht="12.75" hidden="false" customHeight="true" outlineLevel="0" collapsed="false"/>
    <row r="64317" customFormat="false" ht="12.75" hidden="false" customHeight="true" outlineLevel="0" collapsed="false"/>
    <row r="64318" customFormat="false" ht="12.75" hidden="false" customHeight="true" outlineLevel="0" collapsed="false"/>
    <row r="64319" customFormat="false" ht="12.75" hidden="false" customHeight="true" outlineLevel="0" collapsed="false"/>
    <row r="64320" customFormat="false" ht="12.75" hidden="false" customHeight="true" outlineLevel="0" collapsed="false"/>
    <row r="64321" customFormat="false" ht="12.75" hidden="false" customHeight="true" outlineLevel="0" collapsed="false"/>
    <row r="64322" customFormat="false" ht="12.75" hidden="false" customHeight="true" outlineLevel="0" collapsed="false"/>
    <row r="64323" customFormat="false" ht="12.75" hidden="false" customHeight="true" outlineLevel="0" collapsed="false"/>
    <row r="64324" customFormat="false" ht="12.75" hidden="false" customHeight="true" outlineLevel="0" collapsed="false"/>
    <row r="64325" customFormat="false" ht="12.75" hidden="false" customHeight="true" outlineLevel="0" collapsed="false"/>
    <row r="64326" customFormat="false" ht="12.75" hidden="false" customHeight="true" outlineLevel="0" collapsed="false"/>
    <row r="64327" customFormat="false" ht="12.75" hidden="false" customHeight="true" outlineLevel="0" collapsed="false"/>
    <row r="64328" customFormat="false" ht="12.75" hidden="false" customHeight="true" outlineLevel="0" collapsed="false"/>
    <row r="64329" customFormat="false" ht="12.75" hidden="false" customHeight="true" outlineLevel="0" collapsed="false"/>
    <row r="64330" customFormat="false" ht="12.75" hidden="false" customHeight="true" outlineLevel="0" collapsed="false"/>
    <row r="64331" customFormat="false" ht="12.75" hidden="false" customHeight="true" outlineLevel="0" collapsed="false"/>
    <row r="64332" customFormat="false" ht="12.75" hidden="false" customHeight="true" outlineLevel="0" collapsed="false"/>
    <row r="64333" customFormat="false" ht="12.75" hidden="false" customHeight="true" outlineLevel="0" collapsed="false"/>
    <row r="64334" customFormat="false" ht="12.75" hidden="false" customHeight="true" outlineLevel="0" collapsed="false"/>
    <row r="64335" customFormat="false" ht="12.75" hidden="false" customHeight="true" outlineLevel="0" collapsed="false"/>
    <row r="64336" customFormat="false" ht="12.75" hidden="false" customHeight="true" outlineLevel="0" collapsed="false"/>
    <row r="64337" customFormat="false" ht="12.75" hidden="false" customHeight="true" outlineLevel="0" collapsed="false"/>
    <row r="64338" customFormat="false" ht="12.75" hidden="false" customHeight="true" outlineLevel="0" collapsed="false"/>
    <row r="64339" customFormat="false" ht="12.75" hidden="false" customHeight="true" outlineLevel="0" collapsed="false"/>
    <row r="64340" customFormat="false" ht="12.75" hidden="false" customHeight="true" outlineLevel="0" collapsed="false"/>
    <row r="64341" customFormat="false" ht="12.75" hidden="false" customHeight="true" outlineLevel="0" collapsed="false"/>
    <row r="64342" customFormat="false" ht="12.75" hidden="false" customHeight="true" outlineLevel="0" collapsed="false"/>
    <row r="64343" customFormat="false" ht="12.75" hidden="false" customHeight="true" outlineLevel="0" collapsed="false"/>
    <row r="64344" customFormat="false" ht="12.75" hidden="false" customHeight="true" outlineLevel="0" collapsed="false"/>
    <row r="64345" customFormat="false" ht="12.75" hidden="false" customHeight="true" outlineLevel="0" collapsed="false"/>
    <row r="64346" customFormat="false" ht="12.75" hidden="false" customHeight="true" outlineLevel="0" collapsed="false"/>
    <row r="64347" customFormat="false" ht="12.75" hidden="false" customHeight="true" outlineLevel="0" collapsed="false"/>
    <row r="64348" customFormat="false" ht="12.75" hidden="false" customHeight="true" outlineLevel="0" collapsed="false"/>
    <row r="64349" customFormat="false" ht="12.75" hidden="false" customHeight="true" outlineLevel="0" collapsed="false"/>
    <row r="64350" customFormat="false" ht="12.75" hidden="false" customHeight="true" outlineLevel="0" collapsed="false"/>
    <row r="64351" customFormat="false" ht="12.75" hidden="false" customHeight="true" outlineLevel="0" collapsed="false"/>
    <row r="64352" customFormat="false" ht="12.75" hidden="false" customHeight="true" outlineLevel="0" collapsed="false"/>
    <row r="64353" customFormat="false" ht="12.75" hidden="false" customHeight="true" outlineLevel="0" collapsed="false"/>
    <row r="64354" customFormat="false" ht="12.75" hidden="false" customHeight="true" outlineLevel="0" collapsed="false"/>
    <row r="64355" customFormat="false" ht="12.75" hidden="false" customHeight="true" outlineLevel="0" collapsed="false"/>
    <row r="64356" customFormat="false" ht="12.75" hidden="false" customHeight="true" outlineLevel="0" collapsed="false"/>
    <row r="64357" customFormat="false" ht="12.75" hidden="false" customHeight="true" outlineLevel="0" collapsed="false"/>
    <row r="64358" customFormat="false" ht="12.75" hidden="false" customHeight="true" outlineLevel="0" collapsed="false"/>
    <row r="64359" customFormat="false" ht="12.75" hidden="false" customHeight="true" outlineLevel="0" collapsed="false"/>
    <row r="64360" customFormat="false" ht="12.75" hidden="false" customHeight="true" outlineLevel="0" collapsed="false"/>
    <row r="64361" customFormat="false" ht="12.75" hidden="false" customHeight="true" outlineLevel="0" collapsed="false"/>
    <row r="64362" customFormat="false" ht="12.75" hidden="false" customHeight="true" outlineLevel="0" collapsed="false"/>
    <row r="64363" customFormat="false" ht="12.75" hidden="false" customHeight="true" outlineLevel="0" collapsed="false"/>
    <row r="64364" customFormat="false" ht="12.75" hidden="false" customHeight="true" outlineLevel="0" collapsed="false"/>
    <row r="64365" customFormat="false" ht="12.75" hidden="false" customHeight="true" outlineLevel="0" collapsed="false"/>
    <row r="64366" customFormat="false" ht="12.75" hidden="false" customHeight="true" outlineLevel="0" collapsed="false"/>
    <row r="64367" customFormat="false" ht="12.75" hidden="false" customHeight="true" outlineLevel="0" collapsed="false"/>
    <row r="64368" customFormat="false" ht="12.75" hidden="false" customHeight="true" outlineLevel="0" collapsed="false"/>
    <row r="64369" customFormat="false" ht="12.75" hidden="false" customHeight="true" outlineLevel="0" collapsed="false"/>
    <row r="64370" customFormat="false" ht="12.75" hidden="false" customHeight="true" outlineLevel="0" collapsed="false"/>
    <row r="64371" customFormat="false" ht="12.75" hidden="false" customHeight="true" outlineLevel="0" collapsed="false"/>
    <row r="64372" customFormat="false" ht="12.75" hidden="false" customHeight="true" outlineLevel="0" collapsed="false"/>
    <row r="64373" customFormat="false" ht="12.75" hidden="false" customHeight="true" outlineLevel="0" collapsed="false"/>
    <row r="64374" customFormat="false" ht="12.75" hidden="false" customHeight="true" outlineLevel="0" collapsed="false"/>
    <row r="64375" customFormat="false" ht="12.75" hidden="false" customHeight="true" outlineLevel="0" collapsed="false"/>
    <row r="64376" customFormat="false" ht="12.75" hidden="false" customHeight="true" outlineLevel="0" collapsed="false"/>
    <row r="64377" customFormat="false" ht="12.75" hidden="false" customHeight="true" outlineLevel="0" collapsed="false"/>
    <row r="64378" customFormat="false" ht="12.75" hidden="false" customHeight="true" outlineLevel="0" collapsed="false"/>
    <row r="64379" customFormat="false" ht="12.75" hidden="false" customHeight="true" outlineLevel="0" collapsed="false"/>
    <row r="64380" customFormat="false" ht="12.75" hidden="false" customHeight="true" outlineLevel="0" collapsed="false"/>
    <row r="64381" customFormat="false" ht="12.75" hidden="false" customHeight="true" outlineLevel="0" collapsed="false"/>
    <row r="64382" customFormat="false" ht="12.75" hidden="false" customHeight="true" outlineLevel="0" collapsed="false"/>
    <row r="64383" customFormat="false" ht="12.75" hidden="false" customHeight="true" outlineLevel="0" collapsed="false"/>
    <row r="64384" customFormat="false" ht="12.75" hidden="false" customHeight="true" outlineLevel="0" collapsed="false"/>
    <row r="64385" customFormat="false" ht="12.75" hidden="false" customHeight="true" outlineLevel="0" collapsed="false"/>
    <row r="64386" customFormat="false" ht="12.75" hidden="false" customHeight="true" outlineLevel="0" collapsed="false"/>
    <row r="64387" customFormat="false" ht="12.75" hidden="false" customHeight="true" outlineLevel="0" collapsed="false"/>
    <row r="64388" customFormat="false" ht="12.75" hidden="false" customHeight="true" outlineLevel="0" collapsed="false"/>
    <row r="64389" customFormat="false" ht="12.75" hidden="false" customHeight="true" outlineLevel="0" collapsed="false"/>
    <row r="64390" customFormat="false" ht="12.75" hidden="false" customHeight="true" outlineLevel="0" collapsed="false"/>
    <row r="64391" customFormat="false" ht="12.75" hidden="false" customHeight="true" outlineLevel="0" collapsed="false"/>
    <row r="64392" customFormat="false" ht="12.75" hidden="false" customHeight="true" outlineLevel="0" collapsed="false"/>
    <row r="64393" customFormat="false" ht="12.75" hidden="false" customHeight="true" outlineLevel="0" collapsed="false"/>
    <row r="64394" customFormat="false" ht="12.75" hidden="false" customHeight="true" outlineLevel="0" collapsed="false"/>
    <row r="64395" customFormat="false" ht="12.75" hidden="false" customHeight="true" outlineLevel="0" collapsed="false"/>
    <row r="64396" customFormat="false" ht="12.75" hidden="false" customHeight="true" outlineLevel="0" collapsed="false"/>
    <row r="64397" customFormat="false" ht="12.75" hidden="false" customHeight="true" outlineLevel="0" collapsed="false"/>
    <row r="64398" customFormat="false" ht="12.75" hidden="false" customHeight="true" outlineLevel="0" collapsed="false"/>
    <row r="64399" customFormat="false" ht="12.75" hidden="false" customHeight="true" outlineLevel="0" collapsed="false"/>
    <row r="64400" customFormat="false" ht="12.75" hidden="false" customHeight="true" outlineLevel="0" collapsed="false"/>
    <row r="64401" customFormat="false" ht="12.75" hidden="false" customHeight="true" outlineLevel="0" collapsed="false"/>
    <row r="64402" customFormat="false" ht="12.75" hidden="false" customHeight="true" outlineLevel="0" collapsed="false"/>
    <row r="64403" customFormat="false" ht="12.75" hidden="false" customHeight="true" outlineLevel="0" collapsed="false"/>
    <row r="64404" customFormat="false" ht="12.75" hidden="false" customHeight="true" outlineLevel="0" collapsed="false"/>
    <row r="64405" customFormat="false" ht="12.75" hidden="false" customHeight="true" outlineLevel="0" collapsed="false"/>
    <row r="64406" customFormat="false" ht="12.75" hidden="false" customHeight="true" outlineLevel="0" collapsed="false"/>
    <row r="64407" customFormat="false" ht="12.75" hidden="false" customHeight="true" outlineLevel="0" collapsed="false"/>
    <row r="64408" customFormat="false" ht="12.75" hidden="false" customHeight="true" outlineLevel="0" collapsed="false"/>
    <row r="64409" customFormat="false" ht="12.75" hidden="false" customHeight="true" outlineLevel="0" collapsed="false"/>
    <row r="64410" customFormat="false" ht="12.75" hidden="false" customHeight="true" outlineLevel="0" collapsed="false"/>
    <row r="64411" customFormat="false" ht="12.75" hidden="false" customHeight="true" outlineLevel="0" collapsed="false"/>
    <row r="64412" customFormat="false" ht="12.75" hidden="false" customHeight="true" outlineLevel="0" collapsed="false"/>
    <row r="64413" customFormat="false" ht="12.75" hidden="false" customHeight="true" outlineLevel="0" collapsed="false"/>
    <row r="64414" customFormat="false" ht="12.75" hidden="false" customHeight="true" outlineLevel="0" collapsed="false"/>
    <row r="64415" customFormat="false" ht="12.75" hidden="false" customHeight="true" outlineLevel="0" collapsed="false"/>
    <row r="64416" customFormat="false" ht="12.75" hidden="false" customHeight="true" outlineLevel="0" collapsed="false"/>
    <row r="64417" customFormat="false" ht="12.75" hidden="false" customHeight="true" outlineLevel="0" collapsed="false"/>
    <row r="64418" customFormat="false" ht="12.75" hidden="false" customHeight="true" outlineLevel="0" collapsed="false"/>
    <row r="64419" customFormat="false" ht="12.75" hidden="false" customHeight="true" outlineLevel="0" collapsed="false"/>
    <row r="64420" customFormat="false" ht="12.75" hidden="false" customHeight="true" outlineLevel="0" collapsed="false"/>
    <row r="64421" customFormat="false" ht="12.75" hidden="false" customHeight="true" outlineLevel="0" collapsed="false"/>
    <row r="64422" customFormat="false" ht="12.75" hidden="false" customHeight="true" outlineLevel="0" collapsed="false"/>
    <row r="64423" customFormat="false" ht="12.75" hidden="false" customHeight="true" outlineLevel="0" collapsed="false"/>
    <row r="64424" customFormat="false" ht="12.75" hidden="false" customHeight="true" outlineLevel="0" collapsed="false"/>
    <row r="64425" customFormat="false" ht="12.75" hidden="false" customHeight="true" outlineLevel="0" collapsed="false"/>
    <row r="64426" customFormat="false" ht="12.75" hidden="false" customHeight="true" outlineLevel="0" collapsed="false"/>
    <row r="64427" customFormat="false" ht="12.75" hidden="false" customHeight="true" outlineLevel="0" collapsed="false"/>
    <row r="64428" customFormat="false" ht="12.75" hidden="false" customHeight="true" outlineLevel="0" collapsed="false"/>
    <row r="64429" customFormat="false" ht="12.75" hidden="false" customHeight="true" outlineLevel="0" collapsed="false"/>
    <row r="64430" customFormat="false" ht="12.75" hidden="false" customHeight="true" outlineLevel="0" collapsed="false"/>
    <row r="64431" customFormat="false" ht="12.75" hidden="false" customHeight="true" outlineLevel="0" collapsed="false"/>
    <row r="64432" customFormat="false" ht="12.75" hidden="false" customHeight="true" outlineLevel="0" collapsed="false"/>
    <row r="64433" customFormat="false" ht="12.75" hidden="false" customHeight="true" outlineLevel="0" collapsed="false"/>
    <row r="64434" customFormat="false" ht="12.75" hidden="false" customHeight="true" outlineLevel="0" collapsed="false"/>
    <row r="64435" customFormat="false" ht="12.75" hidden="false" customHeight="true" outlineLevel="0" collapsed="false"/>
    <row r="64436" customFormat="false" ht="12.75" hidden="false" customHeight="true" outlineLevel="0" collapsed="false"/>
    <row r="64437" customFormat="false" ht="12.75" hidden="false" customHeight="true" outlineLevel="0" collapsed="false"/>
    <row r="64438" customFormat="false" ht="12.75" hidden="false" customHeight="true" outlineLevel="0" collapsed="false"/>
    <row r="64439" customFormat="false" ht="12.75" hidden="false" customHeight="true" outlineLevel="0" collapsed="false"/>
    <row r="64440" customFormat="false" ht="12.75" hidden="false" customHeight="true" outlineLevel="0" collapsed="false"/>
    <row r="64441" customFormat="false" ht="12.75" hidden="false" customHeight="true" outlineLevel="0" collapsed="false"/>
    <row r="64442" customFormat="false" ht="12.75" hidden="false" customHeight="true" outlineLevel="0" collapsed="false"/>
    <row r="64443" customFormat="false" ht="12.75" hidden="false" customHeight="true" outlineLevel="0" collapsed="false"/>
    <row r="64444" customFormat="false" ht="12.75" hidden="false" customHeight="true" outlineLevel="0" collapsed="false"/>
    <row r="64445" customFormat="false" ht="12.75" hidden="false" customHeight="true" outlineLevel="0" collapsed="false"/>
    <row r="64446" customFormat="false" ht="12.75" hidden="false" customHeight="true" outlineLevel="0" collapsed="false"/>
    <row r="64447" customFormat="false" ht="12.75" hidden="false" customHeight="true" outlineLevel="0" collapsed="false"/>
    <row r="64448" customFormat="false" ht="12.75" hidden="false" customHeight="true" outlineLevel="0" collapsed="false"/>
    <row r="64449" customFormat="false" ht="12.75" hidden="false" customHeight="true" outlineLevel="0" collapsed="false"/>
    <row r="64450" customFormat="false" ht="12.75" hidden="false" customHeight="true" outlineLevel="0" collapsed="false"/>
    <row r="64451" customFormat="false" ht="12.75" hidden="false" customHeight="true" outlineLevel="0" collapsed="false"/>
    <row r="64452" customFormat="false" ht="12.75" hidden="false" customHeight="true" outlineLevel="0" collapsed="false"/>
    <row r="64453" customFormat="false" ht="12.75" hidden="false" customHeight="true" outlineLevel="0" collapsed="false"/>
    <row r="64454" customFormat="false" ht="12.75" hidden="false" customHeight="true" outlineLevel="0" collapsed="false"/>
    <row r="64455" customFormat="false" ht="12.75" hidden="false" customHeight="true" outlineLevel="0" collapsed="false"/>
    <row r="64456" customFormat="false" ht="12.75" hidden="false" customHeight="true" outlineLevel="0" collapsed="false"/>
    <row r="64457" customFormat="false" ht="12.75" hidden="false" customHeight="true" outlineLevel="0" collapsed="false"/>
    <row r="64458" customFormat="false" ht="12.75" hidden="false" customHeight="true" outlineLevel="0" collapsed="false"/>
    <row r="64459" customFormat="false" ht="12.75" hidden="false" customHeight="true" outlineLevel="0" collapsed="false"/>
    <row r="64460" customFormat="false" ht="12.75" hidden="false" customHeight="true" outlineLevel="0" collapsed="false"/>
    <row r="64461" customFormat="false" ht="12.75" hidden="false" customHeight="true" outlineLevel="0" collapsed="false"/>
    <row r="64462" customFormat="false" ht="12.75" hidden="false" customHeight="true" outlineLevel="0" collapsed="false"/>
    <row r="64463" customFormat="false" ht="12.75" hidden="false" customHeight="true" outlineLevel="0" collapsed="false"/>
    <row r="64464" customFormat="false" ht="12.75" hidden="false" customHeight="true" outlineLevel="0" collapsed="false"/>
    <row r="64465" customFormat="false" ht="12.75" hidden="false" customHeight="true" outlineLevel="0" collapsed="false"/>
    <row r="64466" customFormat="false" ht="12.75" hidden="false" customHeight="true" outlineLevel="0" collapsed="false"/>
    <row r="64467" customFormat="false" ht="12.75" hidden="false" customHeight="true" outlineLevel="0" collapsed="false"/>
    <row r="64468" customFormat="false" ht="12.75" hidden="false" customHeight="true" outlineLevel="0" collapsed="false"/>
    <row r="64469" customFormat="false" ht="12.75" hidden="false" customHeight="true" outlineLevel="0" collapsed="false"/>
    <row r="64470" customFormat="false" ht="12.75" hidden="false" customHeight="true" outlineLevel="0" collapsed="false"/>
    <row r="64471" customFormat="false" ht="12.75" hidden="false" customHeight="true" outlineLevel="0" collapsed="false"/>
    <row r="64472" customFormat="false" ht="12.75" hidden="false" customHeight="true" outlineLevel="0" collapsed="false"/>
    <row r="64473" customFormat="false" ht="12.75" hidden="false" customHeight="true" outlineLevel="0" collapsed="false"/>
    <row r="64474" customFormat="false" ht="12.75" hidden="false" customHeight="true" outlineLevel="0" collapsed="false"/>
    <row r="64475" customFormat="false" ht="12.75" hidden="false" customHeight="true" outlineLevel="0" collapsed="false"/>
    <row r="64476" customFormat="false" ht="12.75" hidden="false" customHeight="true" outlineLevel="0" collapsed="false"/>
    <row r="64477" customFormat="false" ht="12.75" hidden="false" customHeight="true" outlineLevel="0" collapsed="false"/>
    <row r="64478" customFormat="false" ht="12.75" hidden="false" customHeight="true" outlineLevel="0" collapsed="false"/>
    <row r="64479" customFormat="false" ht="12.75" hidden="false" customHeight="true" outlineLevel="0" collapsed="false"/>
    <row r="64480" customFormat="false" ht="12.75" hidden="false" customHeight="true" outlineLevel="0" collapsed="false"/>
    <row r="64481" customFormat="false" ht="12.75" hidden="false" customHeight="true" outlineLevel="0" collapsed="false"/>
    <row r="64482" customFormat="false" ht="12.75" hidden="false" customHeight="true" outlineLevel="0" collapsed="false"/>
    <row r="64483" customFormat="false" ht="12.75" hidden="false" customHeight="true" outlineLevel="0" collapsed="false"/>
    <row r="64484" customFormat="false" ht="12.75" hidden="false" customHeight="true" outlineLevel="0" collapsed="false"/>
    <row r="64485" customFormat="false" ht="12.75" hidden="false" customHeight="true" outlineLevel="0" collapsed="false"/>
    <row r="64486" customFormat="false" ht="12.75" hidden="false" customHeight="true" outlineLevel="0" collapsed="false"/>
    <row r="64487" customFormat="false" ht="12.75" hidden="false" customHeight="true" outlineLevel="0" collapsed="false"/>
    <row r="64488" customFormat="false" ht="12.75" hidden="false" customHeight="true" outlineLevel="0" collapsed="false"/>
    <row r="64489" customFormat="false" ht="12.75" hidden="false" customHeight="true" outlineLevel="0" collapsed="false"/>
    <row r="64490" customFormat="false" ht="12.75" hidden="false" customHeight="true" outlineLevel="0" collapsed="false"/>
    <row r="64491" customFormat="false" ht="12.75" hidden="false" customHeight="true" outlineLevel="0" collapsed="false"/>
    <row r="64492" customFormat="false" ht="12.75" hidden="false" customHeight="true" outlineLevel="0" collapsed="false"/>
    <row r="64493" customFormat="false" ht="12.75" hidden="false" customHeight="true" outlineLevel="0" collapsed="false"/>
    <row r="64494" customFormat="false" ht="12.75" hidden="false" customHeight="true" outlineLevel="0" collapsed="false"/>
    <row r="64495" customFormat="false" ht="12.75" hidden="false" customHeight="true" outlineLevel="0" collapsed="false"/>
    <row r="64496" customFormat="false" ht="12.75" hidden="false" customHeight="true" outlineLevel="0" collapsed="false"/>
    <row r="64497" customFormat="false" ht="12.75" hidden="false" customHeight="true" outlineLevel="0" collapsed="false"/>
    <row r="64498" customFormat="false" ht="12.75" hidden="false" customHeight="true" outlineLevel="0" collapsed="false"/>
    <row r="64499" customFormat="false" ht="12.75" hidden="false" customHeight="true" outlineLevel="0" collapsed="false"/>
    <row r="64500" customFormat="false" ht="12.75" hidden="false" customHeight="true" outlineLevel="0" collapsed="false"/>
    <row r="64501" customFormat="false" ht="12.75" hidden="false" customHeight="true" outlineLevel="0" collapsed="false"/>
    <row r="64502" customFormat="false" ht="12.75" hidden="false" customHeight="true" outlineLevel="0" collapsed="false"/>
    <row r="64503" customFormat="false" ht="12.75" hidden="false" customHeight="true" outlineLevel="0" collapsed="false"/>
    <row r="64504" customFormat="false" ht="12.75" hidden="false" customHeight="true" outlineLevel="0" collapsed="false"/>
    <row r="64505" customFormat="false" ht="12.75" hidden="false" customHeight="true" outlineLevel="0" collapsed="false"/>
    <row r="64506" customFormat="false" ht="12.75" hidden="false" customHeight="true" outlineLevel="0" collapsed="false"/>
    <row r="64507" customFormat="false" ht="12.75" hidden="false" customHeight="true" outlineLevel="0" collapsed="false"/>
    <row r="64508" customFormat="false" ht="12.75" hidden="false" customHeight="true" outlineLevel="0" collapsed="false"/>
    <row r="64509" customFormat="false" ht="12.75" hidden="false" customHeight="true" outlineLevel="0" collapsed="false"/>
    <row r="64510" customFormat="false" ht="12.75" hidden="false" customHeight="true" outlineLevel="0" collapsed="false"/>
    <row r="64511" customFormat="false" ht="12.75" hidden="false" customHeight="true" outlineLevel="0" collapsed="false"/>
    <row r="64512" customFormat="false" ht="12.75" hidden="false" customHeight="true" outlineLevel="0" collapsed="false"/>
    <row r="64513" customFormat="false" ht="12.75" hidden="false" customHeight="true" outlineLevel="0" collapsed="false"/>
    <row r="64514" customFormat="false" ht="12.75" hidden="false" customHeight="true" outlineLevel="0" collapsed="false"/>
    <row r="64515" customFormat="false" ht="12.75" hidden="false" customHeight="true" outlineLevel="0" collapsed="false"/>
    <row r="64516" customFormat="false" ht="12.75" hidden="false" customHeight="true" outlineLevel="0" collapsed="false"/>
    <row r="64517" customFormat="false" ht="12.75" hidden="false" customHeight="true" outlineLevel="0" collapsed="false"/>
    <row r="64518" customFormat="false" ht="12.75" hidden="false" customHeight="true" outlineLevel="0" collapsed="false"/>
    <row r="64519" customFormat="false" ht="12.75" hidden="false" customHeight="true" outlineLevel="0" collapsed="false"/>
    <row r="64520" customFormat="false" ht="12.75" hidden="false" customHeight="true" outlineLevel="0" collapsed="false"/>
    <row r="64521" customFormat="false" ht="12.75" hidden="false" customHeight="true" outlineLevel="0" collapsed="false"/>
    <row r="64522" customFormat="false" ht="12.75" hidden="false" customHeight="true" outlineLevel="0" collapsed="false"/>
    <row r="64523" customFormat="false" ht="12.75" hidden="false" customHeight="true" outlineLevel="0" collapsed="false"/>
    <row r="64524" customFormat="false" ht="12.75" hidden="false" customHeight="true" outlineLevel="0" collapsed="false"/>
    <row r="64525" customFormat="false" ht="12.75" hidden="false" customHeight="true" outlineLevel="0" collapsed="false"/>
    <row r="64526" customFormat="false" ht="12.75" hidden="false" customHeight="true" outlineLevel="0" collapsed="false"/>
    <row r="64527" customFormat="false" ht="12.75" hidden="false" customHeight="true" outlineLevel="0" collapsed="false"/>
    <row r="64528" customFormat="false" ht="12.75" hidden="false" customHeight="true" outlineLevel="0" collapsed="false"/>
    <row r="64529" customFormat="false" ht="12.75" hidden="false" customHeight="true" outlineLevel="0" collapsed="false"/>
    <row r="64530" customFormat="false" ht="12.75" hidden="false" customHeight="true" outlineLevel="0" collapsed="false"/>
    <row r="64531" customFormat="false" ht="12.75" hidden="false" customHeight="true" outlineLevel="0" collapsed="false"/>
    <row r="64532" customFormat="false" ht="12.75" hidden="false" customHeight="true" outlineLevel="0" collapsed="false"/>
    <row r="64533" customFormat="false" ht="12.75" hidden="false" customHeight="true" outlineLevel="0" collapsed="false"/>
    <row r="64534" customFormat="false" ht="12.75" hidden="false" customHeight="true" outlineLevel="0" collapsed="false"/>
    <row r="64535" customFormat="false" ht="12.75" hidden="false" customHeight="true" outlineLevel="0" collapsed="false"/>
    <row r="64536" customFormat="false" ht="12.75" hidden="false" customHeight="true" outlineLevel="0" collapsed="false"/>
    <row r="64537" customFormat="false" ht="12.75" hidden="false" customHeight="true" outlineLevel="0" collapsed="false"/>
    <row r="64538" customFormat="false" ht="12.75" hidden="false" customHeight="true" outlineLevel="0" collapsed="false"/>
    <row r="64539" customFormat="false" ht="12.75" hidden="false" customHeight="true" outlineLevel="0" collapsed="false"/>
    <row r="64540" customFormat="false" ht="12.75" hidden="false" customHeight="true" outlineLevel="0" collapsed="false"/>
    <row r="64541" customFormat="false" ht="12.75" hidden="false" customHeight="true" outlineLevel="0" collapsed="false"/>
    <row r="64542" customFormat="false" ht="12.75" hidden="false" customHeight="true" outlineLevel="0" collapsed="false"/>
    <row r="64543" customFormat="false" ht="12.75" hidden="false" customHeight="true" outlineLevel="0" collapsed="false"/>
    <row r="64544" customFormat="false" ht="12.75" hidden="false" customHeight="true" outlineLevel="0" collapsed="false"/>
    <row r="64545" customFormat="false" ht="12.75" hidden="false" customHeight="true" outlineLevel="0" collapsed="false"/>
    <row r="64546" customFormat="false" ht="12.75" hidden="false" customHeight="true" outlineLevel="0" collapsed="false"/>
    <row r="64547" customFormat="false" ht="12.75" hidden="false" customHeight="true" outlineLevel="0" collapsed="false"/>
    <row r="64548" customFormat="false" ht="12.75" hidden="false" customHeight="true" outlineLevel="0" collapsed="false"/>
    <row r="64549" customFormat="false" ht="12.75" hidden="false" customHeight="true" outlineLevel="0" collapsed="false"/>
    <row r="64550" customFormat="false" ht="12.75" hidden="false" customHeight="true" outlineLevel="0" collapsed="false"/>
    <row r="64551" customFormat="false" ht="12.75" hidden="false" customHeight="true" outlineLevel="0" collapsed="false"/>
    <row r="64552" customFormat="false" ht="12.75" hidden="false" customHeight="true" outlineLevel="0" collapsed="false"/>
    <row r="64553" customFormat="false" ht="12.75" hidden="false" customHeight="true" outlineLevel="0" collapsed="false"/>
    <row r="64554" customFormat="false" ht="12.75" hidden="false" customHeight="true" outlineLevel="0" collapsed="false"/>
    <row r="64555" customFormat="false" ht="12.75" hidden="false" customHeight="true" outlineLevel="0" collapsed="false"/>
    <row r="64556" customFormat="false" ht="12.75" hidden="false" customHeight="true" outlineLevel="0" collapsed="false"/>
    <row r="64557" customFormat="false" ht="12.75" hidden="false" customHeight="true" outlineLevel="0" collapsed="false"/>
    <row r="64558" customFormat="false" ht="12.75" hidden="false" customHeight="true" outlineLevel="0" collapsed="false"/>
    <row r="64559" customFormat="false" ht="12.75" hidden="false" customHeight="true" outlineLevel="0" collapsed="false"/>
    <row r="64560" customFormat="false" ht="12.75" hidden="false" customHeight="true" outlineLevel="0" collapsed="false"/>
    <row r="64561" customFormat="false" ht="12.75" hidden="false" customHeight="true" outlineLevel="0" collapsed="false"/>
    <row r="64562" customFormat="false" ht="12.75" hidden="false" customHeight="true" outlineLevel="0" collapsed="false"/>
    <row r="64563" customFormat="false" ht="12.75" hidden="false" customHeight="true" outlineLevel="0" collapsed="false"/>
    <row r="64564" customFormat="false" ht="12.75" hidden="false" customHeight="true" outlineLevel="0" collapsed="false"/>
    <row r="64565" customFormat="false" ht="12.75" hidden="false" customHeight="true" outlineLevel="0" collapsed="false"/>
    <row r="64566" customFormat="false" ht="12.75" hidden="false" customHeight="true" outlineLevel="0" collapsed="false"/>
    <row r="64567" customFormat="false" ht="12.75" hidden="false" customHeight="true" outlineLevel="0" collapsed="false"/>
    <row r="64568" customFormat="false" ht="12.75" hidden="false" customHeight="true" outlineLevel="0" collapsed="false"/>
    <row r="64569" customFormat="false" ht="12.75" hidden="false" customHeight="true" outlineLevel="0" collapsed="false"/>
    <row r="64570" customFormat="false" ht="12.75" hidden="false" customHeight="true" outlineLevel="0" collapsed="false"/>
    <row r="64571" customFormat="false" ht="12.75" hidden="false" customHeight="true" outlineLevel="0" collapsed="false"/>
    <row r="64572" customFormat="false" ht="12.75" hidden="false" customHeight="true" outlineLevel="0" collapsed="false"/>
    <row r="64573" customFormat="false" ht="12.75" hidden="false" customHeight="true" outlineLevel="0" collapsed="false"/>
    <row r="64574" customFormat="false" ht="12.75" hidden="false" customHeight="true" outlineLevel="0" collapsed="false"/>
    <row r="64575" customFormat="false" ht="12.75" hidden="false" customHeight="true" outlineLevel="0" collapsed="false"/>
    <row r="64576" customFormat="false" ht="12.75" hidden="false" customHeight="true" outlineLevel="0" collapsed="false"/>
    <row r="64577" customFormat="false" ht="12.75" hidden="false" customHeight="true" outlineLevel="0" collapsed="false"/>
    <row r="64578" customFormat="false" ht="12.75" hidden="false" customHeight="true" outlineLevel="0" collapsed="false"/>
    <row r="64579" customFormat="false" ht="12.75" hidden="false" customHeight="true" outlineLevel="0" collapsed="false"/>
    <row r="64580" customFormat="false" ht="12.75" hidden="false" customHeight="true" outlineLevel="0" collapsed="false"/>
    <row r="64581" customFormat="false" ht="12.75" hidden="false" customHeight="true" outlineLevel="0" collapsed="false"/>
    <row r="64582" customFormat="false" ht="12.75" hidden="false" customHeight="true" outlineLevel="0" collapsed="false"/>
    <row r="64583" customFormat="false" ht="12.75" hidden="false" customHeight="true" outlineLevel="0" collapsed="false"/>
    <row r="64584" customFormat="false" ht="12.75" hidden="false" customHeight="true" outlineLevel="0" collapsed="false"/>
    <row r="64585" customFormat="false" ht="12.75" hidden="false" customHeight="true" outlineLevel="0" collapsed="false"/>
    <row r="64586" customFormat="false" ht="12.75" hidden="false" customHeight="true" outlineLevel="0" collapsed="false"/>
    <row r="64587" customFormat="false" ht="12.75" hidden="false" customHeight="true" outlineLevel="0" collapsed="false"/>
    <row r="64588" customFormat="false" ht="12.75" hidden="false" customHeight="true" outlineLevel="0" collapsed="false"/>
    <row r="64589" customFormat="false" ht="12.75" hidden="false" customHeight="true" outlineLevel="0" collapsed="false"/>
    <row r="64590" customFormat="false" ht="12.75" hidden="false" customHeight="true" outlineLevel="0" collapsed="false"/>
    <row r="64591" customFormat="false" ht="12.75" hidden="false" customHeight="true" outlineLevel="0" collapsed="false"/>
    <row r="64592" customFormat="false" ht="12.75" hidden="false" customHeight="true" outlineLevel="0" collapsed="false"/>
    <row r="64593" customFormat="false" ht="12.75" hidden="false" customHeight="true" outlineLevel="0" collapsed="false"/>
    <row r="64594" customFormat="false" ht="12.75" hidden="false" customHeight="true" outlineLevel="0" collapsed="false"/>
    <row r="64595" customFormat="false" ht="12.75" hidden="false" customHeight="true" outlineLevel="0" collapsed="false"/>
    <row r="64596" customFormat="false" ht="12.75" hidden="false" customHeight="true" outlineLevel="0" collapsed="false"/>
    <row r="64597" customFormat="false" ht="12.75" hidden="false" customHeight="true" outlineLevel="0" collapsed="false"/>
    <row r="64598" customFormat="false" ht="12.75" hidden="false" customHeight="true" outlineLevel="0" collapsed="false"/>
    <row r="64599" customFormat="false" ht="12.75" hidden="false" customHeight="true" outlineLevel="0" collapsed="false"/>
    <row r="64600" customFormat="false" ht="12.75" hidden="false" customHeight="true" outlineLevel="0" collapsed="false"/>
    <row r="64601" customFormat="false" ht="12.75" hidden="false" customHeight="true" outlineLevel="0" collapsed="false"/>
    <row r="64602" customFormat="false" ht="12.75" hidden="false" customHeight="true" outlineLevel="0" collapsed="false"/>
    <row r="64603" customFormat="false" ht="12.75" hidden="false" customHeight="true" outlineLevel="0" collapsed="false"/>
    <row r="64604" customFormat="false" ht="12.75" hidden="false" customHeight="true" outlineLevel="0" collapsed="false"/>
    <row r="64605" customFormat="false" ht="12.75" hidden="false" customHeight="true" outlineLevel="0" collapsed="false"/>
    <row r="64606" customFormat="false" ht="12.75" hidden="false" customHeight="true" outlineLevel="0" collapsed="false"/>
    <row r="64607" customFormat="false" ht="12.75" hidden="false" customHeight="true" outlineLevel="0" collapsed="false"/>
    <row r="64608" customFormat="false" ht="12.75" hidden="false" customHeight="true" outlineLevel="0" collapsed="false"/>
    <row r="64609" customFormat="false" ht="12.75" hidden="false" customHeight="true" outlineLevel="0" collapsed="false"/>
    <row r="64610" customFormat="false" ht="12.75" hidden="false" customHeight="true" outlineLevel="0" collapsed="false"/>
    <row r="64611" customFormat="false" ht="12.75" hidden="false" customHeight="true" outlineLevel="0" collapsed="false"/>
    <row r="64612" customFormat="false" ht="12.75" hidden="false" customHeight="true" outlineLevel="0" collapsed="false"/>
    <row r="64613" customFormat="false" ht="12.75" hidden="false" customHeight="true" outlineLevel="0" collapsed="false"/>
    <row r="64614" customFormat="false" ht="12.75" hidden="false" customHeight="true" outlineLevel="0" collapsed="false"/>
    <row r="64615" customFormat="false" ht="12.75" hidden="false" customHeight="true" outlineLevel="0" collapsed="false"/>
    <row r="64616" customFormat="false" ht="12.75" hidden="false" customHeight="true" outlineLevel="0" collapsed="false"/>
    <row r="64617" customFormat="false" ht="12.75" hidden="false" customHeight="true" outlineLevel="0" collapsed="false"/>
    <row r="64618" customFormat="false" ht="12.75" hidden="false" customHeight="true" outlineLevel="0" collapsed="false"/>
    <row r="64619" customFormat="false" ht="12.75" hidden="false" customHeight="true" outlineLevel="0" collapsed="false"/>
    <row r="64620" customFormat="false" ht="12.75" hidden="false" customHeight="true" outlineLevel="0" collapsed="false"/>
    <row r="64621" customFormat="false" ht="12.75" hidden="false" customHeight="true" outlineLevel="0" collapsed="false"/>
    <row r="64622" customFormat="false" ht="12.75" hidden="false" customHeight="true" outlineLevel="0" collapsed="false"/>
    <row r="64623" customFormat="false" ht="12.75" hidden="false" customHeight="true" outlineLevel="0" collapsed="false"/>
    <row r="64624" customFormat="false" ht="12.75" hidden="false" customHeight="true" outlineLevel="0" collapsed="false"/>
    <row r="64625" customFormat="false" ht="12.75" hidden="false" customHeight="true" outlineLevel="0" collapsed="false"/>
    <row r="64626" customFormat="false" ht="12.75" hidden="false" customHeight="true" outlineLevel="0" collapsed="false"/>
    <row r="64627" customFormat="false" ht="12.75" hidden="false" customHeight="true" outlineLevel="0" collapsed="false"/>
    <row r="64628" customFormat="false" ht="12.75" hidden="false" customHeight="true" outlineLevel="0" collapsed="false"/>
    <row r="64629" customFormat="false" ht="12.75" hidden="false" customHeight="true" outlineLevel="0" collapsed="false"/>
    <row r="64630" customFormat="false" ht="12.75" hidden="false" customHeight="true" outlineLevel="0" collapsed="false"/>
    <row r="64631" customFormat="false" ht="12.75" hidden="false" customHeight="true" outlineLevel="0" collapsed="false"/>
    <row r="64632" customFormat="false" ht="12.75" hidden="false" customHeight="true" outlineLevel="0" collapsed="false"/>
    <row r="64633" customFormat="false" ht="12.75" hidden="false" customHeight="true" outlineLevel="0" collapsed="false"/>
    <row r="64634" customFormat="false" ht="12.75" hidden="false" customHeight="true" outlineLevel="0" collapsed="false"/>
    <row r="64635" customFormat="false" ht="12.75" hidden="false" customHeight="true" outlineLevel="0" collapsed="false"/>
    <row r="64636" customFormat="false" ht="12.75" hidden="false" customHeight="true" outlineLevel="0" collapsed="false"/>
    <row r="64637" customFormat="false" ht="12.75" hidden="false" customHeight="true" outlineLevel="0" collapsed="false"/>
    <row r="64638" customFormat="false" ht="12.75" hidden="false" customHeight="true" outlineLevel="0" collapsed="false"/>
    <row r="64639" customFormat="false" ht="12.75" hidden="false" customHeight="true" outlineLevel="0" collapsed="false"/>
    <row r="64640" customFormat="false" ht="12.75" hidden="false" customHeight="true" outlineLevel="0" collapsed="false"/>
    <row r="64641" customFormat="false" ht="12.75" hidden="false" customHeight="true" outlineLevel="0" collapsed="false"/>
    <row r="64642" customFormat="false" ht="12.75" hidden="false" customHeight="true" outlineLevel="0" collapsed="false"/>
    <row r="64643" customFormat="false" ht="12.75" hidden="false" customHeight="true" outlineLevel="0" collapsed="false"/>
    <row r="64644" customFormat="false" ht="12.75" hidden="false" customHeight="true" outlineLevel="0" collapsed="false"/>
    <row r="64645" customFormat="false" ht="12.75" hidden="false" customHeight="true" outlineLevel="0" collapsed="false"/>
    <row r="64646" customFormat="false" ht="12.75" hidden="false" customHeight="true" outlineLevel="0" collapsed="false"/>
    <row r="64647" customFormat="false" ht="12.75" hidden="false" customHeight="true" outlineLevel="0" collapsed="false"/>
    <row r="64648" customFormat="false" ht="12.75" hidden="false" customHeight="true" outlineLevel="0" collapsed="false"/>
    <row r="64649" customFormat="false" ht="12.75" hidden="false" customHeight="true" outlineLevel="0" collapsed="false"/>
    <row r="64650" customFormat="false" ht="12.75" hidden="false" customHeight="true" outlineLevel="0" collapsed="false"/>
    <row r="64651" customFormat="false" ht="12.75" hidden="false" customHeight="true" outlineLevel="0" collapsed="false"/>
    <row r="64652" customFormat="false" ht="12.75" hidden="false" customHeight="true" outlineLevel="0" collapsed="false"/>
    <row r="64653" customFormat="false" ht="12.75" hidden="false" customHeight="true" outlineLevel="0" collapsed="false"/>
    <row r="64654" customFormat="false" ht="12.75" hidden="false" customHeight="true" outlineLevel="0" collapsed="false"/>
    <row r="64655" customFormat="false" ht="12.75" hidden="false" customHeight="true" outlineLevel="0" collapsed="false"/>
    <row r="64656" customFormat="false" ht="12.75" hidden="false" customHeight="true" outlineLevel="0" collapsed="false"/>
    <row r="64657" customFormat="false" ht="12.75" hidden="false" customHeight="true" outlineLevel="0" collapsed="false"/>
    <row r="64658" customFormat="false" ht="12.75" hidden="false" customHeight="true" outlineLevel="0" collapsed="false"/>
    <row r="64659" customFormat="false" ht="12.75" hidden="false" customHeight="true" outlineLevel="0" collapsed="false"/>
    <row r="64660" customFormat="false" ht="12.75" hidden="false" customHeight="true" outlineLevel="0" collapsed="false"/>
    <row r="64661" customFormat="false" ht="12.75" hidden="false" customHeight="true" outlineLevel="0" collapsed="false"/>
    <row r="64662" customFormat="false" ht="12.75" hidden="false" customHeight="true" outlineLevel="0" collapsed="false"/>
    <row r="64663" customFormat="false" ht="12.75" hidden="false" customHeight="true" outlineLevel="0" collapsed="false"/>
    <row r="64664" customFormat="false" ht="12.75" hidden="false" customHeight="true" outlineLevel="0" collapsed="false"/>
    <row r="64665" customFormat="false" ht="12.75" hidden="false" customHeight="true" outlineLevel="0" collapsed="false"/>
    <row r="64666" customFormat="false" ht="12.75" hidden="false" customHeight="true" outlineLevel="0" collapsed="false"/>
    <row r="64667" customFormat="false" ht="12.75" hidden="false" customHeight="true" outlineLevel="0" collapsed="false"/>
    <row r="64668" customFormat="false" ht="12.75" hidden="false" customHeight="true" outlineLevel="0" collapsed="false"/>
    <row r="64669" customFormat="false" ht="12.75" hidden="false" customHeight="true" outlineLevel="0" collapsed="false"/>
    <row r="64670" customFormat="false" ht="12.75" hidden="false" customHeight="true" outlineLevel="0" collapsed="false"/>
    <row r="64671" customFormat="false" ht="12.75" hidden="false" customHeight="true" outlineLevel="0" collapsed="false"/>
    <row r="64672" customFormat="false" ht="12.75" hidden="false" customHeight="true" outlineLevel="0" collapsed="false"/>
    <row r="64673" customFormat="false" ht="12.75" hidden="false" customHeight="true" outlineLevel="0" collapsed="false"/>
    <row r="64674" customFormat="false" ht="12.75" hidden="false" customHeight="true" outlineLevel="0" collapsed="false"/>
    <row r="64675" customFormat="false" ht="12.75" hidden="false" customHeight="true" outlineLevel="0" collapsed="false"/>
    <row r="64676" customFormat="false" ht="12.75" hidden="false" customHeight="true" outlineLevel="0" collapsed="false"/>
    <row r="64677" customFormat="false" ht="12.75" hidden="false" customHeight="true" outlineLevel="0" collapsed="false"/>
    <row r="64678" customFormat="false" ht="12.75" hidden="false" customHeight="true" outlineLevel="0" collapsed="false"/>
    <row r="64679" customFormat="false" ht="12.75" hidden="false" customHeight="true" outlineLevel="0" collapsed="false"/>
    <row r="64680" customFormat="false" ht="12.75" hidden="false" customHeight="true" outlineLevel="0" collapsed="false"/>
    <row r="64681" customFormat="false" ht="12.75" hidden="false" customHeight="true" outlineLevel="0" collapsed="false"/>
    <row r="64682" customFormat="false" ht="12.75" hidden="false" customHeight="true" outlineLevel="0" collapsed="false"/>
    <row r="64683" customFormat="false" ht="12.75" hidden="false" customHeight="true" outlineLevel="0" collapsed="false"/>
    <row r="64684" customFormat="false" ht="12.75" hidden="false" customHeight="true" outlineLevel="0" collapsed="false"/>
    <row r="64685" customFormat="false" ht="12.75" hidden="false" customHeight="true" outlineLevel="0" collapsed="false"/>
    <row r="64686" customFormat="false" ht="12.75" hidden="false" customHeight="true" outlineLevel="0" collapsed="false"/>
    <row r="64687" customFormat="false" ht="12.75" hidden="false" customHeight="true" outlineLevel="0" collapsed="false"/>
    <row r="64688" customFormat="false" ht="12.75" hidden="false" customHeight="true" outlineLevel="0" collapsed="false"/>
    <row r="64689" customFormat="false" ht="12.75" hidden="false" customHeight="true" outlineLevel="0" collapsed="false"/>
    <row r="64690" customFormat="false" ht="12.75" hidden="false" customHeight="true" outlineLevel="0" collapsed="false"/>
    <row r="64691" customFormat="false" ht="12.75" hidden="false" customHeight="true" outlineLevel="0" collapsed="false"/>
    <row r="64692" customFormat="false" ht="12.75" hidden="false" customHeight="true" outlineLevel="0" collapsed="false"/>
    <row r="64693" customFormat="false" ht="12.75" hidden="false" customHeight="true" outlineLevel="0" collapsed="false"/>
    <row r="64694" customFormat="false" ht="12.75" hidden="false" customHeight="true" outlineLevel="0" collapsed="false"/>
    <row r="64695" customFormat="false" ht="12.75" hidden="false" customHeight="true" outlineLevel="0" collapsed="false"/>
    <row r="64696" customFormat="false" ht="12.75" hidden="false" customHeight="true" outlineLevel="0" collapsed="false"/>
    <row r="64697" customFormat="false" ht="12.75" hidden="false" customHeight="true" outlineLevel="0" collapsed="false"/>
    <row r="64698" customFormat="false" ht="12.75" hidden="false" customHeight="true" outlineLevel="0" collapsed="false"/>
    <row r="64699" customFormat="false" ht="12.75" hidden="false" customHeight="true" outlineLevel="0" collapsed="false"/>
    <row r="64700" customFormat="false" ht="12.75" hidden="false" customHeight="true" outlineLevel="0" collapsed="false"/>
    <row r="64701" customFormat="false" ht="12.75" hidden="false" customHeight="true" outlineLevel="0" collapsed="false"/>
    <row r="64702" customFormat="false" ht="12.75" hidden="false" customHeight="true" outlineLevel="0" collapsed="false"/>
    <row r="64703" customFormat="false" ht="12.75" hidden="false" customHeight="true" outlineLevel="0" collapsed="false"/>
    <row r="64704" customFormat="false" ht="12.75" hidden="false" customHeight="true" outlineLevel="0" collapsed="false"/>
    <row r="64705" customFormat="false" ht="12.75" hidden="false" customHeight="true" outlineLevel="0" collapsed="false"/>
    <row r="64706" customFormat="false" ht="12.75" hidden="false" customHeight="true" outlineLevel="0" collapsed="false"/>
    <row r="64707" customFormat="false" ht="12.75" hidden="false" customHeight="true" outlineLevel="0" collapsed="false"/>
    <row r="64708" customFormat="false" ht="12.75" hidden="false" customHeight="true" outlineLevel="0" collapsed="false"/>
    <row r="64709" customFormat="false" ht="12.75" hidden="false" customHeight="true" outlineLevel="0" collapsed="false"/>
    <row r="64710" customFormat="false" ht="12.75" hidden="false" customHeight="true" outlineLevel="0" collapsed="false"/>
    <row r="64711" customFormat="false" ht="12.75" hidden="false" customHeight="true" outlineLevel="0" collapsed="false"/>
    <row r="64712" customFormat="false" ht="12.75" hidden="false" customHeight="true" outlineLevel="0" collapsed="false"/>
    <row r="64713" customFormat="false" ht="12.75" hidden="false" customHeight="true" outlineLevel="0" collapsed="false"/>
    <row r="64714" customFormat="false" ht="12.75" hidden="false" customHeight="true" outlineLevel="0" collapsed="false"/>
    <row r="64715" customFormat="false" ht="12.75" hidden="false" customHeight="true" outlineLevel="0" collapsed="false"/>
    <row r="64716" customFormat="false" ht="12.75" hidden="false" customHeight="true" outlineLevel="0" collapsed="false"/>
    <row r="64717" customFormat="false" ht="12.75" hidden="false" customHeight="true" outlineLevel="0" collapsed="false"/>
    <row r="64718" customFormat="false" ht="12.75" hidden="false" customHeight="true" outlineLevel="0" collapsed="false"/>
    <row r="64719" customFormat="false" ht="12.75" hidden="false" customHeight="true" outlineLevel="0" collapsed="false"/>
    <row r="64720" customFormat="false" ht="12.75" hidden="false" customHeight="true" outlineLevel="0" collapsed="false"/>
    <row r="64721" customFormat="false" ht="12.75" hidden="false" customHeight="true" outlineLevel="0" collapsed="false"/>
    <row r="64722" customFormat="false" ht="12.75" hidden="false" customHeight="true" outlineLevel="0" collapsed="false"/>
    <row r="64723" customFormat="false" ht="12.75" hidden="false" customHeight="true" outlineLevel="0" collapsed="false"/>
    <row r="64724" customFormat="false" ht="12.75" hidden="false" customHeight="true" outlineLevel="0" collapsed="false"/>
    <row r="64725" customFormat="false" ht="12.75" hidden="false" customHeight="true" outlineLevel="0" collapsed="false"/>
    <row r="64726" customFormat="false" ht="12.75" hidden="false" customHeight="true" outlineLevel="0" collapsed="false"/>
    <row r="64727" customFormat="false" ht="12.75" hidden="false" customHeight="true" outlineLevel="0" collapsed="false"/>
    <row r="64728" customFormat="false" ht="12.75" hidden="false" customHeight="true" outlineLevel="0" collapsed="false"/>
    <row r="64729" customFormat="false" ht="12.75" hidden="false" customHeight="true" outlineLevel="0" collapsed="false"/>
    <row r="64730" customFormat="false" ht="12.75" hidden="false" customHeight="true" outlineLevel="0" collapsed="false"/>
    <row r="64731" customFormat="false" ht="12.75" hidden="false" customHeight="true" outlineLevel="0" collapsed="false"/>
    <row r="64732" customFormat="false" ht="12.75" hidden="false" customHeight="true" outlineLevel="0" collapsed="false"/>
    <row r="64733" customFormat="false" ht="12.75" hidden="false" customHeight="true" outlineLevel="0" collapsed="false"/>
    <row r="64734" customFormat="false" ht="12.75" hidden="false" customHeight="true" outlineLevel="0" collapsed="false"/>
    <row r="64735" customFormat="false" ht="12.75" hidden="false" customHeight="true" outlineLevel="0" collapsed="false"/>
    <row r="64736" customFormat="false" ht="12.75" hidden="false" customHeight="true" outlineLevel="0" collapsed="false"/>
    <row r="64737" customFormat="false" ht="12.75" hidden="false" customHeight="true" outlineLevel="0" collapsed="false"/>
    <row r="64738" customFormat="false" ht="12.75" hidden="false" customHeight="true" outlineLevel="0" collapsed="false"/>
    <row r="64739" customFormat="false" ht="12.75" hidden="false" customHeight="true" outlineLevel="0" collapsed="false"/>
    <row r="64740" customFormat="false" ht="12.75" hidden="false" customHeight="true" outlineLevel="0" collapsed="false"/>
    <row r="64741" customFormat="false" ht="12.75" hidden="false" customHeight="true" outlineLevel="0" collapsed="false"/>
    <row r="64742" customFormat="false" ht="12.75" hidden="false" customHeight="true" outlineLevel="0" collapsed="false"/>
    <row r="64743" customFormat="false" ht="12.75" hidden="false" customHeight="true" outlineLevel="0" collapsed="false"/>
    <row r="64744" customFormat="false" ht="12.75" hidden="false" customHeight="true" outlineLevel="0" collapsed="false"/>
    <row r="64745" customFormat="false" ht="12.75" hidden="false" customHeight="true" outlineLevel="0" collapsed="false"/>
    <row r="64746" customFormat="false" ht="12.75" hidden="false" customHeight="true" outlineLevel="0" collapsed="false"/>
    <row r="64747" customFormat="false" ht="12.75" hidden="false" customHeight="true" outlineLevel="0" collapsed="false"/>
    <row r="64748" customFormat="false" ht="12.75" hidden="false" customHeight="true" outlineLevel="0" collapsed="false"/>
    <row r="64749" customFormat="false" ht="12.75" hidden="false" customHeight="true" outlineLevel="0" collapsed="false"/>
    <row r="64750" customFormat="false" ht="12.75" hidden="false" customHeight="true" outlineLevel="0" collapsed="false"/>
    <row r="64751" customFormat="false" ht="12.75" hidden="false" customHeight="true" outlineLevel="0" collapsed="false"/>
    <row r="64752" customFormat="false" ht="12.75" hidden="false" customHeight="true" outlineLevel="0" collapsed="false"/>
    <row r="64753" customFormat="false" ht="12.75" hidden="false" customHeight="true" outlineLevel="0" collapsed="false"/>
    <row r="64754" customFormat="false" ht="12.75" hidden="false" customHeight="true" outlineLevel="0" collapsed="false"/>
    <row r="64755" customFormat="false" ht="12.75" hidden="false" customHeight="true" outlineLevel="0" collapsed="false"/>
    <row r="64756" customFormat="false" ht="12.75" hidden="false" customHeight="true" outlineLevel="0" collapsed="false"/>
    <row r="64757" customFormat="false" ht="12.75" hidden="false" customHeight="true" outlineLevel="0" collapsed="false"/>
    <row r="64758" customFormat="false" ht="12.75" hidden="false" customHeight="true" outlineLevel="0" collapsed="false"/>
    <row r="64759" customFormat="false" ht="12.75" hidden="false" customHeight="true" outlineLevel="0" collapsed="false"/>
    <row r="64760" customFormat="false" ht="12.75" hidden="false" customHeight="true" outlineLevel="0" collapsed="false"/>
    <row r="64761" customFormat="false" ht="12.75" hidden="false" customHeight="true" outlineLevel="0" collapsed="false"/>
    <row r="64762" customFormat="false" ht="12.75" hidden="false" customHeight="true" outlineLevel="0" collapsed="false"/>
    <row r="64763" customFormat="false" ht="12.75" hidden="false" customHeight="true" outlineLevel="0" collapsed="false"/>
    <row r="64764" customFormat="false" ht="12.75" hidden="false" customHeight="true" outlineLevel="0" collapsed="false"/>
    <row r="64765" customFormat="false" ht="12.75" hidden="false" customHeight="true" outlineLevel="0" collapsed="false"/>
    <row r="64766" customFormat="false" ht="12.75" hidden="false" customHeight="true" outlineLevel="0" collapsed="false"/>
    <row r="64767" customFormat="false" ht="12.75" hidden="false" customHeight="true" outlineLevel="0" collapsed="false"/>
    <row r="64768" customFormat="false" ht="12.75" hidden="false" customHeight="true" outlineLevel="0" collapsed="false"/>
    <row r="64769" customFormat="false" ht="12.75" hidden="false" customHeight="true" outlineLevel="0" collapsed="false"/>
    <row r="64770" customFormat="false" ht="12.75" hidden="false" customHeight="true" outlineLevel="0" collapsed="false"/>
    <row r="64771" customFormat="false" ht="12.75" hidden="false" customHeight="true" outlineLevel="0" collapsed="false"/>
    <row r="64772" customFormat="false" ht="12.75" hidden="false" customHeight="true" outlineLevel="0" collapsed="false"/>
    <row r="64773" customFormat="false" ht="12.75" hidden="false" customHeight="true" outlineLevel="0" collapsed="false"/>
    <row r="64774" customFormat="false" ht="12.75" hidden="false" customHeight="true" outlineLevel="0" collapsed="false"/>
    <row r="64775" customFormat="false" ht="12.75" hidden="false" customHeight="true" outlineLevel="0" collapsed="false"/>
    <row r="64776" customFormat="false" ht="12.75" hidden="false" customHeight="true" outlineLevel="0" collapsed="false"/>
    <row r="64777" customFormat="false" ht="12.75" hidden="false" customHeight="true" outlineLevel="0" collapsed="false"/>
    <row r="64778" customFormat="false" ht="12.75" hidden="false" customHeight="true" outlineLevel="0" collapsed="false"/>
    <row r="64779" customFormat="false" ht="12.75" hidden="false" customHeight="true" outlineLevel="0" collapsed="false"/>
    <row r="64780" customFormat="false" ht="12.75" hidden="false" customHeight="true" outlineLevel="0" collapsed="false"/>
    <row r="64781" customFormat="false" ht="12.75" hidden="false" customHeight="true" outlineLevel="0" collapsed="false"/>
    <row r="64782" customFormat="false" ht="12.75" hidden="false" customHeight="true" outlineLevel="0" collapsed="false"/>
    <row r="64783" customFormat="false" ht="12.75" hidden="false" customHeight="true" outlineLevel="0" collapsed="false"/>
    <row r="64784" customFormat="false" ht="12.75" hidden="false" customHeight="true" outlineLevel="0" collapsed="false"/>
    <row r="64785" customFormat="false" ht="12.75" hidden="false" customHeight="true" outlineLevel="0" collapsed="false"/>
    <row r="64786" customFormat="false" ht="12.75" hidden="false" customHeight="true" outlineLevel="0" collapsed="false"/>
    <row r="64787" customFormat="false" ht="12.75" hidden="false" customHeight="true" outlineLevel="0" collapsed="false"/>
    <row r="64788" customFormat="false" ht="12.75" hidden="false" customHeight="true" outlineLevel="0" collapsed="false"/>
    <row r="64789" customFormat="false" ht="12.75" hidden="false" customHeight="true" outlineLevel="0" collapsed="false"/>
    <row r="64790" customFormat="false" ht="12.75" hidden="false" customHeight="true" outlineLevel="0" collapsed="false"/>
    <row r="64791" customFormat="false" ht="12.75" hidden="false" customHeight="true" outlineLevel="0" collapsed="false"/>
    <row r="64792" customFormat="false" ht="12.75" hidden="false" customHeight="true" outlineLevel="0" collapsed="false"/>
    <row r="64793" customFormat="false" ht="12.75" hidden="false" customHeight="true" outlineLevel="0" collapsed="false"/>
    <row r="64794" customFormat="false" ht="12.75" hidden="false" customHeight="true" outlineLevel="0" collapsed="false"/>
    <row r="64795" customFormat="false" ht="12.75" hidden="false" customHeight="true" outlineLevel="0" collapsed="false"/>
    <row r="64796" customFormat="false" ht="12.75" hidden="false" customHeight="true" outlineLevel="0" collapsed="false"/>
    <row r="64797" customFormat="false" ht="12.75" hidden="false" customHeight="true" outlineLevel="0" collapsed="false"/>
    <row r="64798" customFormat="false" ht="12.75" hidden="false" customHeight="true" outlineLevel="0" collapsed="false"/>
    <row r="64799" customFormat="false" ht="12.75" hidden="false" customHeight="true" outlineLevel="0" collapsed="false"/>
    <row r="64800" customFormat="false" ht="12.75" hidden="false" customHeight="true" outlineLevel="0" collapsed="false"/>
    <row r="64801" customFormat="false" ht="12.75" hidden="false" customHeight="true" outlineLevel="0" collapsed="false"/>
    <row r="64802" customFormat="false" ht="12.75" hidden="false" customHeight="true" outlineLevel="0" collapsed="false"/>
    <row r="64803" customFormat="false" ht="12.75" hidden="false" customHeight="true" outlineLevel="0" collapsed="false"/>
    <row r="64804" customFormat="false" ht="12.75" hidden="false" customHeight="true" outlineLevel="0" collapsed="false"/>
    <row r="64805" customFormat="false" ht="12.75" hidden="false" customHeight="true" outlineLevel="0" collapsed="false"/>
    <row r="64806" customFormat="false" ht="12.75" hidden="false" customHeight="true" outlineLevel="0" collapsed="false"/>
    <row r="64807" customFormat="false" ht="12.75" hidden="false" customHeight="true" outlineLevel="0" collapsed="false"/>
    <row r="64808" customFormat="false" ht="12.75" hidden="false" customHeight="true" outlineLevel="0" collapsed="false"/>
    <row r="64809" customFormat="false" ht="12.75" hidden="false" customHeight="true" outlineLevel="0" collapsed="false"/>
    <row r="64810" customFormat="false" ht="12.75" hidden="false" customHeight="true" outlineLevel="0" collapsed="false"/>
    <row r="64811" customFormat="false" ht="12.75" hidden="false" customHeight="true" outlineLevel="0" collapsed="false"/>
    <row r="64812" customFormat="false" ht="12.75" hidden="false" customHeight="true" outlineLevel="0" collapsed="false"/>
    <row r="64813" customFormat="false" ht="12.75" hidden="false" customHeight="true" outlineLevel="0" collapsed="false"/>
    <row r="64814" customFormat="false" ht="12.75" hidden="false" customHeight="true" outlineLevel="0" collapsed="false"/>
    <row r="64815" customFormat="false" ht="12.75" hidden="false" customHeight="true" outlineLevel="0" collapsed="false"/>
    <row r="64816" customFormat="false" ht="12.75" hidden="false" customHeight="true" outlineLevel="0" collapsed="false"/>
    <row r="64817" customFormat="false" ht="12.75" hidden="false" customHeight="true" outlineLevel="0" collapsed="false"/>
    <row r="64818" customFormat="false" ht="12.75" hidden="false" customHeight="true" outlineLevel="0" collapsed="false"/>
    <row r="64819" customFormat="false" ht="12.75" hidden="false" customHeight="true" outlineLevel="0" collapsed="false"/>
    <row r="64820" customFormat="false" ht="12.75" hidden="false" customHeight="true" outlineLevel="0" collapsed="false"/>
    <row r="64821" customFormat="false" ht="12.75" hidden="false" customHeight="true" outlineLevel="0" collapsed="false"/>
    <row r="64822" customFormat="false" ht="12.75" hidden="false" customHeight="true" outlineLevel="0" collapsed="false"/>
    <row r="64823" customFormat="false" ht="12.75" hidden="false" customHeight="true" outlineLevel="0" collapsed="false"/>
    <row r="64824" customFormat="false" ht="12.75" hidden="false" customHeight="true" outlineLevel="0" collapsed="false"/>
    <row r="64825" customFormat="false" ht="12.75" hidden="false" customHeight="true" outlineLevel="0" collapsed="false"/>
    <row r="64826" customFormat="false" ht="12.75" hidden="false" customHeight="true" outlineLevel="0" collapsed="false"/>
    <row r="64827" customFormat="false" ht="12.75" hidden="false" customHeight="true" outlineLevel="0" collapsed="false"/>
    <row r="64828" customFormat="false" ht="12.75" hidden="false" customHeight="true" outlineLevel="0" collapsed="false"/>
    <row r="64829" customFormat="false" ht="12.75" hidden="false" customHeight="true" outlineLevel="0" collapsed="false"/>
    <row r="64830" customFormat="false" ht="12.75" hidden="false" customHeight="true" outlineLevel="0" collapsed="false"/>
    <row r="64831" customFormat="false" ht="12.75" hidden="false" customHeight="true" outlineLevel="0" collapsed="false"/>
    <row r="64832" customFormat="false" ht="12.75" hidden="false" customHeight="true" outlineLevel="0" collapsed="false"/>
    <row r="64833" customFormat="false" ht="12.75" hidden="false" customHeight="true" outlineLevel="0" collapsed="false"/>
    <row r="64834" customFormat="false" ht="12.75" hidden="false" customHeight="true" outlineLevel="0" collapsed="false"/>
    <row r="64835" customFormat="false" ht="12.75" hidden="false" customHeight="true" outlineLevel="0" collapsed="false"/>
    <row r="64836" customFormat="false" ht="12.75" hidden="false" customHeight="true" outlineLevel="0" collapsed="false"/>
    <row r="64837" customFormat="false" ht="12.75" hidden="false" customHeight="true" outlineLevel="0" collapsed="false"/>
    <row r="64838" customFormat="false" ht="12.75" hidden="false" customHeight="true" outlineLevel="0" collapsed="false"/>
    <row r="64839" customFormat="false" ht="12.75" hidden="false" customHeight="true" outlineLevel="0" collapsed="false"/>
    <row r="64840" customFormat="false" ht="12.75" hidden="false" customHeight="true" outlineLevel="0" collapsed="false"/>
    <row r="64841" customFormat="false" ht="12.75" hidden="false" customHeight="true" outlineLevel="0" collapsed="false"/>
    <row r="64842" customFormat="false" ht="12.75" hidden="false" customHeight="true" outlineLevel="0" collapsed="false"/>
    <row r="64843" customFormat="false" ht="12.75" hidden="false" customHeight="true" outlineLevel="0" collapsed="false"/>
    <row r="64844" customFormat="false" ht="12.75" hidden="false" customHeight="true" outlineLevel="0" collapsed="false"/>
    <row r="64845" customFormat="false" ht="12.75" hidden="false" customHeight="true" outlineLevel="0" collapsed="false"/>
    <row r="64846" customFormat="false" ht="12.75" hidden="false" customHeight="true" outlineLevel="0" collapsed="false"/>
    <row r="64847" customFormat="false" ht="12.75" hidden="false" customHeight="true" outlineLevel="0" collapsed="false"/>
    <row r="64848" customFormat="false" ht="12.75" hidden="false" customHeight="true" outlineLevel="0" collapsed="false"/>
    <row r="64849" customFormat="false" ht="12.75" hidden="false" customHeight="true" outlineLevel="0" collapsed="false"/>
    <row r="64850" customFormat="false" ht="12.75" hidden="false" customHeight="true" outlineLevel="0" collapsed="false"/>
    <row r="64851" customFormat="false" ht="12.75" hidden="false" customHeight="true" outlineLevel="0" collapsed="false"/>
    <row r="64852" customFormat="false" ht="12.75" hidden="false" customHeight="true" outlineLevel="0" collapsed="false"/>
    <row r="64853" customFormat="false" ht="12.75" hidden="false" customHeight="true" outlineLevel="0" collapsed="false"/>
    <row r="64854" customFormat="false" ht="12.75" hidden="false" customHeight="true" outlineLevel="0" collapsed="false"/>
    <row r="64855" customFormat="false" ht="12.75" hidden="false" customHeight="true" outlineLevel="0" collapsed="false"/>
    <row r="64856" customFormat="false" ht="12.75" hidden="false" customHeight="true" outlineLevel="0" collapsed="false"/>
    <row r="64857" customFormat="false" ht="12.75" hidden="false" customHeight="true" outlineLevel="0" collapsed="false"/>
    <row r="64858" customFormat="false" ht="12.75" hidden="false" customHeight="true" outlineLevel="0" collapsed="false"/>
    <row r="64859" customFormat="false" ht="12.75" hidden="false" customHeight="true" outlineLevel="0" collapsed="false"/>
    <row r="64860" customFormat="false" ht="12.75" hidden="false" customHeight="true" outlineLevel="0" collapsed="false"/>
    <row r="64861" customFormat="false" ht="12.75" hidden="false" customHeight="true" outlineLevel="0" collapsed="false"/>
    <row r="64862" customFormat="false" ht="12.75" hidden="false" customHeight="true" outlineLevel="0" collapsed="false"/>
    <row r="64863" customFormat="false" ht="12.75" hidden="false" customHeight="true" outlineLevel="0" collapsed="false"/>
    <row r="64864" customFormat="false" ht="12.75" hidden="false" customHeight="true" outlineLevel="0" collapsed="false"/>
    <row r="64865" customFormat="false" ht="12.75" hidden="false" customHeight="true" outlineLevel="0" collapsed="false"/>
    <row r="64866" customFormat="false" ht="12.75" hidden="false" customHeight="true" outlineLevel="0" collapsed="false"/>
    <row r="64867" customFormat="false" ht="12.75" hidden="false" customHeight="true" outlineLevel="0" collapsed="false"/>
    <row r="64868" customFormat="false" ht="12.75" hidden="false" customHeight="true" outlineLevel="0" collapsed="false"/>
    <row r="64869" customFormat="false" ht="12.75" hidden="false" customHeight="true" outlineLevel="0" collapsed="false"/>
    <row r="64870" customFormat="false" ht="12.75" hidden="false" customHeight="true" outlineLevel="0" collapsed="false"/>
    <row r="64871" customFormat="false" ht="12.75" hidden="false" customHeight="true" outlineLevel="0" collapsed="false"/>
    <row r="64872" customFormat="false" ht="12.75" hidden="false" customHeight="true" outlineLevel="0" collapsed="false"/>
    <row r="64873" customFormat="false" ht="12.75" hidden="false" customHeight="true" outlineLevel="0" collapsed="false"/>
    <row r="64874" customFormat="false" ht="12.75" hidden="false" customHeight="true" outlineLevel="0" collapsed="false"/>
    <row r="64875" customFormat="false" ht="12.75" hidden="false" customHeight="true" outlineLevel="0" collapsed="false"/>
    <row r="64876" customFormat="false" ht="12.75" hidden="false" customHeight="true" outlineLevel="0" collapsed="false"/>
    <row r="64877" customFormat="false" ht="12.75" hidden="false" customHeight="true" outlineLevel="0" collapsed="false"/>
    <row r="64878" customFormat="false" ht="12.75" hidden="false" customHeight="true" outlineLevel="0" collapsed="false"/>
    <row r="64879" customFormat="false" ht="12.75" hidden="false" customHeight="true" outlineLevel="0" collapsed="false"/>
    <row r="64880" customFormat="false" ht="12.75" hidden="false" customHeight="true" outlineLevel="0" collapsed="false"/>
    <row r="64881" customFormat="false" ht="12.75" hidden="false" customHeight="true" outlineLevel="0" collapsed="false"/>
    <row r="64882" customFormat="false" ht="12.75" hidden="false" customHeight="true" outlineLevel="0" collapsed="false"/>
    <row r="64883" customFormat="false" ht="12.75" hidden="false" customHeight="true" outlineLevel="0" collapsed="false"/>
    <row r="64884" customFormat="false" ht="12.75" hidden="false" customHeight="true" outlineLevel="0" collapsed="false"/>
    <row r="64885" customFormat="false" ht="12.75" hidden="false" customHeight="true" outlineLevel="0" collapsed="false"/>
    <row r="64886" customFormat="false" ht="12.75" hidden="false" customHeight="true" outlineLevel="0" collapsed="false"/>
    <row r="64887" customFormat="false" ht="12.75" hidden="false" customHeight="true" outlineLevel="0" collapsed="false"/>
    <row r="64888" customFormat="false" ht="12.75" hidden="false" customHeight="true" outlineLevel="0" collapsed="false"/>
    <row r="64889" customFormat="false" ht="12.75" hidden="false" customHeight="true" outlineLevel="0" collapsed="false"/>
    <row r="64890" customFormat="false" ht="12.75" hidden="false" customHeight="true" outlineLevel="0" collapsed="false"/>
    <row r="64891" customFormat="false" ht="12.75" hidden="false" customHeight="true" outlineLevel="0" collapsed="false"/>
    <row r="64892" customFormat="false" ht="12.75" hidden="false" customHeight="true" outlineLevel="0" collapsed="false"/>
    <row r="64893" customFormat="false" ht="12.75" hidden="false" customHeight="true" outlineLevel="0" collapsed="false"/>
    <row r="64894" customFormat="false" ht="12.75" hidden="false" customHeight="true" outlineLevel="0" collapsed="false"/>
    <row r="64895" customFormat="false" ht="12.75" hidden="false" customHeight="true" outlineLevel="0" collapsed="false"/>
    <row r="64896" customFormat="false" ht="12.75" hidden="false" customHeight="true" outlineLevel="0" collapsed="false"/>
    <row r="64897" customFormat="false" ht="12.75" hidden="false" customHeight="true" outlineLevel="0" collapsed="false"/>
    <row r="64898" customFormat="false" ht="12.75" hidden="false" customHeight="true" outlineLevel="0" collapsed="false"/>
    <row r="64899" customFormat="false" ht="12.75" hidden="false" customHeight="true" outlineLevel="0" collapsed="false"/>
    <row r="64900" customFormat="false" ht="12.75" hidden="false" customHeight="true" outlineLevel="0" collapsed="false"/>
    <row r="64901" customFormat="false" ht="12.75" hidden="false" customHeight="true" outlineLevel="0" collapsed="false"/>
    <row r="64902" customFormat="false" ht="12.75" hidden="false" customHeight="true" outlineLevel="0" collapsed="false"/>
    <row r="64903" customFormat="false" ht="12.75" hidden="false" customHeight="true" outlineLevel="0" collapsed="false"/>
    <row r="64904" customFormat="false" ht="12.75" hidden="false" customHeight="true" outlineLevel="0" collapsed="false"/>
    <row r="64905" customFormat="false" ht="12.75" hidden="false" customHeight="true" outlineLevel="0" collapsed="false"/>
    <row r="64906" customFormat="false" ht="12.75" hidden="false" customHeight="true" outlineLevel="0" collapsed="false"/>
    <row r="64907" customFormat="false" ht="12.75" hidden="false" customHeight="true" outlineLevel="0" collapsed="false"/>
    <row r="64908" customFormat="false" ht="12.75" hidden="false" customHeight="true" outlineLevel="0" collapsed="false"/>
    <row r="64909" customFormat="false" ht="12.75" hidden="false" customHeight="true" outlineLevel="0" collapsed="false"/>
    <row r="64910" customFormat="false" ht="12.75" hidden="false" customHeight="true" outlineLevel="0" collapsed="false"/>
    <row r="64911" customFormat="false" ht="12.75" hidden="false" customHeight="true" outlineLevel="0" collapsed="false"/>
    <row r="64912" customFormat="false" ht="12.75" hidden="false" customHeight="true" outlineLevel="0" collapsed="false"/>
    <row r="64913" customFormat="false" ht="12.75" hidden="false" customHeight="true" outlineLevel="0" collapsed="false"/>
    <row r="64914" customFormat="false" ht="12.75" hidden="false" customHeight="true" outlineLevel="0" collapsed="false"/>
    <row r="64915" customFormat="false" ht="12.75" hidden="false" customHeight="true" outlineLevel="0" collapsed="false"/>
    <row r="64916" customFormat="false" ht="12.75" hidden="false" customHeight="true" outlineLevel="0" collapsed="false"/>
    <row r="64917" customFormat="false" ht="12.75" hidden="false" customHeight="true" outlineLevel="0" collapsed="false"/>
    <row r="64918" customFormat="false" ht="12.75" hidden="false" customHeight="true" outlineLevel="0" collapsed="false"/>
    <row r="64919" customFormat="false" ht="12.75" hidden="false" customHeight="true" outlineLevel="0" collapsed="false"/>
    <row r="64920" customFormat="false" ht="12.75" hidden="false" customHeight="true" outlineLevel="0" collapsed="false"/>
    <row r="64921" customFormat="false" ht="12.75" hidden="false" customHeight="true" outlineLevel="0" collapsed="false"/>
    <row r="64922" customFormat="false" ht="12.75" hidden="false" customHeight="true" outlineLevel="0" collapsed="false"/>
    <row r="64923" customFormat="false" ht="12.75" hidden="false" customHeight="true" outlineLevel="0" collapsed="false"/>
    <row r="64924" customFormat="false" ht="12.75" hidden="false" customHeight="true" outlineLevel="0" collapsed="false"/>
    <row r="64925" customFormat="false" ht="12.75" hidden="false" customHeight="true" outlineLevel="0" collapsed="false"/>
    <row r="64926" customFormat="false" ht="12.75" hidden="false" customHeight="true" outlineLevel="0" collapsed="false"/>
    <row r="64927" customFormat="false" ht="12.75" hidden="false" customHeight="true" outlineLevel="0" collapsed="false"/>
    <row r="64928" customFormat="false" ht="12.75" hidden="false" customHeight="true" outlineLevel="0" collapsed="false"/>
    <row r="64929" customFormat="false" ht="12.75" hidden="false" customHeight="true" outlineLevel="0" collapsed="false"/>
    <row r="64930" customFormat="false" ht="12.75" hidden="false" customHeight="true" outlineLevel="0" collapsed="false"/>
    <row r="64931" customFormat="false" ht="12.75" hidden="false" customHeight="true" outlineLevel="0" collapsed="false"/>
    <row r="64932" customFormat="false" ht="12.75" hidden="false" customHeight="true" outlineLevel="0" collapsed="false"/>
    <row r="64933" customFormat="false" ht="12.75" hidden="false" customHeight="true" outlineLevel="0" collapsed="false"/>
    <row r="64934" customFormat="false" ht="12.75" hidden="false" customHeight="true" outlineLevel="0" collapsed="false"/>
    <row r="64935" customFormat="false" ht="12.75" hidden="false" customHeight="true" outlineLevel="0" collapsed="false"/>
    <row r="64936" customFormat="false" ht="12.75" hidden="false" customHeight="true" outlineLevel="0" collapsed="false"/>
    <row r="64937" customFormat="false" ht="12.75" hidden="false" customHeight="true" outlineLevel="0" collapsed="false"/>
    <row r="64938" customFormat="false" ht="12.75" hidden="false" customHeight="true" outlineLevel="0" collapsed="false"/>
    <row r="64939" customFormat="false" ht="12.75" hidden="false" customHeight="true" outlineLevel="0" collapsed="false"/>
    <row r="64940" customFormat="false" ht="12.75" hidden="false" customHeight="true" outlineLevel="0" collapsed="false"/>
    <row r="64941" customFormat="false" ht="12.75" hidden="false" customHeight="true" outlineLevel="0" collapsed="false"/>
    <row r="64942" customFormat="false" ht="12.75" hidden="false" customHeight="true" outlineLevel="0" collapsed="false"/>
    <row r="64943" customFormat="false" ht="12.75" hidden="false" customHeight="true" outlineLevel="0" collapsed="false"/>
    <row r="64944" customFormat="false" ht="12.75" hidden="false" customHeight="true" outlineLevel="0" collapsed="false"/>
    <row r="64945" customFormat="false" ht="12.75" hidden="false" customHeight="true" outlineLevel="0" collapsed="false"/>
    <row r="64946" customFormat="false" ht="12.75" hidden="false" customHeight="true" outlineLevel="0" collapsed="false"/>
    <row r="64947" customFormat="false" ht="12.75" hidden="false" customHeight="true" outlineLevel="0" collapsed="false"/>
    <row r="64948" customFormat="false" ht="12.75" hidden="false" customHeight="true" outlineLevel="0" collapsed="false"/>
    <row r="64949" customFormat="false" ht="12.75" hidden="false" customHeight="true" outlineLevel="0" collapsed="false"/>
    <row r="64950" customFormat="false" ht="12.75" hidden="false" customHeight="true" outlineLevel="0" collapsed="false"/>
    <row r="64951" customFormat="false" ht="12.75" hidden="false" customHeight="true" outlineLevel="0" collapsed="false"/>
    <row r="64952" customFormat="false" ht="12.75" hidden="false" customHeight="true" outlineLevel="0" collapsed="false"/>
    <row r="64953" customFormat="false" ht="12.75" hidden="false" customHeight="true" outlineLevel="0" collapsed="false"/>
    <row r="64954" customFormat="false" ht="12.75" hidden="false" customHeight="true" outlineLevel="0" collapsed="false"/>
    <row r="64955" customFormat="false" ht="12.75" hidden="false" customHeight="true" outlineLevel="0" collapsed="false"/>
    <row r="64956" customFormat="false" ht="12.75" hidden="false" customHeight="true" outlineLevel="0" collapsed="false"/>
    <row r="64957" customFormat="false" ht="12.75" hidden="false" customHeight="true" outlineLevel="0" collapsed="false"/>
    <row r="64958" customFormat="false" ht="12.75" hidden="false" customHeight="true" outlineLevel="0" collapsed="false"/>
    <row r="64959" customFormat="false" ht="12.75" hidden="false" customHeight="true" outlineLevel="0" collapsed="false"/>
    <row r="64960" customFormat="false" ht="12.75" hidden="false" customHeight="true" outlineLevel="0" collapsed="false"/>
    <row r="64961" customFormat="false" ht="12.75" hidden="false" customHeight="true" outlineLevel="0" collapsed="false"/>
    <row r="64962" customFormat="false" ht="12.75" hidden="false" customHeight="true" outlineLevel="0" collapsed="false"/>
    <row r="64963" customFormat="false" ht="12.75" hidden="false" customHeight="true" outlineLevel="0" collapsed="false"/>
    <row r="64964" customFormat="false" ht="12.75" hidden="false" customHeight="true" outlineLevel="0" collapsed="false"/>
    <row r="64965" customFormat="false" ht="12.75" hidden="false" customHeight="true" outlineLevel="0" collapsed="false"/>
    <row r="64966" customFormat="false" ht="12.75" hidden="false" customHeight="true" outlineLevel="0" collapsed="false"/>
    <row r="64967" customFormat="false" ht="12.75" hidden="false" customHeight="true" outlineLevel="0" collapsed="false"/>
    <row r="64968" customFormat="false" ht="12.75" hidden="false" customHeight="true" outlineLevel="0" collapsed="false"/>
    <row r="64969" customFormat="false" ht="12.75" hidden="false" customHeight="true" outlineLevel="0" collapsed="false"/>
    <row r="64970" customFormat="false" ht="12.75" hidden="false" customHeight="true" outlineLevel="0" collapsed="false"/>
    <row r="64971" customFormat="false" ht="12.75" hidden="false" customHeight="true" outlineLevel="0" collapsed="false"/>
    <row r="64972" customFormat="false" ht="12.75" hidden="false" customHeight="true" outlineLevel="0" collapsed="false"/>
    <row r="64973" customFormat="false" ht="12.75" hidden="false" customHeight="true" outlineLevel="0" collapsed="false"/>
    <row r="64974" customFormat="false" ht="12.75" hidden="false" customHeight="true" outlineLevel="0" collapsed="false"/>
    <row r="64975" customFormat="false" ht="12.75" hidden="false" customHeight="true" outlineLevel="0" collapsed="false"/>
    <row r="64976" customFormat="false" ht="12.75" hidden="false" customHeight="true" outlineLevel="0" collapsed="false"/>
    <row r="64977" customFormat="false" ht="12.75" hidden="false" customHeight="true" outlineLevel="0" collapsed="false"/>
    <row r="64978" customFormat="false" ht="12.75" hidden="false" customHeight="true" outlineLevel="0" collapsed="false"/>
    <row r="64979" customFormat="false" ht="12.75" hidden="false" customHeight="true" outlineLevel="0" collapsed="false"/>
    <row r="64980" customFormat="false" ht="12.75" hidden="false" customHeight="true" outlineLevel="0" collapsed="false"/>
    <row r="64981" customFormat="false" ht="12.75" hidden="false" customHeight="true" outlineLevel="0" collapsed="false"/>
    <row r="64982" customFormat="false" ht="12.75" hidden="false" customHeight="true" outlineLevel="0" collapsed="false"/>
    <row r="64983" customFormat="false" ht="12.75" hidden="false" customHeight="true" outlineLevel="0" collapsed="false"/>
    <row r="64984" customFormat="false" ht="12.75" hidden="false" customHeight="true" outlineLevel="0" collapsed="false"/>
    <row r="64985" customFormat="false" ht="12.75" hidden="false" customHeight="true" outlineLevel="0" collapsed="false"/>
    <row r="64986" customFormat="false" ht="12.75" hidden="false" customHeight="true" outlineLevel="0" collapsed="false"/>
    <row r="64987" customFormat="false" ht="12.75" hidden="false" customHeight="true" outlineLevel="0" collapsed="false"/>
    <row r="64988" customFormat="false" ht="12.75" hidden="false" customHeight="true" outlineLevel="0" collapsed="false"/>
    <row r="64989" customFormat="false" ht="12.75" hidden="false" customHeight="true" outlineLevel="0" collapsed="false"/>
    <row r="64990" customFormat="false" ht="12.75" hidden="false" customHeight="true" outlineLevel="0" collapsed="false"/>
    <row r="64991" customFormat="false" ht="12.75" hidden="false" customHeight="true" outlineLevel="0" collapsed="false"/>
    <row r="64992" customFormat="false" ht="12.75" hidden="false" customHeight="true" outlineLevel="0" collapsed="false"/>
    <row r="64993" customFormat="false" ht="12.75" hidden="false" customHeight="true" outlineLevel="0" collapsed="false"/>
    <row r="64994" customFormat="false" ht="12.75" hidden="false" customHeight="true" outlineLevel="0" collapsed="false"/>
    <row r="64995" customFormat="false" ht="12.75" hidden="false" customHeight="true" outlineLevel="0" collapsed="false"/>
    <row r="64996" customFormat="false" ht="12.75" hidden="false" customHeight="true" outlineLevel="0" collapsed="false"/>
    <row r="64997" customFormat="false" ht="12.75" hidden="false" customHeight="true" outlineLevel="0" collapsed="false"/>
    <row r="64998" customFormat="false" ht="12.75" hidden="false" customHeight="true" outlineLevel="0" collapsed="false"/>
    <row r="64999" customFormat="false" ht="12.75" hidden="false" customHeight="true" outlineLevel="0" collapsed="false"/>
    <row r="65000" customFormat="false" ht="12.75" hidden="false" customHeight="true" outlineLevel="0" collapsed="false"/>
    <row r="65001" customFormat="false" ht="12.75" hidden="false" customHeight="true" outlineLevel="0" collapsed="false"/>
    <row r="65002" customFormat="false" ht="12.75" hidden="false" customHeight="true" outlineLevel="0" collapsed="false"/>
    <row r="65003" customFormat="false" ht="12.75" hidden="false" customHeight="true" outlineLevel="0" collapsed="false"/>
    <row r="65004" customFormat="false" ht="12.75" hidden="false" customHeight="true" outlineLevel="0" collapsed="false"/>
    <row r="65005" customFormat="false" ht="12.75" hidden="false" customHeight="true" outlineLevel="0" collapsed="false"/>
    <row r="65006" customFormat="false" ht="12.75" hidden="false" customHeight="true" outlineLevel="0" collapsed="false"/>
    <row r="65007" customFormat="false" ht="12.75" hidden="false" customHeight="true" outlineLevel="0" collapsed="false"/>
    <row r="65008" customFormat="false" ht="12.75" hidden="false" customHeight="true" outlineLevel="0" collapsed="false"/>
    <row r="65009" customFormat="false" ht="12.75" hidden="false" customHeight="true" outlineLevel="0" collapsed="false"/>
    <row r="65010" customFormat="false" ht="12.75" hidden="false" customHeight="true" outlineLevel="0" collapsed="false"/>
    <row r="65011" customFormat="false" ht="12.75" hidden="false" customHeight="true" outlineLevel="0" collapsed="false"/>
    <row r="65012" customFormat="false" ht="12.75" hidden="false" customHeight="true" outlineLevel="0" collapsed="false"/>
    <row r="65013" customFormat="false" ht="12.75" hidden="false" customHeight="true" outlineLevel="0" collapsed="false"/>
    <row r="65014" customFormat="false" ht="12.75" hidden="false" customHeight="true" outlineLevel="0" collapsed="false"/>
    <row r="65015" customFormat="false" ht="12.75" hidden="false" customHeight="true" outlineLevel="0" collapsed="false"/>
    <row r="65016" customFormat="false" ht="12.75" hidden="false" customHeight="true" outlineLevel="0" collapsed="false"/>
    <row r="65017" customFormat="false" ht="12.75" hidden="false" customHeight="true" outlineLevel="0" collapsed="false"/>
    <row r="65018" customFormat="false" ht="12.75" hidden="false" customHeight="true" outlineLevel="0" collapsed="false"/>
    <row r="65019" customFormat="false" ht="12.75" hidden="false" customHeight="true" outlineLevel="0" collapsed="false"/>
    <row r="65020" customFormat="false" ht="12.75" hidden="false" customHeight="true" outlineLevel="0" collapsed="false"/>
    <row r="65021" customFormat="false" ht="12.75" hidden="false" customHeight="true" outlineLevel="0" collapsed="false"/>
    <row r="65022" customFormat="false" ht="12.75" hidden="false" customHeight="true" outlineLevel="0" collapsed="false"/>
    <row r="65023" customFormat="false" ht="12.75" hidden="false" customHeight="true" outlineLevel="0" collapsed="false"/>
    <row r="65024" customFormat="false" ht="12.75" hidden="false" customHeight="true" outlineLevel="0" collapsed="false"/>
    <row r="65025" customFormat="false" ht="12.75" hidden="false" customHeight="true" outlineLevel="0" collapsed="false"/>
    <row r="65026" customFormat="false" ht="12.75" hidden="false" customHeight="true" outlineLevel="0" collapsed="false"/>
    <row r="65027" customFormat="false" ht="12.75" hidden="false" customHeight="true" outlineLevel="0" collapsed="false"/>
    <row r="65028" customFormat="false" ht="12.75" hidden="false" customHeight="true" outlineLevel="0" collapsed="false"/>
    <row r="65029" customFormat="false" ht="12.75" hidden="false" customHeight="true" outlineLevel="0" collapsed="false"/>
    <row r="65030" customFormat="false" ht="12.75" hidden="false" customHeight="true" outlineLevel="0" collapsed="false"/>
    <row r="65031" customFormat="false" ht="12.75" hidden="false" customHeight="true" outlineLevel="0" collapsed="false"/>
    <row r="65032" customFormat="false" ht="12.75" hidden="false" customHeight="true" outlineLevel="0" collapsed="false"/>
    <row r="65033" customFormat="false" ht="12.75" hidden="false" customHeight="true" outlineLevel="0" collapsed="false"/>
    <row r="65034" customFormat="false" ht="12.75" hidden="false" customHeight="true" outlineLevel="0" collapsed="false"/>
    <row r="65035" customFormat="false" ht="12.75" hidden="false" customHeight="true" outlineLevel="0" collapsed="false"/>
    <row r="65036" customFormat="false" ht="12.75" hidden="false" customHeight="true" outlineLevel="0" collapsed="false"/>
    <row r="65037" customFormat="false" ht="12.75" hidden="false" customHeight="true" outlineLevel="0" collapsed="false"/>
    <row r="65038" customFormat="false" ht="12.75" hidden="false" customHeight="true" outlineLevel="0" collapsed="false"/>
    <row r="65039" customFormat="false" ht="12.75" hidden="false" customHeight="true" outlineLevel="0" collapsed="false"/>
    <row r="65040" customFormat="false" ht="12.75" hidden="false" customHeight="true" outlineLevel="0" collapsed="false"/>
    <row r="65041" customFormat="false" ht="12.75" hidden="false" customHeight="true" outlineLevel="0" collapsed="false"/>
    <row r="65042" customFormat="false" ht="12.75" hidden="false" customHeight="true" outlineLevel="0" collapsed="false"/>
    <row r="65043" customFormat="false" ht="12.75" hidden="false" customHeight="true" outlineLevel="0" collapsed="false"/>
    <row r="65044" customFormat="false" ht="12.75" hidden="false" customHeight="true" outlineLevel="0" collapsed="false"/>
    <row r="65045" customFormat="false" ht="12.75" hidden="false" customHeight="true" outlineLevel="0" collapsed="false"/>
    <row r="65046" customFormat="false" ht="12.75" hidden="false" customHeight="true" outlineLevel="0" collapsed="false"/>
    <row r="65047" customFormat="false" ht="12.75" hidden="false" customHeight="true" outlineLevel="0" collapsed="false"/>
    <row r="65048" customFormat="false" ht="12.75" hidden="false" customHeight="true" outlineLevel="0" collapsed="false"/>
    <row r="65049" customFormat="false" ht="12.75" hidden="false" customHeight="true" outlineLevel="0" collapsed="false"/>
    <row r="65050" customFormat="false" ht="12.75" hidden="false" customHeight="true" outlineLevel="0" collapsed="false"/>
    <row r="65051" customFormat="false" ht="12.75" hidden="false" customHeight="true" outlineLevel="0" collapsed="false"/>
    <row r="65052" customFormat="false" ht="12.75" hidden="false" customHeight="true" outlineLevel="0" collapsed="false"/>
    <row r="65053" customFormat="false" ht="12.75" hidden="false" customHeight="true" outlineLevel="0" collapsed="false"/>
    <row r="65054" customFormat="false" ht="12.75" hidden="false" customHeight="true" outlineLevel="0" collapsed="false"/>
    <row r="65055" customFormat="false" ht="12.75" hidden="false" customHeight="true" outlineLevel="0" collapsed="false"/>
    <row r="65056" customFormat="false" ht="12.75" hidden="false" customHeight="true" outlineLevel="0" collapsed="false"/>
    <row r="65057" customFormat="false" ht="12.75" hidden="false" customHeight="true" outlineLevel="0" collapsed="false"/>
    <row r="65058" customFormat="false" ht="12.75" hidden="false" customHeight="true" outlineLevel="0" collapsed="false"/>
    <row r="65059" customFormat="false" ht="12.75" hidden="false" customHeight="true" outlineLevel="0" collapsed="false"/>
    <row r="65060" customFormat="false" ht="12.75" hidden="false" customHeight="true" outlineLevel="0" collapsed="false"/>
    <row r="65061" customFormat="false" ht="12.75" hidden="false" customHeight="true" outlineLevel="0" collapsed="false"/>
    <row r="65062" customFormat="false" ht="12.75" hidden="false" customHeight="true" outlineLevel="0" collapsed="false"/>
    <row r="65063" customFormat="false" ht="12.75" hidden="false" customHeight="true" outlineLevel="0" collapsed="false"/>
    <row r="65064" customFormat="false" ht="12.75" hidden="false" customHeight="true" outlineLevel="0" collapsed="false"/>
    <row r="65065" customFormat="false" ht="12.75" hidden="false" customHeight="true" outlineLevel="0" collapsed="false"/>
    <row r="65066" customFormat="false" ht="12.75" hidden="false" customHeight="true" outlineLevel="0" collapsed="false"/>
    <row r="65067" customFormat="false" ht="12.75" hidden="false" customHeight="true" outlineLevel="0" collapsed="false"/>
    <row r="65068" customFormat="false" ht="12.75" hidden="false" customHeight="true" outlineLevel="0" collapsed="false"/>
    <row r="65069" customFormat="false" ht="12.75" hidden="false" customHeight="true" outlineLevel="0" collapsed="false"/>
    <row r="65070" customFormat="false" ht="12.75" hidden="false" customHeight="true" outlineLevel="0" collapsed="false"/>
    <row r="65071" customFormat="false" ht="12.75" hidden="false" customHeight="true" outlineLevel="0" collapsed="false"/>
    <row r="65072" customFormat="false" ht="12.75" hidden="false" customHeight="true" outlineLevel="0" collapsed="false"/>
    <row r="65073" customFormat="false" ht="12.75" hidden="false" customHeight="true" outlineLevel="0" collapsed="false"/>
    <row r="65074" customFormat="false" ht="12.75" hidden="false" customHeight="true" outlineLevel="0" collapsed="false"/>
    <row r="65075" customFormat="false" ht="12.75" hidden="false" customHeight="true" outlineLevel="0" collapsed="false"/>
    <row r="65076" customFormat="false" ht="12.75" hidden="false" customHeight="true" outlineLevel="0" collapsed="false"/>
    <row r="65077" customFormat="false" ht="12.75" hidden="false" customHeight="true" outlineLevel="0" collapsed="false"/>
    <row r="65078" customFormat="false" ht="12.75" hidden="false" customHeight="true" outlineLevel="0" collapsed="false"/>
    <row r="65079" customFormat="false" ht="12.75" hidden="false" customHeight="true" outlineLevel="0" collapsed="false"/>
    <row r="65080" customFormat="false" ht="12.75" hidden="false" customHeight="true" outlineLevel="0" collapsed="false"/>
    <row r="65081" customFormat="false" ht="12.75" hidden="false" customHeight="true" outlineLevel="0" collapsed="false"/>
    <row r="65082" customFormat="false" ht="12.75" hidden="false" customHeight="true" outlineLevel="0" collapsed="false"/>
    <row r="65083" customFormat="false" ht="12.75" hidden="false" customHeight="true" outlineLevel="0" collapsed="false"/>
    <row r="65084" customFormat="false" ht="12.75" hidden="false" customHeight="true" outlineLevel="0" collapsed="false"/>
    <row r="65085" customFormat="false" ht="12.75" hidden="false" customHeight="true" outlineLevel="0" collapsed="false"/>
    <row r="65086" customFormat="false" ht="12.75" hidden="false" customHeight="true" outlineLevel="0" collapsed="false"/>
    <row r="65087" customFormat="false" ht="12.75" hidden="false" customHeight="true" outlineLevel="0" collapsed="false"/>
    <row r="65088" customFormat="false" ht="12.75" hidden="false" customHeight="true" outlineLevel="0" collapsed="false"/>
    <row r="65089" customFormat="false" ht="12.75" hidden="false" customHeight="true" outlineLevel="0" collapsed="false"/>
    <row r="65090" customFormat="false" ht="12.75" hidden="false" customHeight="true" outlineLevel="0" collapsed="false"/>
    <row r="65091" customFormat="false" ht="12.75" hidden="false" customHeight="true" outlineLevel="0" collapsed="false"/>
    <row r="65092" customFormat="false" ht="12.75" hidden="false" customHeight="true" outlineLevel="0" collapsed="false"/>
    <row r="65093" customFormat="false" ht="12.75" hidden="false" customHeight="true" outlineLevel="0" collapsed="false"/>
    <row r="65094" customFormat="false" ht="12.75" hidden="false" customHeight="true" outlineLevel="0" collapsed="false"/>
    <row r="65095" customFormat="false" ht="12.75" hidden="false" customHeight="true" outlineLevel="0" collapsed="false"/>
    <row r="65096" customFormat="false" ht="12.75" hidden="false" customHeight="true" outlineLevel="0" collapsed="false"/>
    <row r="65097" customFormat="false" ht="12.75" hidden="false" customHeight="true" outlineLevel="0" collapsed="false"/>
    <row r="65098" customFormat="false" ht="12.75" hidden="false" customHeight="true" outlineLevel="0" collapsed="false"/>
    <row r="65099" customFormat="false" ht="12.75" hidden="false" customHeight="true" outlineLevel="0" collapsed="false"/>
    <row r="65100" customFormat="false" ht="12.75" hidden="false" customHeight="true" outlineLevel="0" collapsed="false"/>
    <row r="65101" customFormat="false" ht="12.75" hidden="false" customHeight="true" outlineLevel="0" collapsed="false"/>
    <row r="65102" customFormat="false" ht="12.75" hidden="false" customHeight="true" outlineLevel="0" collapsed="false"/>
    <row r="65103" customFormat="false" ht="12.75" hidden="false" customHeight="true" outlineLevel="0" collapsed="false"/>
    <row r="65104" customFormat="false" ht="12.75" hidden="false" customHeight="true" outlineLevel="0" collapsed="false"/>
    <row r="65105" customFormat="false" ht="12.75" hidden="false" customHeight="true" outlineLevel="0" collapsed="false"/>
    <row r="65106" customFormat="false" ht="12.75" hidden="false" customHeight="true" outlineLevel="0" collapsed="false"/>
    <row r="65107" customFormat="false" ht="12.75" hidden="false" customHeight="true" outlineLevel="0" collapsed="false"/>
    <row r="65108" customFormat="false" ht="12.75" hidden="false" customHeight="true" outlineLevel="0" collapsed="false"/>
    <row r="65109" customFormat="false" ht="12.75" hidden="false" customHeight="true" outlineLevel="0" collapsed="false"/>
    <row r="65110" customFormat="false" ht="12.75" hidden="false" customHeight="true" outlineLevel="0" collapsed="false"/>
    <row r="65111" customFormat="false" ht="12.75" hidden="false" customHeight="true" outlineLevel="0" collapsed="false"/>
    <row r="65112" customFormat="false" ht="12.75" hidden="false" customHeight="true" outlineLevel="0" collapsed="false"/>
    <row r="65113" customFormat="false" ht="12.75" hidden="false" customHeight="true" outlineLevel="0" collapsed="false"/>
    <row r="65114" customFormat="false" ht="12.75" hidden="false" customHeight="true" outlineLevel="0" collapsed="false"/>
    <row r="65115" customFormat="false" ht="12.75" hidden="false" customHeight="true" outlineLevel="0" collapsed="false"/>
    <row r="65116" customFormat="false" ht="12.75" hidden="false" customHeight="true" outlineLevel="0" collapsed="false"/>
    <row r="65117" customFormat="false" ht="12.75" hidden="false" customHeight="true" outlineLevel="0" collapsed="false"/>
    <row r="65118" customFormat="false" ht="12.75" hidden="false" customHeight="true" outlineLevel="0" collapsed="false"/>
    <row r="65119" customFormat="false" ht="12.75" hidden="false" customHeight="true" outlineLevel="0" collapsed="false"/>
    <row r="65120" customFormat="false" ht="12.75" hidden="false" customHeight="true" outlineLevel="0" collapsed="false"/>
    <row r="65121" customFormat="false" ht="12.75" hidden="false" customHeight="true" outlineLevel="0" collapsed="false"/>
    <row r="65122" customFormat="false" ht="12.75" hidden="false" customHeight="true" outlineLevel="0" collapsed="false"/>
    <row r="65123" customFormat="false" ht="12.75" hidden="false" customHeight="true" outlineLevel="0" collapsed="false"/>
    <row r="65124" customFormat="false" ht="12.75" hidden="false" customHeight="true" outlineLevel="0" collapsed="false"/>
    <row r="65125" customFormat="false" ht="12.75" hidden="false" customHeight="true" outlineLevel="0" collapsed="false"/>
    <row r="65126" customFormat="false" ht="12.75" hidden="false" customHeight="true" outlineLevel="0" collapsed="false"/>
    <row r="65127" customFormat="false" ht="12.75" hidden="false" customHeight="true" outlineLevel="0" collapsed="false"/>
    <row r="65128" customFormat="false" ht="12.75" hidden="false" customHeight="true" outlineLevel="0" collapsed="false"/>
    <row r="65129" customFormat="false" ht="12.75" hidden="false" customHeight="true" outlineLevel="0" collapsed="false"/>
    <row r="65130" customFormat="false" ht="12.75" hidden="false" customHeight="true" outlineLevel="0" collapsed="false"/>
    <row r="65131" customFormat="false" ht="12.75" hidden="false" customHeight="true" outlineLevel="0" collapsed="false"/>
    <row r="65132" customFormat="false" ht="12.75" hidden="false" customHeight="true" outlineLevel="0" collapsed="false"/>
    <row r="65133" customFormat="false" ht="12.75" hidden="false" customHeight="true" outlineLevel="0" collapsed="false"/>
    <row r="65134" customFormat="false" ht="12.75" hidden="false" customHeight="true" outlineLevel="0" collapsed="false"/>
    <row r="65135" customFormat="false" ht="12.75" hidden="false" customHeight="true" outlineLevel="0" collapsed="false"/>
    <row r="65136" customFormat="false" ht="12.75" hidden="false" customHeight="true" outlineLevel="0" collapsed="false"/>
    <row r="65137" customFormat="false" ht="12.75" hidden="false" customHeight="true" outlineLevel="0" collapsed="false"/>
    <row r="65138" customFormat="false" ht="12.75" hidden="false" customHeight="true" outlineLevel="0" collapsed="false"/>
    <row r="65139" customFormat="false" ht="12.75" hidden="false" customHeight="true" outlineLevel="0" collapsed="false"/>
    <row r="65140" customFormat="false" ht="12.75" hidden="false" customHeight="true" outlineLevel="0" collapsed="false"/>
    <row r="65141" customFormat="false" ht="12.75" hidden="false" customHeight="true" outlineLevel="0" collapsed="false"/>
    <row r="65142" customFormat="false" ht="12.75" hidden="false" customHeight="true" outlineLevel="0" collapsed="false"/>
    <row r="65143" customFormat="false" ht="12.75" hidden="false" customHeight="true" outlineLevel="0" collapsed="false"/>
    <row r="65144" customFormat="false" ht="12.75" hidden="false" customHeight="true" outlineLevel="0" collapsed="false"/>
    <row r="65145" customFormat="false" ht="12.75" hidden="false" customHeight="true" outlineLevel="0" collapsed="false"/>
    <row r="65146" customFormat="false" ht="12.75" hidden="false" customHeight="true" outlineLevel="0" collapsed="false"/>
    <row r="65147" customFormat="false" ht="12.75" hidden="false" customHeight="true" outlineLevel="0" collapsed="false"/>
    <row r="65148" customFormat="false" ht="12.75" hidden="false" customHeight="true" outlineLevel="0" collapsed="false"/>
    <row r="65149" customFormat="false" ht="12.75" hidden="false" customHeight="true" outlineLevel="0" collapsed="false"/>
    <row r="65150" customFormat="false" ht="12.75" hidden="false" customHeight="true" outlineLevel="0" collapsed="false"/>
    <row r="65151" customFormat="false" ht="12.75" hidden="false" customHeight="true" outlineLevel="0" collapsed="false"/>
    <row r="65152" customFormat="false" ht="12.75" hidden="false" customHeight="true" outlineLevel="0" collapsed="false"/>
    <row r="65153" customFormat="false" ht="12.75" hidden="false" customHeight="true" outlineLevel="0" collapsed="false"/>
    <row r="65154" customFormat="false" ht="12.75" hidden="false" customHeight="true" outlineLevel="0" collapsed="false"/>
    <row r="65155" customFormat="false" ht="12.75" hidden="false" customHeight="true" outlineLevel="0" collapsed="false"/>
    <row r="65156" customFormat="false" ht="12.75" hidden="false" customHeight="true" outlineLevel="0" collapsed="false"/>
    <row r="65157" customFormat="false" ht="12.75" hidden="false" customHeight="true" outlineLevel="0" collapsed="false"/>
    <row r="65158" customFormat="false" ht="12.75" hidden="false" customHeight="true" outlineLevel="0" collapsed="false"/>
    <row r="65159" customFormat="false" ht="12.75" hidden="false" customHeight="true" outlineLevel="0" collapsed="false"/>
    <row r="65160" customFormat="false" ht="12.75" hidden="false" customHeight="true" outlineLevel="0" collapsed="false"/>
    <row r="65161" customFormat="false" ht="12.75" hidden="false" customHeight="true" outlineLevel="0" collapsed="false"/>
    <row r="65162" customFormat="false" ht="12.75" hidden="false" customHeight="true" outlineLevel="0" collapsed="false"/>
    <row r="65163" customFormat="false" ht="12.75" hidden="false" customHeight="true" outlineLevel="0" collapsed="false"/>
    <row r="65164" customFormat="false" ht="12.75" hidden="false" customHeight="true" outlineLevel="0" collapsed="false"/>
    <row r="65165" customFormat="false" ht="12.75" hidden="false" customHeight="true" outlineLevel="0" collapsed="false"/>
    <row r="65166" customFormat="false" ht="12.75" hidden="false" customHeight="true" outlineLevel="0" collapsed="false"/>
    <row r="65167" customFormat="false" ht="12.75" hidden="false" customHeight="true" outlineLevel="0" collapsed="false"/>
    <row r="65168" customFormat="false" ht="12.75" hidden="false" customHeight="true" outlineLevel="0" collapsed="false"/>
    <row r="65169" customFormat="false" ht="12.75" hidden="false" customHeight="true" outlineLevel="0" collapsed="false"/>
    <row r="65170" customFormat="false" ht="12.75" hidden="false" customHeight="true" outlineLevel="0" collapsed="false"/>
    <row r="65171" customFormat="false" ht="12.75" hidden="false" customHeight="true" outlineLevel="0" collapsed="false"/>
    <row r="65172" customFormat="false" ht="12.75" hidden="false" customHeight="true" outlineLevel="0" collapsed="false"/>
    <row r="65173" customFormat="false" ht="12.75" hidden="false" customHeight="true" outlineLevel="0" collapsed="false"/>
    <row r="65174" customFormat="false" ht="12.75" hidden="false" customHeight="true" outlineLevel="0" collapsed="false"/>
    <row r="65175" customFormat="false" ht="12.75" hidden="false" customHeight="true" outlineLevel="0" collapsed="false"/>
    <row r="65176" customFormat="false" ht="12.75" hidden="false" customHeight="true" outlineLevel="0" collapsed="false"/>
    <row r="65177" customFormat="false" ht="12.75" hidden="false" customHeight="true" outlineLevel="0" collapsed="false"/>
    <row r="65178" customFormat="false" ht="12.75" hidden="false" customHeight="true" outlineLevel="0" collapsed="false"/>
    <row r="65179" customFormat="false" ht="12.75" hidden="false" customHeight="true" outlineLevel="0" collapsed="false"/>
    <row r="65180" customFormat="false" ht="12.75" hidden="false" customHeight="true" outlineLevel="0" collapsed="false"/>
    <row r="65181" customFormat="false" ht="12.75" hidden="false" customHeight="true" outlineLevel="0" collapsed="false"/>
    <row r="65182" customFormat="false" ht="12.75" hidden="false" customHeight="true" outlineLevel="0" collapsed="false"/>
    <row r="65183" customFormat="false" ht="12.75" hidden="false" customHeight="true" outlineLevel="0" collapsed="false"/>
    <row r="65184" customFormat="false" ht="12.75" hidden="false" customHeight="true" outlineLevel="0" collapsed="false"/>
    <row r="65185" customFormat="false" ht="12.75" hidden="false" customHeight="true" outlineLevel="0" collapsed="false"/>
    <row r="65186" customFormat="false" ht="12.75" hidden="false" customHeight="true" outlineLevel="0" collapsed="false"/>
    <row r="65187" customFormat="false" ht="12.75" hidden="false" customHeight="true" outlineLevel="0" collapsed="false"/>
    <row r="65188" customFormat="false" ht="12.75" hidden="false" customHeight="true" outlineLevel="0" collapsed="false"/>
    <row r="65189" customFormat="false" ht="12.75" hidden="false" customHeight="true" outlineLevel="0" collapsed="false"/>
    <row r="65190" customFormat="false" ht="12.75" hidden="false" customHeight="true" outlineLevel="0" collapsed="false"/>
    <row r="65191" customFormat="false" ht="12.75" hidden="false" customHeight="true" outlineLevel="0" collapsed="false"/>
    <row r="65192" customFormat="false" ht="12.75" hidden="false" customHeight="true" outlineLevel="0" collapsed="false"/>
    <row r="65193" customFormat="false" ht="12.75" hidden="false" customHeight="true" outlineLevel="0" collapsed="false"/>
    <row r="65194" customFormat="false" ht="12.75" hidden="false" customHeight="true" outlineLevel="0" collapsed="false"/>
    <row r="65195" customFormat="false" ht="12.75" hidden="false" customHeight="true" outlineLevel="0" collapsed="false"/>
    <row r="65196" customFormat="false" ht="12.75" hidden="false" customHeight="true" outlineLevel="0" collapsed="false"/>
    <row r="65197" customFormat="false" ht="12.75" hidden="false" customHeight="true" outlineLevel="0" collapsed="false"/>
    <row r="65198" customFormat="false" ht="12.75" hidden="false" customHeight="true" outlineLevel="0" collapsed="false"/>
    <row r="65199" customFormat="false" ht="12.75" hidden="false" customHeight="true" outlineLevel="0" collapsed="false"/>
    <row r="65200" customFormat="false" ht="12.75" hidden="false" customHeight="true" outlineLevel="0" collapsed="false"/>
    <row r="65201" customFormat="false" ht="12.75" hidden="false" customHeight="true" outlineLevel="0" collapsed="false"/>
    <row r="65202" customFormat="false" ht="12.75" hidden="false" customHeight="true" outlineLevel="0" collapsed="false"/>
    <row r="65203" customFormat="false" ht="12.75" hidden="false" customHeight="true" outlineLevel="0" collapsed="false"/>
    <row r="65204" customFormat="false" ht="12.75" hidden="false" customHeight="true" outlineLevel="0" collapsed="false"/>
    <row r="65205" customFormat="false" ht="12.75" hidden="false" customHeight="true" outlineLevel="0" collapsed="false"/>
    <row r="65206" customFormat="false" ht="12.75" hidden="false" customHeight="true" outlineLevel="0" collapsed="false"/>
    <row r="65207" customFormat="false" ht="12.75" hidden="false" customHeight="true" outlineLevel="0" collapsed="false"/>
    <row r="65208" customFormat="false" ht="12.75" hidden="false" customHeight="true" outlineLevel="0" collapsed="false"/>
    <row r="65209" customFormat="false" ht="12.75" hidden="false" customHeight="true" outlineLevel="0" collapsed="false"/>
    <row r="65210" customFormat="false" ht="12.75" hidden="false" customHeight="true" outlineLevel="0" collapsed="false"/>
    <row r="65211" customFormat="false" ht="12.75" hidden="false" customHeight="true" outlineLevel="0" collapsed="false"/>
    <row r="65212" customFormat="false" ht="12.75" hidden="false" customHeight="true" outlineLevel="0" collapsed="false"/>
    <row r="65213" customFormat="false" ht="12.75" hidden="false" customHeight="true" outlineLevel="0" collapsed="false"/>
    <row r="65214" customFormat="false" ht="12.75" hidden="false" customHeight="true" outlineLevel="0" collapsed="false"/>
    <row r="65215" customFormat="false" ht="12.75" hidden="false" customHeight="true" outlineLevel="0" collapsed="false"/>
    <row r="65216" customFormat="false" ht="12.75" hidden="false" customHeight="true" outlineLevel="0" collapsed="false"/>
    <row r="65217" customFormat="false" ht="12.75" hidden="false" customHeight="true" outlineLevel="0" collapsed="false"/>
    <row r="65218" customFormat="false" ht="12.75" hidden="false" customHeight="true" outlineLevel="0" collapsed="false"/>
    <row r="65219" customFormat="false" ht="12.75" hidden="false" customHeight="true" outlineLevel="0" collapsed="false"/>
    <row r="65220" customFormat="false" ht="12.75" hidden="false" customHeight="true" outlineLevel="0" collapsed="false"/>
    <row r="65221" customFormat="false" ht="12.75" hidden="false" customHeight="true" outlineLevel="0" collapsed="false"/>
    <row r="65222" customFormat="false" ht="12.75" hidden="false" customHeight="true" outlineLevel="0" collapsed="false"/>
    <row r="65223" customFormat="false" ht="12.75" hidden="false" customHeight="true" outlineLevel="0" collapsed="false"/>
    <row r="65224" customFormat="false" ht="12.75" hidden="false" customHeight="true" outlineLevel="0" collapsed="false"/>
    <row r="65225" customFormat="false" ht="12.75" hidden="false" customHeight="true" outlineLevel="0" collapsed="false"/>
    <row r="65226" customFormat="false" ht="12.75" hidden="false" customHeight="true" outlineLevel="0" collapsed="false"/>
    <row r="65227" customFormat="false" ht="12.75" hidden="false" customHeight="true" outlineLevel="0" collapsed="false"/>
    <row r="65228" customFormat="false" ht="12.75" hidden="false" customHeight="true" outlineLevel="0" collapsed="false"/>
    <row r="65229" customFormat="false" ht="12.75" hidden="false" customHeight="true" outlineLevel="0" collapsed="false"/>
    <row r="65230" customFormat="false" ht="12.75" hidden="false" customHeight="true" outlineLevel="0" collapsed="false"/>
    <row r="65231" customFormat="false" ht="12.75" hidden="false" customHeight="true" outlineLevel="0" collapsed="false"/>
    <row r="65232" customFormat="false" ht="12.75" hidden="false" customHeight="true" outlineLevel="0" collapsed="false"/>
    <row r="65233" customFormat="false" ht="12.75" hidden="false" customHeight="true" outlineLevel="0" collapsed="false"/>
    <row r="65234" customFormat="false" ht="12.75" hidden="false" customHeight="true" outlineLevel="0" collapsed="false"/>
    <row r="65235" customFormat="false" ht="12.75" hidden="false" customHeight="true" outlineLevel="0" collapsed="false"/>
    <row r="65236" customFormat="false" ht="12.75" hidden="false" customHeight="true" outlineLevel="0" collapsed="false"/>
    <row r="65237" customFormat="false" ht="12.75" hidden="false" customHeight="true" outlineLevel="0" collapsed="false"/>
    <row r="65238" customFormat="false" ht="12.75" hidden="false" customHeight="true" outlineLevel="0" collapsed="false"/>
    <row r="65239" customFormat="false" ht="12.75" hidden="false" customHeight="true" outlineLevel="0" collapsed="false"/>
    <row r="65240" customFormat="false" ht="12.75" hidden="false" customHeight="true" outlineLevel="0" collapsed="false"/>
    <row r="65241" customFormat="false" ht="12.75" hidden="false" customHeight="true" outlineLevel="0" collapsed="false"/>
    <row r="65242" customFormat="false" ht="12.75" hidden="false" customHeight="true" outlineLevel="0" collapsed="false"/>
    <row r="65243" customFormat="false" ht="12.75" hidden="false" customHeight="true" outlineLevel="0" collapsed="false"/>
    <row r="65244" customFormat="false" ht="12.75" hidden="false" customHeight="true" outlineLevel="0" collapsed="false"/>
    <row r="65245" customFormat="false" ht="12.75" hidden="false" customHeight="true" outlineLevel="0" collapsed="false"/>
    <row r="65246" customFormat="false" ht="12.75" hidden="false" customHeight="true" outlineLevel="0" collapsed="false"/>
    <row r="65247" customFormat="false" ht="12.75" hidden="false" customHeight="true" outlineLevel="0" collapsed="false"/>
    <row r="65248" customFormat="false" ht="12.75" hidden="false" customHeight="true" outlineLevel="0" collapsed="false"/>
    <row r="65249" customFormat="false" ht="12.75" hidden="false" customHeight="true" outlineLevel="0" collapsed="false"/>
    <row r="65250" customFormat="false" ht="12.75" hidden="false" customHeight="true" outlineLevel="0" collapsed="false"/>
    <row r="65251" customFormat="false" ht="12.75" hidden="false" customHeight="true" outlineLevel="0" collapsed="false"/>
    <row r="65252" customFormat="false" ht="12.75" hidden="false" customHeight="true" outlineLevel="0" collapsed="false"/>
    <row r="65253" customFormat="false" ht="12.75" hidden="false" customHeight="true" outlineLevel="0" collapsed="false"/>
    <row r="65254" customFormat="false" ht="12.75" hidden="false" customHeight="true" outlineLevel="0" collapsed="false"/>
    <row r="65255" customFormat="false" ht="12.75" hidden="false" customHeight="true" outlineLevel="0" collapsed="false"/>
    <row r="65256" customFormat="false" ht="12.75" hidden="false" customHeight="true" outlineLevel="0" collapsed="false"/>
    <row r="65257" customFormat="false" ht="12.75" hidden="false" customHeight="true" outlineLevel="0" collapsed="false"/>
    <row r="65258" customFormat="false" ht="12.75" hidden="false" customHeight="true" outlineLevel="0" collapsed="false"/>
    <row r="65259" customFormat="false" ht="12.75" hidden="false" customHeight="true" outlineLevel="0" collapsed="false"/>
    <row r="65260" customFormat="false" ht="12.75" hidden="false" customHeight="true" outlineLevel="0" collapsed="false"/>
    <row r="65261" customFormat="false" ht="12.75" hidden="false" customHeight="true" outlineLevel="0" collapsed="false"/>
    <row r="65262" customFormat="false" ht="12.75" hidden="false" customHeight="true" outlineLevel="0" collapsed="false"/>
    <row r="65263" customFormat="false" ht="12.75" hidden="false" customHeight="true" outlineLevel="0" collapsed="false"/>
    <row r="65264" customFormat="false" ht="12.75" hidden="false" customHeight="true" outlineLevel="0" collapsed="false"/>
    <row r="65265" customFormat="false" ht="12.75" hidden="false" customHeight="true" outlineLevel="0" collapsed="false"/>
    <row r="65266" customFormat="false" ht="12.75" hidden="false" customHeight="true" outlineLevel="0" collapsed="false"/>
    <row r="65267" customFormat="false" ht="12.75" hidden="false" customHeight="true" outlineLevel="0" collapsed="false"/>
    <row r="65268" customFormat="false" ht="12.75" hidden="false" customHeight="true" outlineLevel="0" collapsed="false"/>
    <row r="65269" customFormat="false" ht="12.75" hidden="false" customHeight="true" outlineLevel="0" collapsed="false"/>
    <row r="65270" customFormat="false" ht="12.75" hidden="false" customHeight="true" outlineLevel="0" collapsed="false"/>
    <row r="65271" customFormat="false" ht="12.75" hidden="false" customHeight="true" outlineLevel="0" collapsed="false"/>
    <row r="65272" customFormat="false" ht="12.75" hidden="false" customHeight="true" outlineLevel="0" collapsed="false"/>
    <row r="65273" customFormat="false" ht="12.75" hidden="false" customHeight="true" outlineLevel="0" collapsed="false"/>
    <row r="65274" customFormat="false" ht="12.75" hidden="false" customHeight="true" outlineLevel="0" collapsed="false"/>
    <row r="65275" customFormat="false" ht="12.75" hidden="false" customHeight="true" outlineLevel="0" collapsed="false"/>
    <row r="65276" customFormat="false" ht="12.75" hidden="false" customHeight="true" outlineLevel="0" collapsed="false"/>
    <row r="65277" customFormat="false" ht="12.75" hidden="false" customHeight="true" outlineLevel="0" collapsed="false"/>
    <row r="65278" customFormat="false" ht="12.75" hidden="false" customHeight="true" outlineLevel="0" collapsed="false"/>
    <row r="65279" customFormat="false" ht="12.75" hidden="false" customHeight="true" outlineLevel="0" collapsed="false"/>
    <row r="65280" customFormat="false" ht="12.75" hidden="false" customHeight="true" outlineLevel="0" collapsed="false"/>
    <row r="65281" customFormat="false" ht="12.75" hidden="false" customHeight="true" outlineLevel="0" collapsed="false"/>
    <row r="65282" customFormat="false" ht="12.75" hidden="false" customHeight="true" outlineLevel="0" collapsed="false"/>
    <row r="65283" customFormat="false" ht="12.75" hidden="false" customHeight="true" outlineLevel="0" collapsed="false"/>
    <row r="65284" customFormat="false" ht="12.75" hidden="false" customHeight="true" outlineLevel="0" collapsed="false"/>
    <row r="65285" customFormat="false" ht="12.75" hidden="false" customHeight="true" outlineLevel="0" collapsed="false"/>
    <row r="65286" customFormat="false" ht="12.75" hidden="false" customHeight="true" outlineLevel="0" collapsed="false"/>
    <row r="65287" customFormat="false" ht="12.75" hidden="false" customHeight="true" outlineLevel="0" collapsed="false"/>
    <row r="65288" customFormat="false" ht="12.75" hidden="false" customHeight="true" outlineLevel="0" collapsed="false"/>
    <row r="65289" customFormat="false" ht="12.75" hidden="false" customHeight="true" outlineLevel="0" collapsed="false"/>
  </sheetData>
  <sheetProtection algorithmName="SHA-512" hashValue="gmerXEVOXMLuonL4aYipjtRM5e/nBgMgqFb7puYLADZz/tNFXtk18hKFl9t8PcFqRSWVg0EGm6kmCbT+Ez3faQ==" saltValue="vL20JGv7soGwyjqYLO779Q==" spinCount="100000" sheet="true" objects="true" scenarios="true" autoFilter="false"/>
  <autoFilter ref="C15:C21"/>
  <mergeCells count="15">
    <mergeCell ref="F6:H6"/>
    <mergeCell ref="Q6:R6"/>
    <mergeCell ref="Y6:Z6"/>
    <mergeCell ref="F7:H7"/>
    <mergeCell ref="Q7:R7"/>
    <mergeCell ref="Y7:Z7"/>
    <mergeCell ref="E9:F9"/>
    <mergeCell ref="G9:H9"/>
    <mergeCell ref="S9:T9"/>
    <mergeCell ref="U9:Z9"/>
    <mergeCell ref="E10:F10"/>
    <mergeCell ref="G10:H10"/>
    <mergeCell ref="S10:T10"/>
    <mergeCell ref="U10:Z10"/>
    <mergeCell ref="E15:H15"/>
  </mergeCells>
  <conditionalFormatting sqref="H14 H16:H18 H19:H20">
    <cfRule type="expression" priority="2" aboveAverage="0" equalAverage="0" bottom="0" percent="0" rank="0" text="" dxfId="45">
      <formula>$J14="►S"</formula>
    </cfRule>
  </conditionalFormatting>
  <conditionalFormatting sqref="Q14:AA14 Q16:AA16 Q17:AA18 Q19:AA19 W20:AA20 Q20:V20">
    <cfRule type="expression" priority="3" aboveAverage="0" equalAverage="0" bottom="0" percent="0" rank="0" text="" dxfId="46">
      <formula>Q14&lt;&gt;ROUND(Q14,2)</formula>
    </cfRule>
  </conditionalFormatting>
  <conditionalFormatting sqref="N12">
    <cfRule type="cellIs" priority="4" operator="notEqual" aboveAverage="0" equalAverage="0" bottom="0" percent="0" rank="0" text="" dxfId="47">
      <formula>"FRENTES DE OBRA:"</formula>
    </cfRule>
  </conditionalFormatting>
  <conditionalFormatting sqref="N14 N16:N18 N19:N20">
    <cfRule type="expression" priority="5" aboveAverage="0" equalAverage="0" bottom="0" percent="0" rank="0" text="" dxfId="48">
      <formula>$J14="►"</formula>
    </cfRule>
  </conditionalFormatting>
  <conditionalFormatting sqref="O12:AA21">
    <cfRule type="expression" priority="6" aboveAverage="0" equalAverage="0" bottom="0" percent="0" rank="0" text="" dxfId="49">
      <formula>ACOMPANHAMENTO="BM"</formula>
    </cfRule>
    <cfRule type="expression" priority="7" aboveAverage="0" equalAverage="0" bottom="0" percent="0" rank="0" text="" dxfId="50">
      <formula>AND(O$12&lt;&gt;".",OR($B12=0,$B12=2,$B12=3,$B12=4,AND(O$12="",$B12&lt;&gt;"Empty"),OFFSET(O$1,0,-1)=0))</formula>
    </cfRule>
    <cfRule type="expression" priority="8" aboveAverage="0" equalAverage="0" bottom="0" percent="0" rank="0" text="" dxfId="51">
      <formula>AND($B12=1,O$1=1)</formula>
    </cfRule>
  </conditionalFormatting>
  <conditionalFormatting sqref="D14:G14 I14 D16:I18 H14 D19:G20 I19:I20 H19:H20">
    <cfRule type="expression" priority="9" aboveAverage="0" equalAverage="0" bottom="0" percent="0" rank="0" text="" dxfId="52">
      <formula>$B14=1</formula>
    </cfRule>
    <cfRule type="expression" priority="10" aboveAverage="0" equalAverage="0" bottom="0" percent="0" rank="0" text="" dxfId="53">
      <formula>OR($B14=0,$B14=2,$B14=3,$B14=4)</formula>
    </cfRule>
  </conditionalFormatting>
  <conditionalFormatting sqref="M21:N21 M12:N18 M19:N20">
    <cfRule type="expression" priority="11" aboveAverage="0" equalAverage="0" bottom="0" percent="0" rank="0" text="" dxfId="54">
      <formula>ACOMPANHAMENTO="BM"</formula>
    </cfRule>
    <cfRule type="expression" priority="12" aboveAverage="0" equalAverage="0" bottom="0" percent="0" rank="0" text="" dxfId="55">
      <formula>OR($B12=0,$B12=2,$B12=3,$B12=4)</formula>
    </cfRule>
    <cfRule type="expression" priority="13" aboveAverage="0" equalAverage="0" bottom="0" percent="0" rank="0" text="" dxfId="56">
      <formula>$B12=1</formula>
    </cfRule>
  </conditionalFormatting>
  <conditionalFormatting sqref="K12:K21">
    <cfRule type="expression" priority="14" aboveAverage="0" equalAverage="0" bottom="0" percent="0" rank="0" text="" dxfId="57">
      <formula>OR(ACOMPANHAMENTO="BM",$A$12&lt;&gt;"Manual")</formula>
    </cfRule>
    <cfRule type="expression" priority="15" aboveAverage="0" equalAverage="0" bottom="0" percent="0" rank="0" text="" dxfId="58">
      <formula>$B12=1</formula>
    </cfRule>
    <cfRule type="expression" priority="16" aboveAverage="0" equalAverage="0" bottom="0" percent="0" rank="0" text="" dxfId="59">
      <formula>OR($B12=2,$B12=3,$B12=4,$B12=0)</formula>
    </cfRule>
  </conditionalFormatting>
  <conditionalFormatting sqref="Q15:Z15 O15">
    <cfRule type="expression" priority="17" aboveAverage="0" equalAverage="0" bottom="0" percent="0" rank="0" text="" dxfId="60">
      <formula>O$11="▼"</formula>
    </cfRule>
  </conditionalFormatting>
  <dataValidations count="4">
    <dataValidation allowBlank="true" error="Apenas números decimais maiores que zero." errorStyle="stop" operator="greaterThan" showDropDown="false" showErrorMessage="true" showInputMessage="false" sqref="O14 Q14:Z14 O16:O20 Q16:Z20" type="decimal">
      <formula1>0</formula1>
      <formula2>0</formula2>
    </dataValidation>
    <dataValidation allowBlank="true" errorStyle="stop" operator="between" prompt="A quantidade é digitada nas colunas Q em diante, após preencher o nome das frentes de obra na célula Q12 em diante" showDropDown="false" showErrorMessage="true" showInputMessage="true" sqref="H14 H16:H20" type="none">
      <formula1>0</formula1>
      <formula2>0</formula2>
    </dataValidation>
    <dataValidation allowBlank="true" errorStyle="stop" operator="between" prompt="A frente de obra é uma porção física da obra. Exemplos: Única; Rua A; Rua B; Trecho 01; Trecho 02; 1º Andar; 2º Andar; Copa; Banheiro" showDropDown="false" showErrorMessage="true" showInputMessage="true" sqref="Q12" type="none">
      <formula1>0</formula1>
      <formula2>0</formula2>
    </dataValidation>
    <dataValidation allowBlank="true" error="Selecione um dos eventos da lista suspensa." errorStyle="stop" errorTitle="Erro:" operator="between" prompt="Selecione um dos eventos da lista suspensa.&#10;" showDropDown="false" showErrorMessage="true" showInputMessage="true" sqref="K14 K16:K20" type="list">
      <formula1>EVENTOS.ListaValidacao</formula1>
      <formula2>0</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100" fitToWidth="1" fitToHeight="0" pageOrder="downThenOver" orientation="landscape" blackAndWhite="false" draft="false" cellComments="none" horizontalDpi="300" verticalDpi="300" copies="1"/>
  <headerFooter differentFirst="false" differentOddEven="false">
    <oddHeader>&amp;C&amp;14I</oddHeader>
    <oddFooter>&amp;LPMv3.16&amp;R&amp;P / &amp;N</oddFooter>
  </headerFooter>
  <colBreaks count="1" manualBreakCount="1">
    <brk id="27" man="true" max="65535" min="0"/>
  </colBreaks>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E4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3" ySplit="13" topLeftCell="D14" activePane="bottomRight" state="frozen"/>
      <selection pane="topLeft" activeCell="A1" activeCellId="0" sqref="A1"/>
      <selection pane="topRight" activeCell="D1" activeCellId="0" sqref="D1"/>
      <selection pane="bottomLeft" activeCell="A14" activeCellId="0" sqref="A14"/>
      <selection pane="bottomRight" activeCell="A1" activeCellId="0" sqref="A1"/>
    </sheetView>
  </sheetViews>
  <sheetFormatPr defaultColWidth="8.6796875" defaultRowHeight="12.75" customHeight="false" zeroHeight="false" outlineLevelRow="0" outlineLevelCol="0"/>
  <cols>
    <col collapsed="false" customWidth="true" hidden="false" outlineLevel="0" max="1" min="1" style="0" width="3.57"/>
    <col collapsed="false" customWidth="true" hidden="false" outlineLevel="0" max="2" min="2" style="0" width="8.15"/>
    <col collapsed="false" customWidth="true" hidden="false" outlineLevel="0" max="3" min="3" style="0" width="36.86"/>
    <col collapsed="false" customWidth="true" hidden="false" outlineLevel="0" max="4" min="4" style="0" width="0.86"/>
    <col collapsed="false" customWidth="true" hidden="true" outlineLevel="0" max="6" min="5" style="0" width="9.14"/>
    <col collapsed="false" customWidth="true" hidden="false" outlineLevel="0" max="31" min="7" style="0" width="5.57"/>
    <col collapsed="false" customWidth="true" hidden="true" outlineLevel="0" max="32" min="32" style="0" width="5.57"/>
  </cols>
  <sheetData>
    <row r="1" customFormat="false" ht="12.75" hidden="true" customHeight="false" outlineLevel="0" collapsed="false">
      <c r="A1" s="48" t="e">
        <f aca="false">IF(AUTOEVENTO="Manual",IF(EVENTOS!$F1&gt;0,"F",""),IF(AND(B1&gt;0,B1&lt;=MAX(CÁLCULO!$M$15:$M$21)),"F",""))</f>
        <v>#VALUE!</v>
      </c>
      <c r="B1" s="372" t="e">
        <f aca="true">OFFSET(B1,-1,0)+1</f>
        <v>#VALUE!</v>
      </c>
      <c r="C1" s="373" t="e">
        <f aca="true">IF(AUTOEVENTO="Manual",IF($B1&gt;0,OFFSET(EVENTOS!$D$15,$B1-$B$15,0),0),IF(B1&lt;=MAX(CÁLCULO!$M$15:$M$21),VLOOKUP($B1,CÁLCULO!$M$15:$N$21,2,FALSE()),0))</f>
        <v>#VALUE!</v>
      </c>
      <c r="D1" s="374"/>
      <c r="E1" s="375"/>
      <c r="F1" s="0" t="e">
        <f aca="false">IF($C1=0,"",CONCATENATE($B1,". ",$C1))</f>
        <v>#VALUE!</v>
      </c>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row>
    <row r="2" customFormat="false" ht="30" hidden="false" customHeight="true" outlineLevel="0" collapsed="false">
      <c r="G2" s="155" t="s">
        <v>861</v>
      </c>
      <c r="AC2" s="377" t="s">
        <v>831</v>
      </c>
      <c r="AD2" s="377"/>
      <c r="AE2" s="377"/>
    </row>
    <row r="3" customFormat="false" ht="12.75" hidden="false" customHeight="true" outlineLevel="0" collapsed="false">
      <c r="G3" s="155"/>
      <c r="AD3" s="378"/>
      <c r="AE3" s="378"/>
    </row>
    <row r="4" customFormat="false" ht="12.75" hidden="false" customHeight="true" outlineLevel="0" collapsed="false">
      <c r="B4" s="100" t="s">
        <v>710</v>
      </c>
      <c r="C4" s="100"/>
      <c r="D4" s="100"/>
      <c r="G4" s="171" t="s">
        <v>708</v>
      </c>
      <c r="H4" s="171"/>
      <c r="I4" s="171"/>
      <c r="J4" s="171" t="s">
        <v>772</v>
      </c>
      <c r="K4" s="171"/>
      <c r="L4" s="171"/>
      <c r="M4" s="266" t="s">
        <v>832</v>
      </c>
      <c r="N4" s="379"/>
      <c r="P4" s="380"/>
      <c r="Q4" s="380"/>
      <c r="R4" s="380"/>
      <c r="U4" s="267"/>
      <c r="V4" s="380"/>
      <c r="W4" s="380"/>
      <c r="X4" s="380"/>
      <c r="Y4" s="380"/>
      <c r="AD4" s="378"/>
      <c r="AE4" s="381"/>
    </row>
    <row r="5" customFormat="false" ht="12.75" hidden="false" customHeight="true" outlineLevel="0" collapsed="false">
      <c r="B5" s="101" t="n">
        <f aca="false">Import.Proponente</f>
        <v>0</v>
      </c>
      <c r="C5" s="101"/>
      <c r="D5" s="101"/>
      <c r="G5" s="180" t="n">
        <f aca="false">Import.CR</f>
        <v>0</v>
      </c>
      <c r="H5" s="180"/>
      <c r="I5" s="180"/>
      <c r="J5" s="180" t="n">
        <f aca="false">Import.SICONV</f>
        <v>0</v>
      </c>
      <c r="K5" s="180"/>
      <c r="L5" s="180"/>
      <c r="M5" s="271" t="str">
        <f aca="false">Import.Apelido</f>
        <v>REVITALIZAÇÃO DIVERSAS RUAS</v>
      </c>
      <c r="N5" s="271"/>
      <c r="O5" s="271"/>
      <c r="P5" s="271"/>
      <c r="Q5" s="271"/>
      <c r="R5" s="271"/>
      <c r="S5" s="271"/>
      <c r="T5" s="271"/>
      <c r="U5" s="271"/>
      <c r="V5" s="271"/>
      <c r="W5" s="271"/>
      <c r="X5" s="271"/>
      <c r="Y5" s="271"/>
      <c r="Z5" s="271"/>
      <c r="AA5" s="271"/>
      <c r="AB5" s="271"/>
      <c r="AC5" s="271"/>
      <c r="AD5" s="271"/>
      <c r="AE5" s="271"/>
    </row>
    <row r="6" customFormat="false" ht="14.25" hidden="false" customHeight="true" outlineLevel="0" collapsed="false">
      <c r="B6" s="62" t="e">
        <f aca="true" t="array" ref="B6:B6">IF(ACOMPANHAMENTO="BM","NO ACOMPANHAMENTO POR BM, UTILIZE A ABA CRONO",
  IF(MAX($B$14:$B$33)&lt;MAX(CÁLCULO!$M$15:$M$21),"ERRO: NÚMERO DE EVENTOS INSUFICIENTE, CLIQUE EM ATUALIZAR LINHAS",
  IF(ROUND(OFFSET(CRONO!$AG$78,0,-1),2)&lt;&gt;CRONO!$R$69,"ERRO: CRONOGRAMA NÃO FECHA 100%","")))</f>
        <v>#VALUE!</v>
      </c>
    </row>
    <row r="7" customFormat="false" ht="15" hidden="false" customHeight="true" outlineLevel="0" collapsed="false">
      <c r="B7" s="334" t="str">
        <f aca="false" t="array" ref="B7:B7">IF(AdmLocal="Automática","","1. Selecione o Título do Evento da Administração Local:")</f>
        <v>1. Selecione o Título do Evento da Administração Local:</v>
      </c>
    </row>
    <row r="8" customFormat="false" ht="12.75" hidden="false" customHeight="false" outlineLevel="0" collapsed="false">
      <c r="A8" s="382" t="str">
        <f aca="false">MID(Import.EventoAdmLocal,1,SEARCH(".",Import.EventoAdmLocal)-1)</f>
        <v>1</v>
      </c>
      <c r="B8" s="272" t="s">
        <v>862</v>
      </c>
      <c r="C8" s="272"/>
      <c r="D8" s="108" t="str">
        <f aca="false">IF($B$7="","",IF(AND($B$15=0,$B$8=""),"◄ Não foi indicado o Evento de Administração Local",IF(ISERROR(MATCH(Import.EventoAdmLocal,$F$15:$F$33,0)),"◄ Selecione um Título de Evento válido para a Administração Local","")))</f>
        <v>◄ Selecione um Título de Evento válido para a Administração Local</v>
      </c>
    </row>
    <row r="9" customFormat="false" ht="3.75" hidden="false" customHeight="true" outlineLevel="0" collapsed="false">
      <c r="A9" s="382"/>
    </row>
    <row r="10" customFormat="false" ht="15" hidden="false" customHeight="true" outlineLevel="0" collapsed="false">
      <c r="A10" s="382" t="n">
        <f aca="false">MATCH(VALUE(A8),CÁLCULO!$M$15:$M$21,0)-2</f>
        <v>2</v>
      </c>
      <c r="B10" s="334" t="str">
        <f aca="false">CONCATENATE(IF(AdmLocal="Automática",1,2),". Digite nas células em amarelo o número do período em que os eventos serão concluídos:")</f>
        <v>2. Digite nas células em amarelo o número do período em que os eventos serão concluídos:</v>
      </c>
    </row>
    <row r="11" customFormat="false" ht="65.25" hidden="false" customHeight="true" outlineLevel="0" collapsed="false">
      <c r="A11" s="321" t="s">
        <v>713</v>
      </c>
      <c r="C11" s="383"/>
      <c r="E11" s="384" t="str">
        <f aca="true">IF(E$12&gt;CÁLCULO.FrentesPreenchidas,"",OFFSET(CÁLCULO!$P$12,0,E$12))</f>
        <v>FRENTE 1 </v>
      </c>
      <c r="G11" s="384" t="str">
        <f aca="true">IF(G$12&gt;CÁLCULO.FrentesPreenchidas,"",OFFSET(CÁLCULO!$P$12,0,G$12))</f>
        <v>FRENTE 1 </v>
      </c>
      <c r="H11" s="384" t="str">
        <f aca="true">IF(H$12&gt;CÁLCULO.FrentesPreenchidas,"",OFFSET(CÁLCULO!$P$12,0,H$12))</f>
        <v>FRENTE 2</v>
      </c>
      <c r="I11" s="384" t="str">
        <f aca="true">IF(I$12&gt;CÁLCULO.FrentesPreenchidas,"",OFFSET(CÁLCULO!$P$12,0,I$12))</f>
        <v>FRENTE 3</v>
      </c>
      <c r="J11" s="384" t="str">
        <f aca="true">IF(J$12&gt;CÁLCULO.FrentesPreenchidas,"",OFFSET(CÁLCULO!$P$12,0,J$12))</f>
        <v>FRENTE 4</v>
      </c>
      <c r="K11" s="384" t="str">
        <f aca="true">IF(K$12&gt;CÁLCULO.FrentesPreenchidas,"",OFFSET(CÁLCULO!$P$12,0,K$12))</f>
        <v>FRENTE 5</v>
      </c>
      <c r="L11" s="384" t="str">
        <f aca="true">IF(L$12&gt;CÁLCULO.FrentesPreenchidas,"",OFFSET(CÁLCULO!$P$12,0,L$12))</f>
        <v>FRENTE 6 </v>
      </c>
      <c r="M11" s="384" t="str">
        <f aca="true">IF(M$12&gt;CÁLCULO.FrentesPreenchidas,"",OFFSET(CÁLCULO!$P$12,0,M$12))</f>
        <v/>
      </c>
      <c r="N11" s="384" t="str">
        <f aca="true">IF(N$12&gt;CÁLCULO.FrentesPreenchidas,"",OFFSET(CÁLCULO!$P$12,0,N$12))</f>
        <v/>
      </c>
      <c r="O11" s="384" t="str">
        <f aca="true">IF(O$12&gt;CÁLCULO.FrentesPreenchidas,"",OFFSET(CÁLCULO!$P$12,0,O$12))</f>
        <v/>
      </c>
      <c r="P11" s="384" t="str">
        <f aca="true">IF(P$12&gt;CÁLCULO.FrentesPreenchidas,"",OFFSET(CÁLCULO!$P$12,0,P$12))</f>
        <v/>
      </c>
      <c r="Q11" s="384" t="str">
        <f aca="true">IF(Q$12&gt;CÁLCULO.FrentesPreenchidas,"",OFFSET(CÁLCULO!$P$12,0,Q$12))</f>
        <v/>
      </c>
      <c r="R11" s="384" t="str">
        <f aca="true">IF(R$12&gt;CÁLCULO.FrentesPreenchidas,"",OFFSET(CÁLCULO!$P$12,0,R$12))</f>
        <v/>
      </c>
      <c r="S11" s="384" t="str">
        <f aca="true">IF(S$12&gt;CÁLCULO.FrentesPreenchidas,"",OFFSET(CÁLCULO!$P$12,0,S$12))</f>
        <v/>
      </c>
      <c r="T11" s="384" t="str">
        <f aca="true">IF(T$12&gt;CÁLCULO.FrentesPreenchidas,"",OFFSET(CÁLCULO!$P$12,0,T$12))</f>
        <v/>
      </c>
      <c r="U11" s="384" t="str">
        <f aca="true">IF(U$12&gt;CÁLCULO.FrentesPreenchidas,"",OFFSET(CÁLCULO!$P$12,0,U$12))</f>
        <v/>
      </c>
      <c r="V11" s="384" t="str">
        <f aca="true">IF(V$12&gt;CÁLCULO.FrentesPreenchidas,"",OFFSET(CÁLCULO!$P$12,0,V$12))</f>
        <v/>
      </c>
      <c r="W11" s="384" t="str">
        <f aca="true">IF(W$12&gt;CÁLCULO.FrentesPreenchidas,"",OFFSET(CÁLCULO!$P$12,0,W$12))</f>
        <v/>
      </c>
      <c r="X11" s="384" t="str">
        <f aca="true">IF(X$12&gt;CÁLCULO.FrentesPreenchidas,"",OFFSET(CÁLCULO!$P$12,0,X$12))</f>
        <v/>
      </c>
      <c r="Y11" s="384" t="str">
        <f aca="true">IF(Y$12&gt;CÁLCULO.FrentesPreenchidas,"",OFFSET(CÁLCULO!$P$12,0,Y$12))</f>
        <v/>
      </c>
      <c r="Z11" s="384" t="str">
        <f aca="true">IF(Z$12&gt;CÁLCULO.FrentesPreenchidas,"",OFFSET(CÁLCULO!$P$12,0,Z$12))</f>
        <v/>
      </c>
      <c r="AA11" s="384" t="str">
        <f aca="true">IF(AA$12&gt;CÁLCULO.FrentesPreenchidas,"",OFFSET(CÁLCULO!$P$12,0,AA$12))</f>
        <v/>
      </c>
      <c r="AB11" s="384" t="str">
        <f aca="true">IF(AB$12&gt;CÁLCULO.FrentesPreenchidas,"",OFFSET(CÁLCULO!$P$12,0,AB$12))</f>
        <v/>
      </c>
      <c r="AC11" s="384" t="str">
        <f aca="true">IF(AC$12&gt;CÁLCULO.FrentesPreenchidas,"",OFFSET(CÁLCULO!$P$12,0,AC$12))</f>
        <v/>
      </c>
      <c r="AD11" s="384" t="str">
        <f aca="true">IF(AD$12&gt;CÁLCULO.FrentesPreenchidas,"",OFFSET(CÁLCULO!$P$12,0,AD$12))</f>
        <v/>
      </c>
      <c r="AE11" s="384" t="str">
        <f aca="true">IF(AE$12&gt;CÁLCULO.FrentesPreenchidas,"",OFFSET(CÁLCULO!$P$12,0,AE$12))</f>
        <v/>
      </c>
    </row>
    <row r="12" customFormat="false" ht="12.75" hidden="false" customHeight="true" outlineLevel="0" collapsed="false">
      <c r="A12" s="333" t="s">
        <v>718</v>
      </c>
      <c r="B12" s="385" t="s">
        <v>838</v>
      </c>
      <c r="C12" s="385" t="s">
        <v>863</v>
      </c>
      <c r="E12" s="386" t="n">
        <f aca="true">OFFSET(E12,0,-1)+1</f>
        <v>1</v>
      </c>
      <c r="G12" s="386" t="n">
        <f aca="true">OFFSET(G12,0,-1)+1</f>
        <v>1</v>
      </c>
      <c r="H12" s="386" t="n">
        <f aca="true">OFFSET(H12,0,-1)+1</f>
        <v>2</v>
      </c>
      <c r="I12" s="386" t="n">
        <f aca="true">OFFSET(I12,0,-1)+1</f>
        <v>3</v>
      </c>
      <c r="J12" s="386" t="n">
        <f aca="true">OFFSET(J12,0,-1)+1</f>
        <v>4</v>
      </c>
      <c r="K12" s="386" t="n">
        <f aca="true">OFFSET(K12,0,-1)+1</f>
        <v>5</v>
      </c>
      <c r="L12" s="386" t="n">
        <f aca="true">OFFSET(L12,0,-1)+1</f>
        <v>6</v>
      </c>
      <c r="M12" s="386" t="n">
        <f aca="true">OFFSET(M12,0,-1)+1</f>
        <v>7</v>
      </c>
      <c r="N12" s="386" t="n">
        <f aca="true">OFFSET(N12,0,-1)+1</f>
        <v>8</v>
      </c>
      <c r="O12" s="386" t="n">
        <f aca="true">OFFSET(O12,0,-1)+1</f>
        <v>9</v>
      </c>
      <c r="P12" s="386" t="n">
        <f aca="true">OFFSET(P12,0,-1)+1</f>
        <v>10</v>
      </c>
      <c r="Q12" s="386" t="n">
        <f aca="true">OFFSET(Q12,0,-1)+1</f>
        <v>11</v>
      </c>
      <c r="R12" s="386" t="n">
        <f aca="true">OFFSET(R12,0,-1)+1</f>
        <v>12</v>
      </c>
      <c r="S12" s="386" t="n">
        <f aca="true">OFFSET(S12,0,-1)+1</f>
        <v>13</v>
      </c>
      <c r="T12" s="386" t="n">
        <f aca="true">OFFSET(T12,0,-1)+1</f>
        <v>14</v>
      </c>
      <c r="U12" s="386" t="n">
        <f aca="true">OFFSET(U12,0,-1)+1</f>
        <v>15</v>
      </c>
      <c r="V12" s="386" t="n">
        <f aca="true">OFFSET(V12,0,-1)+1</f>
        <v>16</v>
      </c>
      <c r="W12" s="386" t="n">
        <f aca="true">OFFSET(W12,0,-1)+1</f>
        <v>17</v>
      </c>
      <c r="X12" s="386" t="n">
        <f aca="true">OFFSET(X12,0,-1)+1</f>
        <v>18</v>
      </c>
      <c r="Y12" s="386" t="n">
        <f aca="true">OFFSET(Y12,0,-1)+1</f>
        <v>19</v>
      </c>
      <c r="Z12" s="386" t="n">
        <f aca="true">OFFSET(Z12,0,-1)+1</f>
        <v>20</v>
      </c>
      <c r="AA12" s="386" t="n">
        <f aca="true">OFFSET(AA12,0,-1)+1</f>
        <v>21</v>
      </c>
      <c r="AB12" s="386" t="n">
        <f aca="true">OFFSET(AB12,0,-1)+1</f>
        <v>22</v>
      </c>
      <c r="AC12" s="386" t="n">
        <f aca="true">OFFSET(AC12,0,-1)+1</f>
        <v>23</v>
      </c>
      <c r="AD12" s="386" t="n">
        <f aca="true">OFFSET(AD12,0,-1)+1</f>
        <v>24</v>
      </c>
      <c r="AE12" s="386" t="n">
        <f aca="true">OFFSET(AE12,0,-1)+1</f>
        <v>25</v>
      </c>
    </row>
    <row r="13" customFormat="false" ht="12.75" hidden="false" customHeight="false" outlineLevel="0" collapsed="false">
      <c r="A13" s="387" t="s">
        <v>713</v>
      </c>
      <c r="B13" s="385"/>
      <c r="C13" s="385"/>
      <c r="E13" s="388"/>
      <c r="G13" s="389"/>
      <c r="H13" s="388"/>
      <c r="I13" s="388"/>
      <c r="J13" s="388"/>
      <c r="K13" s="388"/>
      <c r="L13" s="388"/>
      <c r="M13" s="390" t="e">
        <f aca="false">IF(CRONOPLE.Erro="ERRO: CRONOGRAMA NÃO FECHA 100%","Informe abaixo o NÚMERO DO PERÍODO em que os eventos serão concluídos","")</f>
        <v>#VALUE!</v>
      </c>
      <c r="N13" s="388"/>
      <c r="O13" s="388"/>
      <c r="P13" s="388"/>
      <c r="Q13" s="388"/>
      <c r="R13" s="388"/>
      <c r="S13" s="388"/>
      <c r="T13" s="388"/>
      <c r="U13" s="388"/>
      <c r="V13" s="388"/>
      <c r="W13" s="388"/>
      <c r="X13" s="388"/>
      <c r="Y13" s="388"/>
      <c r="Z13" s="388"/>
      <c r="AA13" s="388"/>
      <c r="AB13" s="388"/>
      <c r="AC13" s="388"/>
      <c r="AD13" s="388"/>
      <c r="AE13" s="391"/>
    </row>
    <row r="14" customFormat="false" ht="4.5" hidden="false" customHeight="true" outlineLevel="0" collapsed="false">
      <c r="A14" s="48" t="s">
        <v>594</v>
      </c>
    </row>
    <row r="15" customFormat="false" ht="12.75" hidden="false" customHeight="false" outlineLevel="0" collapsed="false">
      <c r="A15" s="48" t="str">
        <f aca="false">IF(AUTOEVENTO="Manual",IF(EVENTOS!$F15&gt;0,"F",""),IF(AND(B15&gt;0,B15&lt;=MAX(CÁLCULO!$M$15:$M$21)),"F",""))</f>
        <v/>
      </c>
      <c r="B15" s="392" t="n">
        <f aca="false">EVENTOS!$C$15</f>
        <v>0</v>
      </c>
      <c r="C15" s="393" t="str">
        <f aca="false">EVENTOS!$D$15</f>
        <v/>
      </c>
      <c r="D15" s="374"/>
      <c r="E15" s="394"/>
      <c r="F15" s="0" t="str">
        <f aca="false">IF($C15="","",CONCATENATE($B15,". ",$C15))</f>
        <v/>
      </c>
      <c r="G15" s="395" t="str">
        <f aca="false">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394"/>
      <c r="I15" s="394"/>
      <c r="J15" s="394"/>
      <c r="K15" s="394"/>
      <c r="L15" s="394"/>
      <c r="M15" s="394"/>
      <c r="N15" s="394"/>
      <c r="O15" s="394"/>
      <c r="P15" s="394"/>
      <c r="Q15" s="394"/>
      <c r="R15" s="394"/>
      <c r="S15" s="394"/>
      <c r="T15" s="394"/>
      <c r="U15" s="394"/>
      <c r="V15" s="394"/>
      <c r="W15" s="394"/>
      <c r="X15" s="394"/>
      <c r="Y15" s="394"/>
      <c r="Z15" s="394"/>
      <c r="AA15" s="394"/>
      <c r="AB15" s="394"/>
      <c r="AC15" s="394"/>
      <c r="AD15" s="394"/>
      <c r="AE15" s="396"/>
    </row>
    <row r="16" customFormat="false" ht="12.75" hidden="false" customHeight="false" outlineLevel="0" collapsed="false">
      <c r="A16" s="48" t="str">
        <f aca="false">IF(AUTOEVENTO="Manual",IF(EVENTOS!$F16&gt;0,"F",""),IF(AND(B16&gt;0,B16&lt;=MAX(CÁLCULO!$M$15:$M$21)),"F",""))</f>
        <v>F</v>
      </c>
      <c r="B16" s="372" t="n">
        <f aca="true">OFFSET(B16,-1,0)+1</f>
        <v>1</v>
      </c>
      <c r="C16" s="373" t="str">
        <f aca="true">IF(AUTOEVENTO="Manual",IF($B16&gt;0,OFFSET(EVENTOS!$D$15,$B16-$B$15,0),0),IF(B16&lt;=MAX(CÁLCULO!$M$15:$M$21),VLOOKUP($B16,CÁLCULO!$M$15:$N$21,2,FALSE()),0))</f>
        <v>PAVIMENTAÇÃO DE PARALELEPÍPEDOS</v>
      </c>
      <c r="D16" s="374"/>
      <c r="E16" s="375"/>
      <c r="F16" s="0" t="str">
        <f aca="false">IF($C16=0,"",CONCATENATE($B16,". ",$C16))</f>
        <v>1. PAVIMENTAÇÃO DE PARALELEPÍPEDOS</v>
      </c>
      <c r="G16" s="376" t="n">
        <v>1</v>
      </c>
      <c r="H16" s="376" t="n">
        <v>2</v>
      </c>
      <c r="I16" s="376" t="n">
        <v>3</v>
      </c>
      <c r="J16" s="376" t="n">
        <v>4</v>
      </c>
      <c r="K16" s="376" t="n">
        <v>5</v>
      </c>
      <c r="L16" s="376" t="n">
        <v>6</v>
      </c>
      <c r="M16" s="376"/>
      <c r="N16" s="376"/>
      <c r="O16" s="376"/>
      <c r="P16" s="376"/>
      <c r="Q16" s="376"/>
      <c r="R16" s="376"/>
      <c r="S16" s="376"/>
      <c r="T16" s="376"/>
      <c r="U16" s="376"/>
      <c r="V16" s="376"/>
      <c r="W16" s="376"/>
      <c r="X16" s="376"/>
      <c r="Y16" s="376"/>
      <c r="Z16" s="376"/>
      <c r="AA16" s="376"/>
      <c r="AB16" s="376"/>
      <c r="AC16" s="376"/>
      <c r="AD16" s="376"/>
      <c r="AE16" s="376"/>
    </row>
    <row r="17" customFormat="false" ht="12.75" hidden="false" customHeight="false" outlineLevel="0" collapsed="false">
      <c r="A17" s="48" t="str">
        <f aca="false">IF(AUTOEVENTO="Manual",IF(EVENTOS!$F17&gt;0,"F",""),IF(AND(B17&gt;0,B17&lt;=MAX(CÁLCULO!$M$15:$M$21)),"F",""))</f>
        <v>F</v>
      </c>
      <c r="B17" s="372" t="n">
        <f aca="true">OFFSET(B17,-1,0)+1</f>
        <v>2</v>
      </c>
      <c r="C17" s="373" t="str">
        <f aca="true">IF(AUTOEVENTO="Manual",IF($B17&gt;0,OFFSET(EVENTOS!$D$15,$B17-$B$15,0),0),IF(B17&lt;=MAX(CÁLCULO!$M$15:$M$21),VLOOKUP($B17,CÁLCULO!$M$15:$N$21,2,FALSE()),0))</f>
        <v>ACAMENTO DE PAVIMENTAÇÃO COM PARALELPÍPEDOS</v>
      </c>
      <c r="D17" s="374"/>
      <c r="E17" s="375"/>
      <c r="F17" s="0" t="str">
        <f aca="false">IF($C17=0,"",CONCATENATE($B17,". ",$C17))</f>
        <v>2. ACAMENTO DE PAVIMENTAÇÃO COM PARALELPÍPEDOS</v>
      </c>
      <c r="G17" s="376" t="n">
        <v>1</v>
      </c>
      <c r="H17" s="376" t="n">
        <v>2</v>
      </c>
      <c r="I17" s="376" t="n">
        <v>3</v>
      </c>
      <c r="J17" s="376" t="n">
        <v>4</v>
      </c>
      <c r="K17" s="376" t="n">
        <v>5</v>
      </c>
      <c r="L17" s="376" t="n">
        <v>6</v>
      </c>
      <c r="M17" s="376"/>
      <c r="N17" s="376"/>
      <c r="O17" s="376"/>
      <c r="P17" s="376"/>
      <c r="Q17" s="376"/>
      <c r="R17" s="376"/>
      <c r="S17" s="376"/>
      <c r="T17" s="376"/>
      <c r="U17" s="376"/>
      <c r="V17" s="376"/>
      <c r="W17" s="376"/>
      <c r="X17" s="376"/>
      <c r="Y17" s="376"/>
      <c r="Z17" s="376"/>
      <c r="AA17" s="376"/>
      <c r="AB17" s="376"/>
      <c r="AC17" s="376"/>
      <c r="AD17" s="376"/>
      <c r="AE17" s="376"/>
    </row>
    <row r="18" customFormat="false" ht="12.75" hidden="false" customHeight="false" outlineLevel="0" collapsed="false">
      <c r="A18" s="48" t="str">
        <f aca="false">IF(AUTOEVENTO="Manual",IF(EVENTOS!$F18&gt;0,"F",""),IF(AND(B18&gt;0,B18&lt;=MAX(CÁLCULO!$M$15:$M$21)),"F",""))</f>
        <v/>
      </c>
      <c r="B18" s="372" t="n">
        <f aca="true">OFFSET(B18,-1,0)+1</f>
        <v>3</v>
      </c>
      <c r="C18" s="373" t="n">
        <f aca="true">IF(AUTOEVENTO="Manual",IF($B18&gt;0,OFFSET(EVENTOS!$D$15,$B18-$B$15,0),0),IF(B18&lt;=MAX(CÁLCULO!$M$15:$M$21),VLOOKUP($B18,CÁLCULO!$M$15:$N$21,2,FALSE()),0))</f>
        <v>0</v>
      </c>
      <c r="D18" s="374"/>
      <c r="E18" s="375"/>
      <c r="F18" s="0" t="str">
        <f aca="false">IF($C18=0,"",CONCATENATE($B18,". ",$C18))</f>
        <v/>
      </c>
      <c r="G18" s="376" t="n">
        <v>1</v>
      </c>
      <c r="H18" s="376"/>
      <c r="I18" s="376"/>
      <c r="J18" s="376"/>
      <c r="K18" s="376" t="n">
        <v>5</v>
      </c>
      <c r="L18" s="376"/>
      <c r="M18" s="376"/>
      <c r="N18" s="376"/>
      <c r="O18" s="376"/>
      <c r="P18" s="376"/>
      <c r="Q18" s="376"/>
      <c r="R18" s="376"/>
      <c r="S18" s="376"/>
      <c r="T18" s="376"/>
      <c r="U18" s="376"/>
      <c r="V18" s="376"/>
      <c r="W18" s="376"/>
      <c r="X18" s="376"/>
      <c r="Y18" s="376"/>
      <c r="Z18" s="376"/>
      <c r="AA18" s="376"/>
      <c r="AB18" s="376"/>
      <c r="AC18" s="376"/>
      <c r="AD18" s="376"/>
      <c r="AE18" s="376"/>
    </row>
    <row r="19" customFormat="false" ht="12.75" hidden="false" customHeight="false" outlineLevel="0" collapsed="false">
      <c r="A19" s="48" t="str">
        <f aca="false">IF(AUTOEVENTO="Manual",IF(EVENTOS!$F19&gt;0,"F",""),IF(AND(B19&gt;0,B19&lt;=MAX(CÁLCULO!$M$15:$M$21)),"F",""))</f>
        <v/>
      </c>
      <c r="B19" s="372" t="n">
        <f aca="true">OFFSET(B19,-1,0)+1</f>
        <v>4</v>
      </c>
      <c r="C19" s="373" t="n">
        <f aca="true">IF(AUTOEVENTO="Manual",IF($B19&gt;0,OFFSET(EVENTOS!$D$15,$B19-$B$15,0),0),IF(B19&lt;=MAX(CÁLCULO!$M$15:$M$21),VLOOKUP($B19,CÁLCULO!$M$15:$N$21,2,FALSE()),0))</f>
        <v>0</v>
      </c>
      <c r="D19" s="374"/>
      <c r="E19" s="375"/>
      <c r="F19" s="0" t="str">
        <f aca="false">IF($C19=0,"",CONCATENATE($B19,". ",$C19))</f>
        <v/>
      </c>
      <c r="G19" s="376" t="n">
        <v>1</v>
      </c>
      <c r="H19" s="376"/>
      <c r="I19" s="376"/>
      <c r="J19" s="376"/>
      <c r="K19" s="376" t="n">
        <v>5</v>
      </c>
      <c r="L19" s="376"/>
      <c r="M19" s="376"/>
      <c r="N19" s="376"/>
      <c r="O19" s="376"/>
      <c r="P19" s="376"/>
      <c r="Q19" s="376"/>
      <c r="R19" s="376"/>
      <c r="S19" s="376"/>
      <c r="T19" s="376"/>
      <c r="U19" s="376"/>
      <c r="V19" s="376"/>
      <c r="W19" s="376"/>
      <c r="X19" s="376"/>
      <c r="Y19" s="376"/>
      <c r="Z19" s="376"/>
      <c r="AA19" s="376"/>
      <c r="AB19" s="376"/>
      <c r="AC19" s="376"/>
      <c r="AD19" s="376"/>
      <c r="AE19" s="376"/>
    </row>
    <row r="20" customFormat="false" ht="12.75" hidden="false" customHeight="false" outlineLevel="0" collapsed="false">
      <c r="A20" s="48" t="str">
        <f aca="false">IF(AUTOEVENTO="Manual",IF(EVENTOS!$F20&gt;0,"F",""),IF(AND(B20&gt;0,B20&lt;=MAX(CÁLCULO!$M$15:$M$21)),"F",""))</f>
        <v/>
      </c>
      <c r="B20" s="372" t="n">
        <f aca="true">OFFSET(B20,-1,0)+1</f>
        <v>5</v>
      </c>
      <c r="C20" s="373" t="n">
        <f aca="true">IF(AUTOEVENTO="Manual",IF($B20&gt;0,OFFSET(EVENTOS!$D$15,$B20-$B$15,0),0),IF(B20&lt;=MAX(CÁLCULO!$M$15:$M$21),VLOOKUP($B20,CÁLCULO!$M$15:$N$21,2,FALSE()),0))</f>
        <v>0</v>
      </c>
      <c r="D20" s="374"/>
      <c r="E20" s="375"/>
      <c r="F20" s="0" t="str">
        <f aca="false">IF($C20=0,"",CONCATENATE($B20,". ",$C20))</f>
        <v/>
      </c>
      <c r="G20" s="376" t="n">
        <v>1</v>
      </c>
      <c r="H20" s="376"/>
      <c r="I20" s="376"/>
      <c r="J20" s="376"/>
      <c r="K20" s="376" t="n">
        <v>5</v>
      </c>
      <c r="L20" s="376"/>
      <c r="M20" s="376"/>
      <c r="N20" s="376"/>
      <c r="O20" s="376"/>
      <c r="P20" s="376"/>
      <c r="Q20" s="376"/>
      <c r="R20" s="376"/>
      <c r="S20" s="376"/>
      <c r="T20" s="376"/>
      <c r="U20" s="376"/>
      <c r="V20" s="376"/>
      <c r="W20" s="376"/>
      <c r="X20" s="376"/>
      <c r="Y20" s="376"/>
      <c r="Z20" s="376"/>
      <c r="AA20" s="376"/>
      <c r="AB20" s="376"/>
      <c r="AC20" s="376"/>
      <c r="AD20" s="376"/>
      <c r="AE20" s="376"/>
    </row>
    <row r="21" customFormat="false" ht="12.75" hidden="false" customHeight="false" outlineLevel="0" collapsed="false">
      <c r="A21" s="48" t="str">
        <f aca="false">IF(AUTOEVENTO="Manual",IF(EVENTOS!$F21&gt;0,"F",""),IF(AND(B21&gt;0,B21&lt;=MAX(CÁLCULO!$M$15:$M$21)),"F",""))</f>
        <v/>
      </c>
      <c r="B21" s="372" t="n">
        <f aca="true">OFFSET(B21,-1,0)+1</f>
        <v>6</v>
      </c>
      <c r="C21" s="373" t="n">
        <f aca="true">IF(AUTOEVENTO="Manual",IF($B21&gt;0,OFFSET(EVENTOS!$D$15,$B21-$B$15,0),0),IF(B21&lt;=MAX(CÁLCULO!$M$15:$M$21),VLOOKUP($B21,CÁLCULO!$M$15:$N$21,2,FALSE()),0))</f>
        <v>0</v>
      </c>
      <c r="D21" s="374"/>
      <c r="E21" s="375"/>
      <c r="F21" s="0" t="str">
        <f aca="false">IF($C21=0,"",CONCATENATE($B21,". ",$C21))</f>
        <v/>
      </c>
      <c r="G21" s="376" t="n">
        <v>1</v>
      </c>
      <c r="H21" s="376"/>
      <c r="I21" s="376"/>
      <c r="J21" s="376"/>
      <c r="K21" s="376" t="n">
        <v>5</v>
      </c>
      <c r="L21" s="376"/>
      <c r="M21" s="376"/>
      <c r="N21" s="376"/>
      <c r="O21" s="376"/>
      <c r="P21" s="376"/>
      <c r="Q21" s="376"/>
      <c r="R21" s="376"/>
      <c r="S21" s="376"/>
      <c r="T21" s="376"/>
      <c r="U21" s="376"/>
      <c r="V21" s="376"/>
      <c r="W21" s="376"/>
      <c r="X21" s="376"/>
      <c r="Y21" s="376"/>
      <c r="Z21" s="376"/>
      <c r="AA21" s="376"/>
      <c r="AB21" s="376"/>
      <c r="AC21" s="376"/>
      <c r="AD21" s="376"/>
      <c r="AE21" s="376"/>
    </row>
    <row r="22" customFormat="false" ht="12.75" hidden="false" customHeight="false" outlineLevel="0" collapsed="false">
      <c r="A22" s="48" t="str">
        <f aca="false">IF(AUTOEVENTO="Manual",IF(EVENTOS!$F22&gt;0,"F",""),IF(AND(B22&gt;0,B22&lt;=MAX(CÁLCULO!$M$15:$M$21)),"F",""))</f>
        <v/>
      </c>
      <c r="B22" s="372" t="n">
        <f aca="true">OFFSET(B22,-1,0)+1</f>
        <v>7</v>
      </c>
      <c r="C22" s="373" t="n">
        <f aca="true">IF(AUTOEVENTO="Manual",IF($B22&gt;0,OFFSET(EVENTOS!$D$15,$B22-$B$15,0),0),IF(B22&lt;=MAX(CÁLCULO!$M$15:$M$21),VLOOKUP($B22,CÁLCULO!$M$15:$N$21,2,FALSE()),0))</f>
        <v>0</v>
      </c>
      <c r="D22" s="374"/>
      <c r="E22" s="375"/>
      <c r="F22" s="0" t="str">
        <f aca="false">IF($C22=0,"",CONCATENATE($B22,". ",$C22))</f>
        <v/>
      </c>
      <c r="G22" s="376" t="n">
        <v>1</v>
      </c>
      <c r="H22" s="376"/>
      <c r="I22" s="376"/>
      <c r="J22" s="376"/>
      <c r="K22" s="376" t="n">
        <v>5</v>
      </c>
      <c r="L22" s="376"/>
      <c r="M22" s="376"/>
      <c r="N22" s="376"/>
      <c r="O22" s="376"/>
      <c r="P22" s="376"/>
      <c r="Q22" s="376"/>
      <c r="R22" s="376"/>
      <c r="S22" s="376"/>
      <c r="T22" s="376"/>
      <c r="U22" s="376"/>
      <c r="V22" s="376"/>
      <c r="W22" s="376"/>
      <c r="X22" s="376"/>
      <c r="Y22" s="376"/>
      <c r="Z22" s="376"/>
      <c r="AA22" s="376"/>
      <c r="AB22" s="376"/>
      <c r="AC22" s="376"/>
      <c r="AD22" s="376"/>
      <c r="AE22" s="376"/>
    </row>
    <row r="23" customFormat="false" ht="12.75" hidden="false" customHeight="false" outlineLevel="0" collapsed="false">
      <c r="A23" s="48" t="str">
        <f aca="false">IF(AUTOEVENTO="Manual",IF(EVENTOS!$F23&gt;0,"F",""),IF(AND(B23&gt;0,B23&lt;=MAX(CÁLCULO!$M$15:$M$21)),"F",""))</f>
        <v/>
      </c>
      <c r="B23" s="372" t="n">
        <f aca="true">OFFSET(B23,-1,0)+1</f>
        <v>8</v>
      </c>
      <c r="C23" s="373" t="n">
        <f aca="true">IF(AUTOEVENTO="Manual",IF($B23&gt;0,OFFSET(EVENTOS!$D$15,$B23-$B$15,0),0),IF(B23&lt;=MAX(CÁLCULO!$M$15:$M$21),VLOOKUP($B23,CÁLCULO!$M$15:$N$21,2,FALSE()),0))</f>
        <v>0</v>
      </c>
      <c r="D23" s="374"/>
      <c r="E23" s="375"/>
      <c r="F23" s="0" t="str">
        <f aca="false">IF($C23=0,"",CONCATENATE($B23,". ",$C23))</f>
        <v/>
      </c>
      <c r="G23" s="376" t="n">
        <v>1</v>
      </c>
      <c r="H23" s="376"/>
      <c r="I23" s="376"/>
      <c r="J23" s="376"/>
      <c r="K23" s="376" t="n">
        <v>5</v>
      </c>
      <c r="L23" s="376"/>
      <c r="M23" s="376"/>
      <c r="N23" s="376"/>
      <c r="O23" s="376"/>
      <c r="P23" s="376"/>
      <c r="Q23" s="376"/>
      <c r="R23" s="376"/>
      <c r="S23" s="376"/>
      <c r="T23" s="376"/>
      <c r="U23" s="376"/>
      <c r="V23" s="376"/>
      <c r="W23" s="376"/>
      <c r="X23" s="376"/>
      <c r="Y23" s="376"/>
      <c r="Z23" s="376"/>
      <c r="AA23" s="376"/>
      <c r="AB23" s="376"/>
      <c r="AC23" s="376"/>
      <c r="AD23" s="376"/>
      <c r="AE23" s="376"/>
    </row>
    <row r="24" customFormat="false" ht="12.75" hidden="false" customHeight="false" outlineLevel="0" collapsed="false">
      <c r="A24" s="48" t="str">
        <f aca="false">IF(AUTOEVENTO="Manual",IF(EVENTOS!$F24&gt;0,"F",""),IF(AND(B24&gt;0,B24&lt;=MAX(CÁLCULO!$M$15:$M$21)),"F",""))</f>
        <v/>
      </c>
      <c r="B24" s="372" t="n">
        <f aca="true">OFFSET(B24,-1,0)+1</f>
        <v>9</v>
      </c>
      <c r="C24" s="373" t="n">
        <f aca="true">IF(AUTOEVENTO="Manual",IF($B24&gt;0,OFFSET(EVENTOS!$D$15,$B24-$B$15,0),0),IF(B24&lt;=MAX(CÁLCULO!$M$15:$M$21),VLOOKUP($B24,CÁLCULO!$M$15:$N$21,2,FALSE()),0))</f>
        <v>0</v>
      </c>
      <c r="D24" s="374"/>
      <c r="E24" s="375"/>
      <c r="F24" s="0" t="str">
        <f aca="false">IF($C24=0,"",CONCATENATE($B24,". ",$C24))</f>
        <v/>
      </c>
      <c r="G24" s="376" t="n">
        <v>1</v>
      </c>
      <c r="H24" s="376" t="n">
        <v>2</v>
      </c>
      <c r="I24" s="376" t="n">
        <v>3</v>
      </c>
      <c r="J24" s="376" t="n">
        <v>4</v>
      </c>
      <c r="K24" s="376" t="n">
        <v>5</v>
      </c>
      <c r="L24" s="376" t="n">
        <v>6</v>
      </c>
      <c r="M24" s="376" t="n">
        <v>6</v>
      </c>
      <c r="N24" s="376"/>
      <c r="O24" s="376"/>
      <c r="P24" s="376"/>
      <c r="Q24" s="376"/>
      <c r="R24" s="376"/>
      <c r="S24" s="376"/>
      <c r="T24" s="376"/>
      <c r="U24" s="376"/>
      <c r="V24" s="376"/>
      <c r="W24" s="376"/>
      <c r="X24" s="376"/>
      <c r="Y24" s="376"/>
      <c r="Z24" s="376"/>
      <c r="AA24" s="376"/>
      <c r="AB24" s="376"/>
      <c r="AC24" s="376"/>
      <c r="AD24" s="376"/>
      <c r="AE24" s="376"/>
    </row>
    <row r="25" customFormat="false" ht="12.75" hidden="false" customHeight="false" outlineLevel="0" collapsed="false">
      <c r="A25" s="48" t="str">
        <f aca="false">IF(AUTOEVENTO="Manual",IF(EVENTOS!$F25&gt;0,"F",""),IF(AND(B25&gt;0,B25&lt;=MAX(CÁLCULO!$M$15:$M$21)),"F",""))</f>
        <v/>
      </c>
      <c r="B25" s="372" t="n">
        <f aca="true">OFFSET(B25,-1,0)+1</f>
        <v>10</v>
      </c>
      <c r="C25" s="373" t="n">
        <f aca="true">IF(AUTOEVENTO="Manual",IF($B25&gt;0,OFFSET(EVENTOS!$D$15,$B25-$B$15,0),0),IF(B25&lt;=MAX(CÁLCULO!$M$15:$M$21),VLOOKUP($B25,CÁLCULO!$M$15:$N$21,2,FALSE()),0))</f>
        <v>0</v>
      </c>
      <c r="D25" s="374"/>
      <c r="E25" s="375"/>
      <c r="F25" s="0" t="str">
        <f aca="false">IF($C25=0,"",CONCATENATE($B25,". ",$C25))</f>
        <v/>
      </c>
      <c r="G25" s="376" t="n">
        <v>1</v>
      </c>
      <c r="H25" s="376" t="n">
        <v>2</v>
      </c>
      <c r="I25" s="376" t="n">
        <v>3</v>
      </c>
      <c r="J25" s="376" t="n">
        <v>4</v>
      </c>
      <c r="K25" s="376" t="n">
        <v>5</v>
      </c>
      <c r="L25" s="376" t="n">
        <v>6</v>
      </c>
      <c r="M25" s="376"/>
      <c r="N25" s="376"/>
      <c r="O25" s="376"/>
      <c r="P25" s="376"/>
      <c r="Q25" s="376"/>
      <c r="R25" s="376"/>
      <c r="S25" s="376"/>
      <c r="T25" s="376"/>
      <c r="U25" s="376"/>
      <c r="V25" s="376"/>
      <c r="W25" s="376"/>
      <c r="X25" s="376"/>
      <c r="Y25" s="376"/>
      <c r="Z25" s="376"/>
      <c r="AA25" s="376"/>
      <c r="AB25" s="376"/>
      <c r="AC25" s="376"/>
      <c r="AD25" s="376"/>
      <c r="AE25" s="376"/>
    </row>
    <row r="26" customFormat="false" ht="12.75" hidden="false" customHeight="false" outlineLevel="0" collapsed="false">
      <c r="A26" s="48" t="str">
        <f aca="false">IF(AUTOEVENTO="Manual",IF(EVENTOS!$F26&gt;0,"F",""),IF(AND(B26&gt;0,B26&lt;=MAX(CÁLCULO!$M$15:$M$21)),"F",""))</f>
        <v/>
      </c>
      <c r="B26" s="372" t="n">
        <f aca="true">OFFSET(B26,-1,0)+1</f>
        <v>11</v>
      </c>
      <c r="C26" s="373" t="n">
        <f aca="true">IF(AUTOEVENTO="Manual",IF($B26&gt;0,OFFSET(EVENTOS!$D$15,$B26-$B$15,0),0),IF(B26&lt;=MAX(CÁLCULO!$M$15:$M$21),VLOOKUP($B26,CÁLCULO!$M$15:$N$21,2,FALSE()),0))</f>
        <v>0</v>
      </c>
      <c r="D26" s="374"/>
      <c r="E26" s="375"/>
      <c r="F26" s="0" t="str">
        <f aca="false">IF($C26=0,"",CONCATENATE($B26,". ",$C26))</f>
        <v/>
      </c>
      <c r="G26" s="376" t="n">
        <v>1</v>
      </c>
      <c r="H26" s="376" t="n">
        <v>2</v>
      </c>
      <c r="I26" s="376" t="n">
        <v>3</v>
      </c>
      <c r="J26" s="376" t="n">
        <v>4</v>
      </c>
      <c r="K26" s="376" t="n">
        <v>5</v>
      </c>
      <c r="L26" s="376" t="n">
        <v>6</v>
      </c>
      <c r="M26" s="376"/>
      <c r="N26" s="376"/>
      <c r="O26" s="376"/>
      <c r="P26" s="376"/>
      <c r="Q26" s="376"/>
      <c r="R26" s="376"/>
      <c r="S26" s="376"/>
      <c r="T26" s="376"/>
      <c r="U26" s="376"/>
      <c r="V26" s="376"/>
      <c r="W26" s="376"/>
      <c r="X26" s="376"/>
      <c r="Y26" s="376"/>
      <c r="Z26" s="376"/>
      <c r="AA26" s="376"/>
      <c r="AB26" s="376"/>
      <c r="AC26" s="376"/>
      <c r="AD26" s="376"/>
      <c r="AE26" s="376"/>
    </row>
    <row r="27" customFormat="false" ht="12.75" hidden="false" customHeight="false" outlineLevel="0" collapsed="false">
      <c r="A27" s="48" t="str">
        <f aca="false">IF(AUTOEVENTO="Manual",IF(EVENTOS!$F27&gt;0,"F",""),IF(AND(B27&gt;0,B27&lt;=MAX(CÁLCULO!$M$15:$M$21)),"F",""))</f>
        <v/>
      </c>
      <c r="B27" s="372" t="n">
        <f aca="true">OFFSET(B27,-1,0)+1</f>
        <v>12</v>
      </c>
      <c r="C27" s="373" t="n">
        <f aca="true">IF(AUTOEVENTO="Manual",IF($B27&gt;0,OFFSET(EVENTOS!$D$15,$B27-$B$15,0),0),IF(B27&lt;=MAX(CÁLCULO!$M$15:$M$21),VLOOKUP($B27,CÁLCULO!$M$15:$N$21,2,FALSE()),0))</f>
        <v>0</v>
      </c>
      <c r="D27" s="374"/>
      <c r="E27" s="375"/>
      <c r="F27" s="0" t="str">
        <f aca="false">IF($C27=0,"",CONCATENATE($B27,". ",$C27))</f>
        <v/>
      </c>
      <c r="G27" s="376" t="n">
        <v>1</v>
      </c>
      <c r="H27" s="376"/>
      <c r="I27" s="376"/>
      <c r="J27" s="376"/>
      <c r="K27" s="376"/>
      <c r="L27" s="376"/>
      <c r="M27" s="376"/>
      <c r="N27" s="376"/>
      <c r="O27" s="376"/>
      <c r="P27" s="376"/>
      <c r="Q27" s="376"/>
      <c r="R27" s="376"/>
      <c r="S27" s="376"/>
      <c r="T27" s="376"/>
      <c r="U27" s="376"/>
      <c r="V27" s="376"/>
      <c r="W27" s="376"/>
      <c r="X27" s="376"/>
      <c r="Y27" s="376"/>
      <c r="Z27" s="376"/>
      <c r="AA27" s="376"/>
      <c r="AB27" s="376"/>
      <c r="AC27" s="376"/>
      <c r="AD27" s="376"/>
      <c r="AE27" s="376"/>
    </row>
    <row r="28" customFormat="false" ht="12.75" hidden="false" customHeight="false" outlineLevel="0" collapsed="false">
      <c r="A28" s="48" t="str">
        <f aca="false">IF(AUTOEVENTO="Manual",IF(EVENTOS!$F28&gt;0,"F",""),IF(AND(B28&gt;0,B28&lt;=MAX(CÁLCULO!$M$15:$M$21)),"F",""))</f>
        <v/>
      </c>
      <c r="B28" s="372" t="n">
        <f aca="true">OFFSET(B28,-1,0)+1</f>
        <v>13</v>
      </c>
      <c r="C28" s="373" t="n">
        <f aca="true">IF(AUTOEVENTO="Manual",IF($B28&gt;0,OFFSET(EVENTOS!$D$15,$B28-$B$15,0),0),IF(B28&lt;=MAX(CÁLCULO!$M$15:$M$21),VLOOKUP($B28,CÁLCULO!$M$15:$N$21,2,FALSE()),0))</f>
        <v>0</v>
      </c>
      <c r="D28" s="374"/>
      <c r="E28" s="375"/>
      <c r="F28" s="0" t="str">
        <f aca="false">IF($C28=0,"",CONCATENATE($B28,". ",$C28))</f>
        <v/>
      </c>
      <c r="G28" s="376" t="n">
        <v>1</v>
      </c>
      <c r="H28" s="376"/>
      <c r="I28" s="376"/>
      <c r="J28" s="376"/>
      <c r="K28" s="376"/>
      <c r="L28" s="376"/>
      <c r="M28" s="376"/>
      <c r="N28" s="376"/>
      <c r="O28" s="376"/>
      <c r="P28" s="376"/>
      <c r="Q28" s="376"/>
      <c r="R28" s="376"/>
      <c r="S28" s="376"/>
      <c r="T28" s="376"/>
      <c r="U28" s="376"/>
      <c r="V28" s="376"/>
      <c r="W28" s="376"/>
      <c r="X28" s="376"/>
      <c r="Y28" s="376"/>
      <c r="Z28" s="376"/>
      <c r="AA28" s="376"/>
      <c r="AB28" s="376"/>
      <c r="AC28" s="376"/>
      <c r="AD28" s="376"/>
      <c r="AE28" s="376"/>
    </row>
    <row r="29" customFormat="false" ht="12.75" hidden="false" customHeight="false" outlineLevel="0" collapsed="false">
      <c r="A29" s="48" t="str">
        <f aca="false">IF(AUTOEVENTO="Manual",IF(EVENTOS!$F29&gt;0,"F",""),IF(AND(B29&gt;0,B29&lt;=MAX(CÁLCULO!$M$15:$M$21)),"F",""))</f>
        <v/>
      </c>
      <c r="B29" s="372" t="n">
        <f aca="true">OFFSET(B29,-1,0)+1</f>
        <v>14</v>
      </c>
      <c r="C29" s="373" t="n">
        <f aca="true">IF(AUTOEVENTO="Manual",IF($B29&gt;0,OFFSET(EVENTOS!$D$15,$B29-$B$15,0),0),IF(B29&lt;=MAX(CÁLCULO!$M$15:$M$21),VLOOKUP($B29,CÁLCULO!$M$15:$N$21,2,FALSE()),0))</f>
        <v>0</v>
      </c>
      <c r="D29" s="374"/>
      <c r="E29" s="375"/>
      <c r="F29" s="0" t="str">
        <f aca="false">IF($C29=0,"",CONCATENATE($B29,". ",$C29))</f>
        <v/>
      </c>
      <c r="G29" s="376"/>
      <c r="H29" s="376" t="n">
        <v>2</v>
      </c>
      <c r="I29" s="376" t="n">
        <v>3</v>
      </c>
      <c r="J29" s="376" t="n">
        <v>4</v>
      </c>
      <c r="K29" s="376" t="n">
        <v>5</v>
      </c>
      <c r="L29" s="376" t="n">
        <v>6</v>
      </c>
      <c r="M29" s="376"/>
      <c r="N29" s="376"/>
      <c r="O29" s="376"/>
      <c r="P29" s="376"/>
      <c r="Q29" s="376"/>
      <c r="R29" s="376"/>
      <c r="S29" s="376"/>
      <c r="T29" s="376"/>
      <c r="U29" s="376"/>
      <c r="V29" s="376"/>
      <c r="W29" s="376"/>
      <c r="X29" s="376"/>
      <c r="Y29" s="376"/>
      <c r="Z29" s="376"/>
      <c r="AA29" s="376"/>
      <c r="AB29" s="376"/>
      <c r="AC29" s="376"/>
      <c r="AD29" s="376"/>
      <c r="AE29" s="376"/>
    </row>
    <row r="30" customFormat="false" ht="12.75" hidden="false" customHeight="false" outlineLevel="0" collapsed="false">
      <c r="A30" s="48" t="str">
        <f aca="false">IF(AUTOEVENTO="Manual",IF(EVENTOS!$F30&gt;0,"F",""),IF(AND(B30&gt;0,B30&lt;=MAX(CÁLCULO!$M$15:$M$21)),"F",""))</f>
        <v/>
      </c>
      <c r="B30" s="372" t="n">
        <f aca="true">OFFSET(B30,-1,0)+1</f>
        <v>15</v>
      </c>
      <c r="C30" s="373" t="n">
        <f aca="true">IF(AUTOEVENTO="Manual",IF($B30&gt;0,OFFSET(EVENTOS!$D$15,$B30-$B$15,0),0),IF(B30&lt;=MAX(CÁLCULO!$M$15:$M$21),VLOOKUP($B30,CÁLCULO!$M$15:$N$21,2,FALSE()),0))</f>
        <v>0</v>
      </c>
      <c r="D30" s="374"/>
      <c r="E30" s="375"/>
      <c r="F30" s="0" t="str">
        <f aca="false">IF($C30=0,"",CONCATENATE($B30,". ",$C30))</f>
        <v/>
      </c>
      <c r="G30" s="376" t="n">
        <v>1</v>
      </c>
      <c r="H30" s="376" t="n">
        <v>2</v>
      </c>
      <c r="I30" s="376" t="n">
        <v>3</v>
      </c>
      <c r="J30" s="376" t="n">
        <v>4</v>
      </c>
      <c r="K30" s="376" t="n">
        <v>5</v>
      </c>
      <c r="L30" s="376" t="n">
        <v>6</v>
      </c>
      <c r="M30" s="376"/>
      <c r="N30" s="376"/>
      <c r="O30" s="376"/>
      <c r="P30" s="376"/>
      <c r="Q30" s="376"/>
      <c r="R30" s="376"/>
      <c r="S30" s="376"/>
      <c r="T30" s="376"/>
      <c r="U30" s="376"/>
      <c r="V30" s="376"/>
      <c r="W30" s="376"/>
      <c r="X30" s="376"/>
      <c r="Y30" s="376"/>
      <c r="Z30" s="376"/>
      <c r="AA30" s="376"/>
      <c r="AB30" s="376"/>
      <c r="AC30" s="376"/>
      <c r="AD30" s="376"/>
      <c r="AE30" s="376"/>
    </row>
    <row r="31" customFormat="false" ht="12.75" hidden="false" customHeight="false" outlineLevel="0" collapsed="false">
      <c r="A31" s="48" t="str">
        <f aca="false">IF(AUTOEVENTO="Manual",IF(EVENTOS!$F31&gt;0,"F",""),IF(AND(B31&gt;0,B31&lt;=MAX(CÁLCULO!$M$15:$M$21)),"F",""))</f>
        <v/>
      </c>
      <c r="B31" s="372" t="n">
        <f aca="true">OFFSET(B31,-1,0)+1</f>
        <v>16</v>
      </c>
      <c r="C31" s="373" t="n">
        <f aca="true">IF(AUTOEVENTO="Manual",IF($B31&gt;0,OFFSET(EVENTOS!$D$15,$B31-$B$15,0),0),IF(B31&lt;=MAX(CÁLCULO!$M$15:$M$21),VLOOKUP($B31,CÁLCULO!$M$15:$N$21,2,FALSE()),0))</f>
        <v>0</v>
      </c>
      <c r="D31" s="374"/>
      <c r="E31" s="375"/>
      <c r="F31" s="0" t="str">
        <f aca="false">IF($C31=0,"",CONCATENATE($B31,". ",$C31))</f>
        <v/>
      </c>
      <c r="G31" s="376" t="n">
        <v>1</v>
      </c>
      <c r="H31" s="376" t="n">
        <v>2</v>
      </c>
      <c r="I31" s="376" t="n">
        <v>3</v>
      </c>
      <c r="J31" s="376" t="n">
        <v>4</v>
      </c>
      <c r="K31" s="376" t="n">
        <v>5</v>
      </c>
      <c r="L31" s="376" t="n">
        <v>6</v>
      </c>
      <c r="M31" s="376"/>
      <c r="N31" s="376"/>
      <c r="O31" s="376"/>
      <c r="P31" s="376"/>
      <c r="Q31" s="376"/>
      <c r="R31" s="376"/>
      <c r="S31" s="376"/>
      <c r="T31" s="376"/>
      <c r="U31" s="376"/>
      <c r="V31" s="376"/>
      <c r="W31" s="376"/>
      <c r="X31" s="376"/>
      <c r="Y31" s="376"/>
      <c r="Z31" s="376"/>
      <c r="AA31" s="376"/>
      <c r="AB31" s="376"/>
      <c r="AC31" s="376"/>
      <c r="AD31" s="376"/>
      <c r="AE31" s="376"/>
    </row>
    <row r="32" customFormat="false" ht="12.75" hidden="false" customHeight="false" outlineLevel="0" collapsed="false">
      <c r="A32" s="48" t="str">
        <f aca="false">IF(AUTOEVENTO="Manual",IF(EVENTOS!$F32&gt;0,"F",""),IF(AND(B32&gt;0,B32&lt;=MAX(CÁLCULO!$M$15:$M$21)),"F",""))</f>
        <v/>
      </c>
      <c r="B32" s="372" t="n">
        <f aca="true">OFFSET(B32,-1,0)+1</f>
        <v>17</v>
      </c>
      <c r="C32" s="373" t="n">
        <f aca="true">IF(AUTOEVENTO="Manual",IF($B32&gt;0,OFFSET(EVENTOS!$D$15,$B32-$B$15,0),0),IF(B32&lt;=MAX(CÁLCULO!$M$15:$M$21),VLOOKUP($B32,CÁLCULO!$M$15:$N$21,2,FALSE()),0))</f>
        <v>0</v>
      </c>
      <c r="D32" s="374"/>
      <c r="E32" s="375"/>
      <c r="F32" s="0" t="str">
        <f aca="false">IF($C32=0,"",CONCATENATE($B32,". ",$C32))</f>
        <v/>
      </c>
      <c r="G32" s="376" t="n">
        <v>1</v>
      </c>
      <c r="H32" s="376" t="n">
        <v>2</v>
      </c>
      <c r="I32" s="376" t="n">
        <v>3</v>
      </c>
      <c r="J32" s="376" t="n">
        <v>4</v>
      </c>
      <c r="K32" s="376" t="n">
        <v>5</v>
      </c>
      <c r="L32" s="376" t="n">
        <v>6</v>
      </c>
      <c r="M32" s="376"/>
      <c r="N32" s="376"/>
      <c r="O32" s="376"/>
      <c r="P32" s="376"/>
      <c r="Q32" s="376"/>
      <c r="R32" s="376"/>
      <c r="S32" s="376"/>
      <c r="T32" s="376"/>
      <c r="U32" s="376"/>
      <c r="V32" s="376"/>
      <c r="W32" s="376"/>
      <c r="X32" s="376"/>
      <c r="Y32" s="376"/>
      <c r="Z32" s="376"/>
      <c r="AA32" s="376"/>
      <c r="AB32" s="376"/>
      <c r="AC32" s="376"/>
      <c r="AD32" s="376"/>
      <c r="AE32" s="376"/>
    </row>
    <row r="33" customFormat="false" ht="4.5" hidden="false" customHeight="true" outlineLevel="0" collapsed="false">
      <c r="A33" s="0" t="s">
        <v>594</v>
      </c>
      <c r="B33" s="397"/>
      <c r="C33" s="398"/>
      <c r="D33" s="399"/>
      <c r="E33" s="400"/>
      <c r="F33" s="400"/>
      <c r="G33" s="397"/>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398"/>
    </row>
    <row r="34" customFormat="false" ht="6" hidden="false" customHeight="true" outlineLevel="0" collapsed="false">
      <c r="A34" s="48" t="s">
        <v>594</v>
      </c>
    </row>
    <row r="35" customFormat="false" ht="13.8" hidden="false" customHeight="false" outlineLevel="0" collapsed="false">
      <c r="A35" s="48" t="s">
        <v>594</v>
      </c>
      <c r="C35" s="402" t="s">
        <v>864</v>
      </c>
      <c r="H35" s="403" t="n">
        <f aca="false">(ROW($G35)-ROW($G$35))/8*12+1</f>
        <v>1</v>
      </c>
      <c r="I35" s="403"/>
      <c r="J35" s="403" t="n">
        <f aca="false">H35+1</f>
        <v>2</v>
      </c>
      <c r="K35" s="403"/>
      <c r="L35" s="403" t="n">
        <f aca="false">J35+1</f>
        <v>3</v>
      </c>
      <c r="M35" s="403"/>
      <c r="N35" s="403" t="n">
        <f aca="false">L35+1</f>
        <v>4</v>
      </c>
      <c r="O35" s="403"/>
      <c r="P35" s="403" t="n">
        <f aca="false">N35+1</f>
        <v>5</v>
      </c>
      <c r="Q35" s="403"/>
      <c r="R35" s="403" t="n">
        <f aca="false">P35+1</f>
        <v>6</v>
      </c>
      <c r="S35" s="403"/>
      <c r="T35" s="403" t="n">
        <f aca="false">R35+1</f>
        <v>7</v>
      </c>
      <c r="U35" s="403"/>
      <c r="V35" s="403" t="n">
        <f aca="false">T35+1</f>
        <v>8</v>
      </c>
      <c r="W35" s="403"/>
      <c r="X35" s="403" t="n">
        <f aca="false">V35+1</f>
        <v>9</v>
      </c>
      <c r="Y35" s="403"/>
      <c r="Z35" s="403" t="n">
        <f aca="false">X35+1</f>
        <v>10</v>
      </c>
      <c r="AA35" s="403"/>
      <c r="AB35" s="403" t="n">
        <f aca="false">Z35+1</f>
        <v>11</v>
      </c>
      <c r="AC35" s="403"/>
      <c r="AD35" s="403" t="n">
        <f aca="false">AB35+1</f>
        <v>12</v>
      </c>
      <c r="AE35" s="403"/>
    </row>
    <row r="36" customFormat="false" ht="12.75" hidden="false" customHeight="true" outlineLevel="0" collapsed="false">
      <c r="A36" s="48" t="s">
        <v>594</v>
      </c>
      <c r="C36" s="404" t="s">
        <v>865</v>
      </c>
      <c r="G36" s="405" t="s">
        <v>866</v>
      </c>
      <c r="H36" s="406" t="e">
        <f aca="true">OFFSET(CRONO!$T$69,0,CRONOPLE!H35)</f>
        <v>#VALUE!</v>
      </c>
      <c r="I36" s="406"/>
      <c r="J36" s="406" t="e">
        <f aca="true">OFFSET(CRONO!$T$69,0,CRONOPLE!J35)</f>
        <v>#VALUE!</v>
      </c>
      <c r="K36" s="406"/>
      <c r="L36" s="406" t="e">
        <f aca="true">OFFSET(CRONO!$T$69,0,CRONOPLE!L35)</f>
        <v>#VALUE!</v>
      </c>
      <c r="M36" s="406"/>
      <c r="N36" s="406" t="e">
        <f aca="true">OFFSET(CRONO!$T$69,0,CRONOPLE!N35)</f>
        <v>#VALUE!</v>
      </c>
      <c r="O36" s="406"/>
      <c r="P36" s="406" t="e">
        <f aca="true">OFFSET(CRONO!$T$69,0,CRONOPLE!P35)</f>
        <v>#VALUE!</v>
      </c>
      <c r="Q36" s="406"/>
      <c r="R36" s="406" t="e">
        <f aca="true">OFFSET(CRONO!$T$69,0,CRONOPLE!R35)</f>
        <v>#VALUE!</v>
      </c>
      <c r="S36" s="406"/>
      <c r="T36" s="406" t="e">
        <f aca="true">OFFSET(CRONO!$T$69,0,CRONOPLE!T35)</f>
        <v>#VALUE!</v>
      </c>
      <c r="U36" s="406"/>
      <c r="V36" s="406" t="e">
        <f aca="true">OFFSET(CRONO!$T$69,0,CRONOPLE!V35)</f>
        <v>#VALUE!</v>
      </c>
      <c r="W36" s="406"/>
      <c r="X36" s="406" t="e">
        <f aca="true">OFFSET(CRONO!$T$69,0,CRONOPLE!X35)</f>
        <v>#VALUE!</v>
      </c>
      <c r="Y36" s="406"/>
      <c r="Z36" s="406" t="e">
        <f aca="true">OFFSET(CRONO!$T$69,0,CRONOPLE!Z35)</f>
        <v>#VALUE!</v>
      </c>
      <c r="AA36" s="406"/>
      <c r="AB36" s="406" t="e">
        <f aca="true">OFFSET(CRONO!$T$69,0,CRONOPLE!AB35)</f>
        <v>#VALUE!</v>
      </c>
      <c r="AC36" s="406"/>
      <c r="AD36" s="406" t="e">
        <f aca="true">OFFSET(CRONO!$T$69,0,CRONOPLE!AD35)</f>
        <v>#VALUE!</v>
      </c>
      <c r="AE36" s="406"/>
    </row>
    <row r="37" customFormat="false" ht="12.75" hidden="false" customHeight="true" outlineLevel="0" collapsed="false">
      <c r="A37" s="48" t="s">
        <v>594</v>
      </c>
      <c r="C37" s="404"/>
      <c r="G37" s="407" t="s">
        <v>867</v>
      </c>
      <c r="H37" s="408" t="e">
        <f aca="true">OFFSET(CRONO!$T$73,0,CRONOPLE!H35)</f>
        <v>#VALUE!</v>
      </c>
      <c r="I37" s="408"/>
      <c r="J37" s="408" t="e">
        <f aca="true">OFFSET(CRONO!$T$73,0,CRONOPLE!J35)</f>
        <v>#VALUE!</v>
      </c>
      <c r="K37" s="408"/>
      <c r="L37" s="408" t="e">
        <f aca="true">OFFSET(CRONO!$T$73,0,CRONOPLE!L35)</f>
        <v>#VALUE!</v>
      </c>
      <c r="M37" s="408"/>
      <c r="N37" s="408" t="e">
        <f aca="true">OFFSET(CRONO!$T$73,0,CRONOPLE!N35)</f>
        <v>#VALUE!</v>
      </c>
      <c r="O37" s="408"/>
      <c r="P37" s="408" t="e">
        <f aca="true">OFFSET(CRONO!$T$73,0,CRONOPLE!P35)</f>
        <v>#VALUE!</v>
      </c>
      <c r="Q37" s="408"/>
      <c r="R37" s="408" t="e">
        <f aca="true">OFFSET(CRONO!$T$73,0,CRONOPLE!R35)</f>
        <v>#VALUE!</v>
      </c>
      <c r="S37" s="408"/>
      <c r="T37" s="408" t="e">
        <f aca="true">OFFSET(CRONO!$T$73,0,CRONOPLE!T35)</f>
        <v>#VALUE!</v>
      </c>
      <c r="U37" s="408"/>
      <c r="V37" s="408" t="e">
        <f aca="true">OFFSET(CRONO!$T$73,0,CRONOPLE!V35)</f>
        <v>#VALUE!</v>
      </c>
      <c r="W37" s="408"/>
      <c r="X37" s="408" t="e">
        <f aca="true">OFFSET(CRONO!$T$73,0,CRONOPLE!X35)</f>
        <v>#VALUE!</v>
      </c>
      <c r="Y37" s="408"/>
      <c r="Z37" s="408" t="e">
        <f aca="true">OFFSET(CRONO!$T$73,0,CRONOPLE!Z35)</f>
        <v>#VALUE!</v>
      </c>
      <c r="AA37" s="408"/>
      <c r="AB37" s="408" t="e">
        <f aca="true">OFFSET(CRONO!$T$73,0,CRONOPLE!AB35)</f>
        <v>#VALUE!</v>
      </c>
      <c r="AC37" s="408"/>
      <c r="AD37" s="408" t="e">
        <f aca="true">OFFSET(CRONO!$T$73,0,CRONOPLE!AD35)</f>
        <v>#VALUE!</v>
      </c>
      <c r="AE37" s="408"/>
    </row>
    <row r="38" customFormat="false" ht="12.75" hidden="false" customHeight="true" outlineLevel="0" collapsed="false">
      <c r="A38" s="48" t="s">
        <v>594</v>
      </c>
      <c r="C38" s="409" t="s">
        <v>868</v>
      </c>
      <c r="G38" s="405" t="s">
        <v>866</v>
      </c>
      <c r="H38" s="406" t="e">
        <f aca="true">OFFSET(CRONO!$T$74,0,CRONOPLE!H35)</f>
        <v>#VALUE!</v>
      </c>
      <c r="I38" s="406"/>
      <c r="J38" s="406" t="e">
        <f aca="true">OFFSET(CRONO!$T$74,0,CRONOPLE!J35)</f>
        <v>#VALUE!</v>
      </c>
      <c r="K38" s="406"/>
      <c r="L38" s="406" t="e">
        <f aca="true">OFFSET(CRONO!$T$74,0,CRONOPLE!L35)</f>
        <v>#VALUE!</v>
      </c>
      <c r="M38" s="406"/>
      <c r="N38" s="406" t="e">
        <f aca="true">OFFSET(CRONO!$T$74,0,CRONOPLE!N35)</f>
        <v>#VALUE!</v>
      </c>
      <c r="O38" s="406"/>
      <c r="P38" s="406" t="e">
        <f aca="true">OFFSET(CRONO!$T$74,0,CRONOPLE!P35)</f>
        <v>#VALUE!</v>
      </c>
      <c r="Q38" s="406"/>
      <c r="R38" s="406" t="e">
        <f aca="true">OFFSET(CRONO!$T$74,0,CRONOPLE!R35)</f>
        <v>#VALUE!</v>
      </c>
      <c r="S38" s="406"/>
      <c r="T38" s="406" t="e">
        <f aca="true">OFFSET(CRONO!$T$74,0,CRONOPLE!T35)</f>
        <v>#VALUE!</v>
      </c>
      <c r="U38" s="406"/>
      <c r="V38" s="406" t="e">
        <f aca="true">OFFSET(CRONO!$T$74,0,CRONOPLE!V35)</f>
        <v>#VALUE!</v>
      </c>
      <c r="W38" s="406"/>
      <c r="X38" s="406" t="e">
        <f aca="true">OFFSET(CRONO!$T$74,0,CRONOPLE!X35)</f>
        <v>#VALUE!</v>
      </c>
      <c r="Y38" s="406"/>
      <c r="Z38" s="406" t="e">
        <f aca="true">OFFSET(CRONO!$T$74,0,CRONOPLE!Z35)</f>
        <v>#VALUE!</v>
      </c>
      <c r="AA38" s="406"/>
      <c r="AB38" s="406" t="e">
        <f aca="true">OFFSET(CRONO!$T$74,0,CRONOPLE!AB35)</f>
        <v>#VALUE!</v>
      </c>
      <c r="AC38" s="406"/>
      <c r="AD38" s="406" t="e">
        <f aca="true">OFFSET(CRONO!$T$74,0,CRONOPLE!AD35)</f>
        <v>#VALUE!</v>
      </c>
      <c r="AE38" s="406"/>
    </row>
    <row r="39" customFormat="false" ht="12.75" hidden="false" customHeight="true" outlineLevel="0" collapsed="false">
      <c r="A39" s="48" t="s">
        <v>594</v>
      </c>
      <c r="C39" s="409"/>
      <c r="G39" s="407" t="s">
        <v>867</v>
      </c>
      <c r="H39" s="410" t="e">
        <f aca="true">OFFSET(CRONO!$T$78,0,CRONOPLE!H35)</f>
        <v>#VALUE!</v>
      </c>
      <c r="I39" s="410"/>
      <c r="J39" s="410" t="e">
        <f aca="true">OFFSET(CRONO!$T$78,0,CRONOPLE!J35)</f>
        <v>#VALUE!</v>
      </c>
      <c r="K39" s="410"/>
      <c r="L39" s="410" t="e">
        <f aca="true">OFFSET(CRONO!$T$78,0,CRONOPLE!L35)</f>
        <v>#VALUE!</v>
      </c>
      <c r="M39" s="410"/>
      <c r="N39" s="410" t="e">
        <f aca="true">OFFSET(CRONO!$T$78,0,CRONOPLE!N35)</f>
        <v>#VALUE!</v>
      </c>
      <c r="O39" s="410"/>
      <c r="P39" s="410" t="e">
        <f aca="true">OFFSET(CRONO!$T$78,0,CRONOPLE!P35)</f>
        <v>#VALUE!</v>
      </c>
      <c r="Q39" s="410"/>
      <c r="R39" s="410" t="e">
        <f aca="true">OFFSET(CRONO!$T$78,0,CRONOPLE!R35)</f>
        <v>#VALUE!</v>
      </c>
      <c r="S39" s="410"/>
      <c r="T39" s="410" t="e">
        <f aca="true">OFFSET(CRONO!$T$78,0,CRONOPLE!T35)</f>
        <v>#VALUE!</v>
      </c>
      <c r="U39" s="410"/>
      <c r="V39" s="410" t="e">
        <f aca="true">OFFSET(CRONO!$T$78,0,CRONOPLE!V35)</f>
        <v>#VALUE!</v>
      </c>
      <c r="W39" s="410"/>
      <c r="X39" s="410" t="e">
        <f aca="true">OFFSET(CRONO!$T$78,0,CRONOPLE!X35)</f>
        <v>#VALUE!</v>
      </c>
      <c r="Y39" s="410"/>
      <c r="Z39" s="410" t="e">
        <f aca="true">OFFSET(CRONO!$T$78,0,CRONOPLE!Z35)</f>
        <v>#VALUE!</v>
      </c>
      <c r="AA39" s="410"/>
      <c r="AB39" s="410" t="e">
        <f aca="true">OFFSET(CRONO!$T$78,0,CRONOPLE!AB35)</f>
        <v>#VALUE!</v>
      </c>
      <c r="AC39" s="410"/>
      <c r="AD39" s="410" t="e">
        <f aca="true">OFFSET(CRONO!$T$78,0,CRONOPLE!AD35)</f>
        <v>#VALUE!</v>
      </c>
      <c r="AE39" s="410"/>
    </row>
    <row r="40" customFormat="false" ht="12.75" hidden="false" customHeight="true" outlineLevel="0" collapsed="false">
      <c r="A40" s="48" t="s">
        <v>594</v>
      </c>
      <c r="C40" s="411" t="s">
        <v>869</v>
      </c>
      <c r="D40" s="412"/>
      <c r="G40" s="405" t="s">
        <v>866</v>
      </c>
      <c r="H40" s="406" t="str">
        <f aca="true">OFFSET(CRONO!$T$79,0,CRONOPLE!H35)</f>
        <v/>
      </c>
      <c r="I40" s="406"/>
      <c r="J40" s="413" t="str">
        <f aca="true">OFFSET(CRONO!$T$79,0,CRONOPLE!J35)</f>
        <v/>
      </c>
      <c r="K40" s="413"/>
      <c r="L40" s="413" t="str">
        <f aca="true">OFFSET(CRONO!$T$79,0,CRONOPLE!L35)</f>
        <v/>
      </c>
      <c r="M40" s="413"/>
      <c r="N40" s="413" t="str">
        <f aca="true">OFFSET(CRONO!$T$79,0,CRONOPLE!N35)</f>
        <v/>
      </c>
      <c r="O40" s="413"/>
      <c r="P40" s="413" t="str">
        <f aca="true">OFFSET(CRONO!$T$79,0,CRONOPLE!P35)</f>
        <v/>
      </c>
      <c r="Q40" s="413"/>
      <c r="R40" s="413" t="str">
        <f aca="true">OFFSET(CRONO!$T$79,0,CRONOPLE!R35)</f>
        <v/>
      </c>
      <c r="S40" s="413"/>
      <c r="T40" s="413" t="str">
        <f aca="true">OFFSET(CRONO!$T$79,0,CRONOPLE!T35)</f>
        <v/>
      </c>
      <c r="U40" s="413"/>
      <c r="V40" s="413" t="str">
        <f aca="true">OFFSET(CRONO!$T$79,0,CRONOPLE!V35)</f>
        <v/>
      </c>
      <c r="W40" s="413"/>
      <c r="X40" s="413" t="str">
        <f aca="true">OFFSET(CRONO!$T$79,0,CRONOPLE!X35)</f>
        <v/>
      </c>
      <c r="Y40" s="413"/>
      <c r="Z40" s="413" t="str">
        <f aca="true">OFFSET(CRONO!$T$79,0,CRONOPLE!Z35)</f>
        <v/>
      </c>
      <c r="AA40" s="413"/>
      <c r="AB40" s="413" t="str">
        <f aca="true">OFFSET(CRONO!$T$79,0,CRONOPLE!AB35)</f>
        <v/>
      </c>
      <c r="AC40" s="413"/>
      <c r="AD40" s="413" t="str">
        <f aca="true">OFFSET(CRONO!$T$79,0,CRONOPLE!AD35)</f>
        <v/>
      </c>
      <c r="AE40" s="413"/>
    </row>
    <row r="41" customFormat="false" ht="15" hidden="false" customHeight="true" outlineLevel="0" collapsed="false">
      <c r="A41" s="48" t="s">
        <v>594</v>
      </c>
      <c r="C41" s="414"/>
      <c r="G41" s="415" t="str">
        <f aca="false">IF(COUNTIF(H41:AF41,"%Adm&gt;%Global")&gt;0,"Verificar proporcionalidade da Administração Local","")</f>
        <v/>
      </c>
      <c r="H41" s="416" t="str">
        <f aca="false">IF(H40="","",IF(ROUND(H40,4)&gt;ROUND(H38,4),"%Adm&gt;%Global",""))</f>
        <v/>
      </c>
      <c r="J41" s="416" t="str">
        <f aca="false">IF(J40="","",IF(ROUND(J40,4)&gt;ROUND(J38,4),"%Adm&gt;%Global",""))</f>
        <v/>
      </c>
      <c r="L41" s="416" t="str">
        <f aca="false">IF(L40="","",IF(ROUND(L40,4)&gt;ROUND(L38,4),"%Adm&gt;%Global",""))</f>
        <v/>
      </c>
      <c r="N41" s="416" t="str">
        <f aca="false">IF(N40="","",IF(ROUND(N40,4)&gt;ROUND(N38,4),"%Adm&gt;%Global",""))</f>
        <v/>
      </c>
      <c r="P41" s="416" t="str">
        <f aca="false">IF(P40="","",IF(ROUND(P40,4)&gt;ROUND(P38,4),"%Adm&gt;%Global",""))</f>
        <v/>
      </c>
      <c r="R41" s="416" t="str">
        <f aca="false">IF(R40="","",IF(ROUND(R40,4)&gt;ROUND(R38,4),"%Adm&gt;%Global",""))</f>
        <v/>
      </c>
      <c r="T41" s="416" t="str">
        <f aca="false">IF(T40="","",IF(ROUND(T40,4)&gt;ROUND(T38,4),"%Adm&gt;%Global",""))</f>
        <v/>
      </c>
      <c r="V41" s="416" t="str">
        <f aca="false">IF(V40="","",IF(ROUND(V40,4)&gt;ROUND(V38,4),"%Adm&gt;%Global",""))</f>
        <v/>
      </c>
      <c r="X41" s="416" t="str">
        <f aca="false">IF(X40="","",IF(ROUND(X40,4)&gt;ROUND(X38,4),"%Adm&gt;%Global",""))</f>
        <v/>
      </c>
      <c r="Z41" s="416" t="str">
        <f aca="false">IF(Z40="","",IF(ROUND(Z40,4)&gt;ROUND(Z38,4),"%Adm&gt;%Global",""))</f>
        <v/>
      </c>
      <c r="AB41" s="416" t="str">
        <f aca="false">IF(AB40="","",IF(ROUND(AB40,4)&gt;ROUND(AB38,4),"%Adm&gt;%Global",""))</f>
        <v/>
      </c>
      <c r="AD41" s="416" t="str">
        <f aca="false">IF(AD40="","",IF(ROUND(AD40,4)&gt;ROUND(AD38,4),"%Adm&gt;%Global",""))</f>
        <v/>
      </c>
    </row>
    <row r="42" customFormat="false" ht="12.75" hidden="false" customHeight="false" outlineLevel="0" collapsed="false">
      <c r="A42" s="48" t="s">
        <v>594</v>
      </c>
    </row>
    <row r="43" customFormat="false" ht="13.8" hidden="false" customHeight="false" outlineLevel="0" collapsed="false">
      <c r="A43" s="48" t="s">
        <v>594</v>
      </c>
      <c r="B43" s="255" t="n">
        <f aca="false">Import.Município</f>
        <v>0</v>
      </c>
      <c r="C43" s="255"/>
      <c r="E43" s="417"/>
      <c r="F43" s="417"/>
      <c r="G43" s="417"/>
      <c r="H43" s="417"/>
      <c r="I43" s="417"/>
      <c r="J43" s="417"/>
      <c r="K43" s="417"/>
      <c r="L43" s="417"/>
      <c r="V43" s="256"/>
      <c r="W43" s="46"/>
      <c r="X43" s="46"/>
      <c r="Y43" s="46"/>
      <c r="Z43" s="46"/>
      <c r="AA43" s="46"/>
      <c r="AB43" s="46"/>
      <c r="AC43" s="46"/>
      <c r="AD43" s="46"/>
      <c r="AE43" s="46"/>
    </row>
    <row r="44" customFormat="false" ht="12.75" hidden="false" customHeight="false" outlineLevel="0" collapsed="false">
      <c r="A44" s="48" t="s">
        <v>594</v>
      </c>
      <c r="B44" s="52" t="s">
        <v>753</v>
      </c>
      <c r="F44" s="418"/>
      <c r="G44" s="418"/>
      <c r="H44" s="418"/>
      <c r="I44" s="418"/>
      <c r="J44" s="418"/>
      <c r="K44" s="418"/>
      <c r="L44" s="419"/>
      <c r="V44" s="257" t="s">
        <v>756</v>
      </c>
    </row>
    <row r="45" customFormat="false" ht="12.75" hidden="false" customHeight="false" outlineLevel="0" collapsed="false">
      <c r="A45" s="48" t="s">
        <v>594</v>
      </c>
      <c r="F45" s="418"/>
      <c r="G45" s="418"/>
      <c r="H45" s="418"/>
      <c r="I45" s="418"/>
      <c r="J45" s="418"/>
      <c r="K45" s="418"/>
      <c r="L45" s="419"/>
      <c r="V45" s="302" t="str">
        <f aca="true" t="array" ref="V45:V47">OFFSET(Import.RespOrçamento,0,-1) &amp; " " &amp; Import.RespOrçamento</f>
        <v>Nome: ANA PAULA MESQUITA CICHOWSI</v>
      </c>
    </row>
    <row r="46" customFormat="false" ht="13.8" hidden="false" customHeight="false" outlineLevel="0" collapsed="false">
      <c r="A46" s="48" t="s">
        <v>594</v>
      </c>
      <c r="B46" s="420" t="n">
        <f aca="false">DADOS!$C$25</f>
        <v>45991</v>
      </c>
      <c r="C46" s="420"/>
      <c r="F46" s="418"/>
      <c r="G46" s="418"/>
      <c r="H46" s="418"/>
      <c r="I46" s="418"/>
      <c r="J46" s="418"/>
      <c r="K46" s="418"/>
      <c r="L46" s="419"/>
      <c r="V46" s="302" t="str">
        <v>CREA/CAU: RS 207.916</v>
      </c>
    </row>
    <row r="47" customFormat="false" ht="12.75" hidden="false" customHeight="false" outlineLevel="0" collapsed="false">
      <c r="A47" s="48" t="s">
        <v>594</v>
      </c>
      <c r="B47" s="52" t="s">
        <v>754</v>
      </c>
      <c r="F47" s="418"/>
      <c r="G47" s="418"/>
      <c r="H47" s="418"/>
      <c r="I47" s="418"/>
      <c r="J47" s="418"/>
      <c r="K47" s="418"/>
      <c r="L47" s="419"/>
      <c r="V47" s="302" t="str">
        <v>ART/RRT: </v>
      </c>
    </row>
  </sheetData>
  <sheetProtection algorithmName="SHA-512" hashValue="Oi10XShKYkzZ+tVdQAANZU8wU8GkRx9cVk4enPEX8BmTZfTSRsTTBjvzXFrr0f7Q//6s69v+GrA2pfE2rpSSDA==" saltValue="NEzhNgD+DegOokeWf6/usA==" spinCount="100000" sheet="true" objects="true" scenarios="true" autoFilter="false"/>
  <autoFilter ref="A13:A47"/>
  <mergeCells count="86">
    <mergeCell ref="AC2:AE2"/>
    <mergeCell ref="B4:D4"/>
    <mergeCell ref="G4:I4"/>
    <mergeCell ref="J4:L4"/>
    <mergeCell ref="B5:D5"/>
    <mergeCell ref="G5:I5"/>
    <mergeCell ref="J5:L5"/>
    <mergeCell ref="M5:AE5"/>
    <mergeCell ref="B8:C8"/>
    <mergeCell ref="B12:B13"/>
    <mergeCell ref="C12:C13"/>
    <mergeCell ref="H35:I35"/>
    <mergeCell ref="J35:K35"/>
    <mergeCell ref="L35:M35"/>
    <mergeCell ref="N35:O35"/>
    <mergeCell ref="P35:Q35"/>
    <mergeCell ref="R35:S35"/>
    <mergeCell ref="T35:U35"/>
    <mergeCell ref="V35:W35"/>
    <mergeCell ref="X35:Y35"/>
    <mergeCell ref="Z35:AA35"/>
    <mergeCell ref="AB35:AC35"/>
    <mergeCell ref="AD35:AE35"/>
    <mergeCell ref="C36:C37"/>
    <mergeCell ref="H36:I36"/>
    <mergeCell ref="J36:K36"/>
    <mergeCell ref="L36:M36"/>
    <mergeCell ref="N36:O36"/>
    <mergeCell ref="P36:Q36"/>
    <mergeCell ref="R36:S36"/>
    <mergeCell ref="T36:U36"/>
    <mergeCell ref="V36:W36"/>
    <mergeCell ref="X36:Y36"/>
    <mergeCell ref="Z36:AA36"/>
    <mergeCell ref="AB36:AC36"/>
    <mergeCell ref="AD36:AE36"/>
    <mergeCell ref="H37:I37"/>
    <mergeCell ref="J37:K37"/>
    <mergeCell ref="L37:M37"/>
    <mergeCell ref="N37:O37"/>
    <mergeCell ref="P37:Q37"/>
    <mergeCell ref="R37:S37"/>
    <mergeCell ref="T37:U37"/>
    <mergeCell ref="V37:W37"/>
    <mergeCell ref="X37:Y37"/>
    <mergeCell ref="Z37:AA37"/>
    <mergeCell ref="AB37:AC37"/>
    <mergeCell ref="AD37:AE37"/>
    <mergeCell ref="C38:C39"/>
    <mergeCell ref="H38:I38"/>
    <mergeCell ref="J38:K38"/>
    <mergeCell ref="L38:M38"/>
    <mergeCell ref="N38:O38"/>
    <mergeCell ref="P38:Q38"/>
    <mergeCell ref="R38:S38"/>
    <mergeCell ref="T38:U38"/>
    <mergeCell ref="V38:W38"/>
    <mergeCell ref="X38:Y38"/>
    <mergeCell ref="Z38:AA38"/>
    <mergeCell ref="AB38:AC38"/>
    <mergeCell ref="AD38:AE38"/>
    <mergeCell ref="H39:I39"/>
    <mergeCell ref="J39:K39"/>
    <mergeCell ref="L39:M39"/>
    <mergeCell ref="N39:O39"/>
    <mergeCell ref="P39:Q39"/>
    <mergeCell ref="R39:S39"/>
    <mergeCell ref="T39:U39"/>
    <mergeCell ref="V39:W39"/>
    <mergeCell ref="X39:Y39"/>
    <mergeCell ref="Z39:AA39"/>
    <mergeCell ref="AB39:AC39"/>
    <mergeCell ref="AD39:AE39"/>
    <mergeCell ref="H40:I40"/>
    <mergeCell ref="J40:K40"/>
    <mergeCell ref="L40:M40"/>
    <mergeCell ref="N40:O40"/>
    <mergeCell ref="P40:Q40"/>
    <mergeCell ref="R40:S40"/>
    <mergeCell ref="T40:U40"/>
    <mergeCell ref="V40:W40"/>
    <mergeCell ref="X40:Y40"/>
    <mergeCell ref="Z40:AA40"/>
    <mergeCell ref="AB40:AC40"/>
    <mergeCell ref="AD40:AE40"/>
    <mergeCell ref="B46:C46"/>
  </mergeCells>
  <conditionalFormatting sqref="H40:AE40">
    <cfRule type="expression" priority="2" aboveAverage="0" equalAverage="0" bottom="0" percent="0" rank="0" text="" dxfId="61">
      <formula>ROUND(H40,4)&gt;ROUND(H38,4)</formula>
    </cfRule>
  </conditionalFormatting>
  <conditionalFormatting sqref="J40:AE40">
    <cfRule type="expression" priority="3" aboveAverage="0" equalAverage="0" bottom="0" percent="0" rank="0" text="" dxfId="62">
      <formula>OFFSET(J40,-2,-2)=1</formula>
    </cfRule>
  </conditionalFormatting>
  <conditionalFormatting sqref="B8:C8">
    <cfRule type="expression" priority="4" aboveAverage="0" equalAverage="0" bottom="0" percent="0" rank="0" text="" dxfId="63">
      <formula>$B$7=""</formula>
    </cfRule>
  </conditionalFormatting>
  <conditionalFormatting sqref="B15:C15 E15 G15:AF15">
    <cfRule type="expression" priority="5" aboveAverage="0" equalAverage="0" bottom="0" percent="0" rank="0" text="" dxfId="64">
      <formula>$B$15=0</formula>
    </cfRule>
  </conditionalFormatting>
  <conditionalFormatting sqref="J39:AE39">
    <cfRule type="expression" priority="6" aboveAverage="0" equalAverage="0" bottom="0" percent="0" rank="0" text="" dxfId="65">
      <formula>OFFSET(J39,-1,-2)=1</formula>
    </cfRule>
  </conditionalFormatting>
  <conditionalFormatting sqref="J38:AE38">
    <cfRule type="expression" priority="7" aboveAverage="0" equalAverage="0" bottom="0" percent="0" rank="0" text="" dxfId="66">
      <formula>OFFSET(J38,0,-2)=1</formula>
    </cfRule>
  </conditionalFormatting>
  <conditionalFormatting sqref="J37:AE37">
    <cfRule type="expression" priority="8" aboveAverage="0" equalAverage="0" bottom="0" percent="0" rank="0" text="" dxfId="67">
      <formula>OFFSET(J37,1,-2)=1</formula>
    </cfRule>
  </conditionalFormatting>
  <conditionalFormatting sqref="J36:AE36">
    <cfRule type="expression" priority="9" aboveAverage="0" equalAverage="0" bottom="0" percent="0" rank="0" text="" dxfId="68">
      <formula>OFFSET(J36,2,-2)=1</formula>
    </cfRule>
  </conditionalFormatting>
  <conditionalFormatting sqref="J35:AE35">
    <cfRule type="expression" priority="10" aboveAverage="0" equalAverage="0" bottom="0" percent="0" rank="0" text="" dxfId="69">
      <formula>OFFSET(J35,3,-2)=1</formula>
    </cfRule>
  </conditionalFormatting>
  <conditionalFormatting sqref="U4:Y4">
    <cfRule type="expression" priority="11" aboveAverage="0" equalAverage="0" bottom="0" percent="0" rank="0" text="" dxfId="70">
      <formula>QCI.ExisteManual</formula>
    </cfRule>
  </conditionalFormatting>
  <conditionalFormatting sqref="E1 G1:AE1 E16:E24 G16:AE18 L19:AE24 K19:K26 G19:J23 G24:G28 H24:J26 E25:E32 L25:AE26 H27:AE28 G29:AE32">
    <cfRule type="expression" priority="12" aboveAverage="0" equalAverage="0" bottom="0" percent="0" rank="0" text="" dxfId="71">
      <formula>IF(OR(E$12&gt;CÁLCULO.NúmeroDeFrentes,ACOMPANHAMENTO="BM"),1,CRONOPLE.ValorDoEvento=0)</formula>
    </cfRule>
  </conditionalFormatting>
  <dataValidations count="2">
    <dataValidation allowBlank="true" errorStyle="stop" operator="greaterThan" showDropDown="false" showErrorMessage="true" showInputMessage="false" sqref="E1:E8 G1:AE1 H2:AB2 JA2:JA6 JD2:JX2 SW2:SW6 SZ2:TT2 ACS2:ACS6 ACV2:ADP2 AMO2:AMO6 AMR2:ANL2 AWK2:AWK6 AWN2:AXH2 BGG2:BGG6 BGJ2:BHD2 BQC2:BQC6 BQF2:BQZ2 BZY2:BZY6 CAB2:CAV2 CJU2:CJU6 CJX2:CKR2 CTQ2:CTQ6 CTT2:CUN2 DDM2:DDM6 DDP2:DEJ2 DNI2:DNI6 DNL2:DOF2 DXE2:DXE6 DXH2:DYB2 EHA2:EHA6 EHD2:EHX2 EQW2:EQW6 EQZ2:ERT2 FAS2:FAS6 FAV2:FBP2 FKO2:FKO6 FKR2:FLL2 FUK2:FUK6 FUN2:FVH2 GEG2:GEG6 GEJ2:GFD2 GOC2:GOC6 GOF2:GOZ2 GXY2:GXY6 GYB2:GYV2 HHU2:HHU6 HHX2:HIR2 HRQ2:HRQ6 HRT2:HSN2 IBM2:IBM6 IBP2:ICJ2 ILI2:ILI6 ILL2:IMF2 IVE2:IVE6 IVH2:IWB2 JFA2:JFA6 JFD2:JFX2 JOW2:JOW6 JOZ2:JPT2 JYS2:JYS6 JYV2:JZP2 KIO2:KIO6 KIR2:KJL2 KSK2:KSK6 KSN2:KTH2 LCG2:LCG6 LCJ2:LDD2 LMC2:LMC6 LMF2:LMZ2 LVY2:LVY6 LWB2:LWV2 MFU2:MFU6 MFX2:MGR2 MPQ2:MPQ6 MPT2:MQN2 MZM2:MZM6 MZP2:NAJ2 NJI2:NJI6 NJL2:NKF2 NTE2:NTE6 NTH2:NUB2 ODA2:ODA6 ODD2:ODX2 OMW2:OMW6 OMZ2:ONT2 OWS2:OWS6 OWV2:OXP2 PGO2:PGO6 PGR2:PHL2 PQK2:PQK6 PQN2:PRH2 QAG2:QAG6 QAJ2:QBD2 QKC2:QKC6 QKF2:QKZ2 QTY2:QTY6 QUB2:QUV2 RDU2:RDU6 RDX2:RER2 RNQ2:RNQ6 RNT2:RON2 RXM2:RXM6 RXP2:RYJ2 SHI2:SHI6 SHL2:SIF2 SRE2:SRE6 SRH2:SSB2 TBA2:TBA6 TBD2:TBX2 TKW2:TKW6 TKZ2:TLT2 TUS2:TUS6 TUV2:TVP2 UEO2:UEO6 UER2:UFL2 UOK2:UOK6 UON2:UPH2 UYG2:UYG6 UYJ2:UZD2 VIC2:VIC6 VIF2:VIZ2 VRY2:VRY6 VSB2:VSV2 WBU2:WBU6 WBX2:WCR2 WLQ2:WLQ6 WLT2:WMN2 WVM2:WVM6 WVP2:WWJ2 G3:AC3 JC3:JY3 SY3:TU3 ACU3:ADQ3 AMQ3:ANM3 AWM3:AXI3 BGI3:BHE3 BQE3:BRA3 CAA3:CAW3 CJW3:CKS3 CTS3:CUO3 DDO3:DEK3 DNK3:DOG3 DXG3:DYC3 EHC3:EHY3 EQY3:ERU3 FAU3:FBQ3 FKQ3:FLM3 FUM3:FVI3 GEI3:GFE3 GOE3:GPA3 GYA3:GYW3 HHW3:HIS3 HRS3:HSO3 IBO3:ICK3 ILK3:IMG3 IVG3:IWC3 JFC3:JFY3 JOY3:JPU3 JYU3:JZQ3 KIQ3:KJM3 KSM3:KTI3 LCI3:LDE3 LME3:LNA3 LWA3:LWW3 MFW3:MGS3 MPS3:MQO3 MZO3:NAK3 NJK3:NKG3 NTG3:NUC3 ODC3:ODY3 OMY3:ONU3 OWU3:OXQ3 PGQ3:PHM3 PQM3:PRI3 QAI3:QBE3 QKE3:QLA3 QUA3:QUW3 RDW3:RES3 RNS3:ROO3 RXO3:RYK3 SHK3:SIG3 SRG3:SSC3 TBC3:TBY3 TKY3:TLU3 TUU3:TVQ3 UEQ3:UFM3 UOM3:UPI3 UYI3:UZE3 VIE3:VJA3 VSA3:VSW3 WBW3:WCS3 WLS3:WMO3 WVO3:WWK3 S4:T4 Z4:AC4 JO4:JP4 JX4:JY4 TK4:TL4 TT4:TU4 ADG4:ADH4 ADP4:ADQ4 ANC4:AND4 ANL4:ANM4 AWY4:AWZ4 AXH4:AXI4 BGU4:BGV4 BHD4:BHE4 BQQ4:BQR4 BQZ4:BRA4 CAM4:CAN4 CAV4:CAW4 CKI4:CKJ4 CKR4:CKS4 CUE4:CUF4 CUN4:CUO4 DEA4:DEB4 DEJ4:DEK4 DNW4:DNX4 DOF4:DOG4 DXS4:DXT4 DYB4:DYC4 EHO4:EHP4 EHX4:EHY4 ERK4:ERL4 ERT4:ERU4 FBG4:FBH4 FBP4:FBQ4 FLC4:FLD4 FLL4:FLM4 FUY4:FUZ4 FVH4:FVI4 GEU4:GEV4 GFD4:GFE4 GOQ4:GOR4 GOZ4:GPA4 GYM4:GYN4 GYV4:GYW4 HII4:HIJ4 HIR4:HIS4 HSE4:HSF4 HSN4:HSO4 ICA4:ICB4 ICJ4:ICK4 ILW4:ILX4 IMF4:IMG4 IVS4:IVT4 IWB4:IWC4 JFO4:JFP4 JFX4:JFY4 JPK4:JPL4 JPT4:JPU4 JZG4:JZH4 JZP4:JZQ4 KJC4:KJD4 KJL4:KJM4 KSY4:KSZ4 KTH4:KTI4 LCU4:LCV4 LDD4:LDE4 LMQ4:LMR4 LMZ4:LNA4 LWM4:LWN4 LWV4:LWW4 MGI4:MGJ4 MGR4:MGS4 MQE4:MQF4 MQN4:MQO4 NAA4:NAB4 NAJ4:NAK4 NJW4:NJX4 NKF4:NKG4 NTS4:NTT4 NUB4:NUC4 ODO4:ODP4 ODX4:ODY4 ONK4:ONL4 ONT4:ONU4 OXG4:OXH4 OXP4:OXQ4 PHC4:PHD4 PHL4:PHM4 PQY4:PQZ4 PRH4:PRI4 QAU4:QAV4 QBD4:QBE4 QKQ4:QKR4 QKZ4:QLA4 QUM4:QUN4 QUV4:QUW4 REI4:REJ4 RER4:RES4 ROE4:ROF4 RON4:ROO4 RYA4:RYB4 RYJ4:RYK4 SHW4:SHX4 SIF4:SIG4 SRS4:SRT4 SSB4:SSC4 TBO4:TBP4 TBX4:TBY4 TLK4:TLL4 TLT4:TLU4 TVG4:TVH4 TVP4:TVQ4 UFC4:UFD4 UFL4:UFM4 UOY4:UOZ4 UPH4:UPI4 UYU4:UYV4 UZD4:UZE4 VIQ4:VIR4 VIZ4:VJA4 VSM4:VSN4 VSV4:VSW4 WCI4:WCJ4 WCR4:WCS4 WME4:WMF4 WMN4:WMO4 WWA4:WWB4 WWJ4:WWK4 G6:AE8 E16:E32 G16:AE32" type="whole">
      <formula1>0</formula1>
      <formula2>0</formula2>
    </dataValidation>
    <dataValidation allowBlank="true" error="Selecione uma opção da lista." errorStyle="stop" errorTitle="Atenção" operator="between" prompt="Selecione uma opção da lista." showDropDown="false" showErrorMessage="true" showInputMessage="true" sqref="B8:C8" type="list">
      <formula1>CRONOPLE.Lista.AdmLocal</formula1>
      <formula2>0</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100" fitToWidth="1" fitToHeight="1" pageOrder="downThenOver" orientation="landscape" blackAndWhite="false" draft="false" cellComments="none" horizontalDpi="300" verticalDpi="300" copies="1"/>
  <headerFooter differentFirst="false" differentOddEven="false">
    <oddHeader>&amp;L_&amp;C&amp;14I</oddHeader>
    <oddFooter>&amp;LPMv3.16&amp;R&amp;P /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pageSetUpPr fitToPage="false"/>
  </sheetPr>
  <dimension ref="A1:AG85"/>
  <sheetViews>
    <sheetView showFormulas="false" showGridLines="false" showRowColHeaders="true" showZeros="true" rightToLeft="false" tabSelected="false" showOutlineSymbols="true" defaultGridColor="true" view="normal" topLeftCell="A1" colorId="64" zoomScale="100" zoomScaleNormal="100" zoomScalePageLayoutView="90" workbookViewId="0">
      <pane xSplit="20" ySplit="13" topLeftCell="U14" activePane="bottomRight" state="frozen"/>
      <selection pane="topLeft" activeCell="A1" activeCellId="0" sqref="A1"/>
      <selection pane="topRight" activeCell="U1" activeCellId="0" sqref="U1"/>
      <selection pane="bottomLeft" activeCell="A14" activeCellId="0" sqref="A14"/>
      <selection pane="bottomRight" activeCell="A1" activeCellId="0" sqref="A1"/>
    </sheetView>
  </sheetViews>
  <sheetFormatPr defaultColWidth="9.1484375" defaultRowHeight="12.75" customHeight="false" zeroHeight="false" outlineLevelRow="0" outlineLevelCol="0"/>
  <cols>
    <col collapsed="false" customWidth="false" hidden="true" outlineLevel="0" max="1" min="1" style="380" width="9.14"/>
    <col collapsed="false" customWidth="false" hidden="true" outlineLevel="0" max="4" min="2" style="418" width="9.14"/>
    <col collapsed="false" customWidth="true" hidden="true" outlineLevel="0" max="5" min="5" style="380" width="11"/>
    <col collapsed="false" customWidth="true" hidden="true" outlineLevel="0" max="6" min="6" style="418" width="19"/>
    <col collapsed="false" customWidth="true" hidden="false" outlineLevel="0" max="7" min="7" style="380" width="3.57"/>
    <col collapsed="false" customWidth="true" hidden="false" outlineLevel="0" max="8" min="8" style="418" width="12.57"/>
    <col collapsed="false" customWidth="true" hidden="false" outlineLevel="0" max="9" min="9" style="380" width="7.15"/>
    <col collapsed="false" customWidth="true" hidden="false" outlineLevel="0" max="10" min="10" style="380" width="11.57"/>
    <col collapsed="false" customWidth="true" hidden="false" outlineLevel="0" max="11" min="11" style="380" width="12"/>
    <col collapsed="false" customWidth="true" hidden="false" outlineLevel="0" max="12" min="12" style="380" width="11"/>
    <col collapsed="false" customWidth="false" hidden="true" outlineLevel="0" max="18" min="13" style="418" width="9.14"/>
    <col collapsed="false" customWidth="true" hidden="false" outlineLevel="0" max="19" min="19" style="419" width="11.43"/>
    <col collapsed="false" customWidth="true" hidden="false" outlineLevel="0" max="20" min="20" style="419" width="9.57"/>
    <col collapsed="false" customWidth="true" hidden="false" outlineLevel="0" max="32" min="21" style="380" width="11"/>
    <col collapsed="false" customWidth="true" hidden="true" outlineLevel="0" max="33" min="33" style="380" width="5.57"/>
    <col collapsed="false" customWidth="false" hidden="false" outlineLevel="0" max="16384" min="34" style="380" width="9.14"/>
  </cols>
  <sheetData>
    <row r="1" customFormat="false" ht="12.75" hidden="true" customHeight="false" outlineLevel="0" collapsed="false">
      <c r="A1" s="380" t="e">
        <f aca="false">IF($M1&gt;1,_xlfn.CONCAT($I1," ",$J1),"")</f>
        <v>#VALUE!</v>
      </c>
      <c r="B1" s="418" t="e">
        <f aca="true">OFFSET(B1,-3,0)+1</f>
        <v>#VALUE!</v>
      </c>
      <c r="C1" s="418" t="e">
        <f aca="true">IF($R1&lt;&gt;2,0,IF($S1=0,1,IF(F2&gt;0,OFFSET(QCI!$M$13,SUBSTITUTE(F2,".",""),0),OFFSET(ORÇAMENTO!$AA$15,CRONO!$F1,0))/$S1))</f>
        <v>#VALUE!</v>
      </c>
      <c r="D1" s="418" t="e">
        <f aca="true">IF($R1&lt;&gt;2,0,IF($S1=0,1,IF(F2&gt;0,OFFSET(QCI!$N$13,SUBSTITUTE(F2,".",""),0),OFFSET(ORÇAMENTO!$AB$15,CRONO!$F1,0))/$S1))</f>
        <v>#VALUE!</v>
      </c>
      <c r="E1" s="421" t="e">
        <f aca="false" t="array" ref="E1:E1">IF(AND($R1=2,ACOMPANHAMENTO="BM"),ROUND(E2,4),E3/$S1)</f>
        <v>#VALUE!</v>
      </c>
      <c r="F1" s="418" t="e">
        <f aca="true" t="array" ref="F1:F1">IF(B1&lt;=ORÇAMENTO.MáximoListaCrono,MATCH(B1,ORÇAMENTO.ListaCrono,0),NA())</f>
        <v>#VALUE!</v>
      </c>
      <c r="G1" s="418" t="e">
        <f aca="false">IF(AND($F2&lt;&gt;-1,$S1&gt;0),"F","")</f>
        <v>#VALUE!</v>
      </c>
      <c r="H1" s="422" t="e">
        <f aca="false" t="array" ref="H1:H1">IF(OR(S1=0,S1=""),"Linha",IF(AND(OR(ACOMPANHAMENTO="PLE",$R1&lt;&gt;2),$F2=0),"Linha",ROUND(1-SUM(U1:AG1),4)))</f>
        <v>#VALUE!</v>
      </c>
      <c r="I1" s="423" t="e">
        <f aca="true">IF($F2=0,OFFSET(ORÇAMENTO!O$15,$F1,0),IF($F2&lt;&gt;-1,OFFSET(QCI!$D$13,$F2,0),""))</f>
        <v>#VALUE!</v>
      </c>
      <c r="J1" s="424" t="e">
        <f aca="true">IF($F2=0,OFFSET(ORÇAMENTO!R$15,$F1,0),IF($F2&lt;&gt;-1,OFFSET(QCI!$G$13,$F2,0),""))</f>
        <v>#VALUE!</v>
      </c>
      <c r="K1" s="424"/>
      <c r="L1" s="424"/>
      <c r="M1" s="425" t="e">
        <f aca="true">IF($F2=0,OFFSET(ORÇAMENTO!C$15,$F1,0),1)</f>
        <v>#VALUE!</v>
      </c>
      <c r="N1" s="426" t="e">
        <f aca="true">IF($F2=-1,0,IF(N$13&lt;=$M1,IF(ISERROR(MATCH(N$13,OFFSET($M1,1,0,ROW($M$68)-ROW($M1)-1),0)),ROW($M$68)-ROW($M1)-1,MATCH(N$13,OFFSET($M1,1,0,ROW($M$68)-ROW($M1)-1),0)-1),0))</f>
        <v>#VALUE!</v>
      </c>
      <c r="O1" s="426" t="e">
        <f aca="true">IF($F2=-1,0,IF(O$13&lt;=$M1,IF(ISERROR(MATCH(O$13,OFFSET($M1,1,0,ROW($M$68)-ROW($M1)-1),0)),ROW($M$68)-ROW($M1)-1,MATCH(O$13,OFFSET($M1,1,0,ROW($M$68)-ROW($M1)-1),0)-1),0))</f>
        <v>#VALUE!</v>
      </c>
      <c r="P1" s="426" t="e">
        <f aca="true">IF($F2=-1,0,IF(P$13&lt;=$M1,IF(ISERROR(MATCH(P$13,OFFSET($M1,1,0,ROW($M$68)-ROW($M1)-1),0)),ROW($M$68)-ROW($M1)-1,MATCH(P$13,OFFSET($M1,1,0,ROW($M$68)-ROW($M1)-1),0)-1),0))</f>
        <v>#VALUE!</v>
      </c>
      <c r="Q1" s="426" t="e">
        <f aca="true">IF($F2=-1,0,IF(Q$13&lt;=$M1,IF(ISERROR(MATCH(Q$13,OFFSET($M1,1,0,ROW($M$68)-ROW($M1)-1),0)),ROW($M$68)-ROW($M1)-1,MATCH(Q$13,OFFSET($M1,1,0,ROW($M$68)-ROW($M1)-1),0)-1),0))</f>
        <v>#VALUE!</v>
      </c>
      <c r="R1" s="426" t="e">
        <f aca="true">MIN(OFFSET(M1,0,1,,M1))</f>
        <v>#VALUE!</v>
      </c>
      <c r="S1" s="427" t="e">
        <f aca="true">IF($F2=0,OFFSET(ORÇAMENTO!X$15,$F1,0),IF($F2&lt;&gt;-1,OFFSET(QCI!$O$13,$F2,0),""))</f>
        <v>#VALUE!</v>
      </c>
      <c r="T1" s="428" t="s">
        <v>870</v>
      </c>
      <c r="U1" s="421" t="e">
        <f aca="false" t="array" ref="U1:U1">IF(AND($R1=2,ACOMPANHAMENTO="BM"),ROUND(U2,4),U3/$S1)</f>
        <v>#VALUE!</v>
      </c>
      <c r="V1" s="421" t="e">
        <f aca="false" t="array" ref="V1:V1">IF(AND($R1=2,ACOMPANHAMENTO="BM"),ROUND(V2,4),V3/$S1)</f>
        <v>#VALUE!</v>
      </c>
      <c r="W1" s="421" t="e">
        <f aca="false" t="array" ref="W1:W1">IF(AND($R1=2,ACOMPANHAMENTO="BM"),ROUND(W2,4),W3/$S1)</f>
        <v>#VALUE!</v>
      </c>
      <c r="X1" s="421" t="e">
        <f aca="false" t="array" ref="X1:X1">IF(AND($R1=2,ACOMPANHAMENTO="BM"),ROUND(X2,4),X3/$S1)</f>
        <v>#VALUE!</v>
      </c>
      <c r="Y1" s="421" t="e">
        <f aca="false" t="array" ref="Y1:Y1">IF(AND($R1=2,ACOMPANHAMENTO="BM"),ROUND(Y2,4),Y3/$S1)</f>
        <v>#VALUE!</v>
      </c>
      <c r="Z1" s="421" t="e">
        <f aca="false" t="array" ref="Z1:Z1">IF(AND($R1=2,ACOMPANHAMENTO="BM"),ROUND(Z2,4),Z3/$S1)</f>
        <v>#VALUE!</v>
      </c>
      <c r="AA1" s="421" t="e">
        <f aca="false" t="array" ref="AA1:AA1">IF(AND($R1=2,ACOMPANHAMENTO="BM"),ROUND(AA2,4),AA3/$S1)</f>
        <v>#VALUE!</v>
      </c>
      <c r="AB1" s="421" t="e">
        <f aca="false" t="array" ref="AB1:AB1">IF(AND($R1=2,ACOMPANHAMENTO="BM"),ROUND(AB2,4),AB3/$S1)</f>
        <v>#VALUE!</v>
      </c>
      <c r="AC1" s="421" t="e">
        <f aca="false" t="array" ref="AC1:AC1">IF(AND($R1=2,ACOMPANHAMENTO="BM"),ROUND(AC2,4),AC3/$S1)</f>
        <v>#VALUE!</v>
      </c>
      <c r="AD1" s="421" t="e">
        <f aca="false" t="array" ref="AD1:AD1">IF(AND($R1=2,ACOMPANHAMENTO="BM"),ROUND(AD2,4),AD3/$S1)</f>
        <v>#VALUE!</v>
      </c>
      <c r="AE1" s="421" t="e">
        <f aca="false" t="array" ref="AE1:AE1">IF(AND($R1=2,ACOMPANHAMENTO="BM"),ROUND(AE2,4),AE3/$S1)</f>
        <v>#VALUE!</v>
      </c>
      <c r="AF1" s="421" t="e">
        <f aca="false" t="array" ref="AF1:AF1">IF(AND($R1=2,ACOMPANHAMENTO="BM"),ROUND(AF2,4),AF3/$S1)</f>
        <v>#VALUE!</v>
      </c>
      <c r="AG1" s="429"/>
    </row>
    <row r="2" customFormat="false" ht="12.75" hidden="true" customHeight="true" outlineLevel="0" collapsed="false">
      <c r="E2" s="430"/>
      <c r="F2" s="418" t="e">
        <f aca="true">IF(ISERROR(F1),IF(1+COUNTIF($M$13:OFFSET(M1,-1,0),1)&lt;=MAX(QCI!$D$13:$D$24),1+COUNTIF($M$13:OFFSET(M1,-1,0),1),-1),0)</f>
        <v>#VALUE!</v>
      </c>
      <c r="G2" s="418" t="str">
        <f aca="true" t="array" ref="G2:G2">IF(ACOMPANHAMENTO="BM",OFFSET(G2,-1,0),"")</f>
        <v/>
      </c>
      <c r="H2" s="431" t="e">
        <f aca="false" t="array" ref="H2:H2">IF(OR(S1=0,S1=""),"vazia",IF(AND(OR(ACOMPANHAMENTO="PLE",$R1&lt;&gt;2),$F2=0),"calculada","--&gt;"))</f>
        <v>#VALUE!</v>
      </c>
      <c r="I2" s="432"/>
      <c r="J2" s="433" t="e">
        <f aca="false">IF(AND(H1&lt;&gt;0,ISNUMBER(H1)),"PREENCHA ESTA LINHA --&gt;","")</f>
        <v>#VALUE!</v>
      </c>
      <c r="K2" s="433"/>
      <c r="L2" s="433"/>
      <c r="M2" s="434"/>
      <c r="N2" s="434"/>
      <c r="O2" s="434"/>
      <c r="P2" s="434"/>
      <c r="Q2" s="434"/>
      <c r="R2" s="434"/>
      <c r="S2" s="435"/>
      <c r="T2" s="436"/>
      <c r="U2" s="430"/>
      <c r="V2" s="430"/>
      <c r="W2" s="430"/>
      <c r="X2" s="430"/>
      <c r="Y2" s="430"/>
      <c r="Z2" s="430"/>
      <c r="AA2" s="430"/>
      <c r="AB2" s="430"/>
      <c r="AC2" s="430"/>
      <c r="AD2" s="430"/>
      <c r="AE2" s="430"/>
      <c r="AF2" s="430"/>
      <c r="AG2" s="429"/>
    </row>
    <row r="3" customFormat="false" ht="12.75" hidden="true" customHeight="true" outlineLevel="0" collapsed="false">
      <c r="D3" s="437"/>
      <c r="E3" s="438" t="e">
        <f aca="true" t="array" ref="E3:E3">IF($R1=2,
         IF(AND(ACOMPANHAMENTO="PLE",ISNUMBER($F1)),
                SUMIF((OFFSET(CÁLCULO!$AM$15:$AW$15,$F1,0,OFFSET(ORÇAMENTO!$D$15,CRONO!$F1,0))),CRONO!E$12,OFFSET(CÁLCULO!$AB$15:$AL$15,$F1,0,OFFSET(ORÇAMENTO!$D$15,CRONO!$F1,0)))
                +IF(AND($F3&lt;&gt;"",$F3&lt;&gt;0),
                        SUMIF(CÁLCULO!$AM$15:$AW$21,CRONO!E$12,CÁLCULO!$AB$15:$AL$21)/(ORÇAMENTO!$X$15-CÁLCULO.TotalAdmLocal)*CRONO!$F3,
                        0),
                 E2*$S1),
          SUMIF(OFFSET($S3,1,0,$R1-2),($M1+1)&amp;"$",OFFSET(E3,1,0,$R1-2)))</f>
        <v>#VALUE!</v>
      </c>
      <c r="F3" s="418" t="e">
        <f aca="true">IF(OR($R1&lt;&gt;2,AUTOEVENTO&lt;&gt;"manual",$F2&gt;0),"",
        IF(Import.TipoArredondamento="Tradicional",
              SUMIF(OFFSET(CÁLCULO!$M$15,CRONO!$F1,0,OFFSET(ORÇAMENTO!$D$15,CRONO!$F1,0)),1,OFFSET(ORÇAMENTO!$X$15,CRONO!$F1,0,OFFSET(ORÇAMENTO!$D$15,CRONO!$F1,0))),
              0))</f>
        <v>#VALUE!</v>
      </c>
      <c r="H3" s="439"/>
      <c r="S3" s="440" t="e">
        <f aca="false">M1&amp;"$"</f>
        <v>#VALUE!</v>
      </c>
      <c r="T3" s="441"/>
      <c r="U3" s="438" t="e">
        <f aca="true" t="array" ref="U3:U3">IF($R1=2,
         IF(AND(ACOMPANHAMENTO="PLE",ISNUMBER($F1)),
                SUMIF((OFFSET(CÁLCULO!$AM$15:$AW$15,$F1,0,OFFSET(ORÇAMENTO!$D$15,CRONO!$F1,0))),CRONO!U$12,OFFSET(CÁLCULO!$AB$15:$AL$15,$F1,0,OFFSET(ORÇAMENTO!$D$15,CRONO!$F1,0)))
                +IF(AND($F3&lt;&gt;"",$F3&lt;&gt;0),
                        SUMIF(CÁLCULO!$AM$15:$AW$21,CRONO!U$12,CÁLCULO!$AB$15:$AL$21)/(ORÇAMENTO!$X$15-CÁLCULO.TotalAdmLocal)*CRONO!$F3,
                        0),
                 U2*$S1),
          SUMIF(OFFSET($S3,1,0,$R1-2),($M1+1)&amp;"$",OFFSET(U3,1,0,$R1-2)))</f>
        <v>#VALUE!</v>
      </c>
      <c r="V3" s="438" t="e">
        <f aca="true" t="array" ref="V3:V3">IF($R1=2,
         IF(AND(ACOMPANHAMENTO="PLE",ISNUMBER($F1)),
                SUMIF((OFFSET(CÁLCULO!$AM$15:$AW$15,$F1,0,OFFSET(ORÇAMENTO!$D$15,CRONO!$F1,0))),CRONO!V$12,OFFSET(CÁLCULO!$AB$15:$AL$15,$F1,0,OFFSET(ORÇAMENTO!$D$15,CRONO!$F1,0)))
                +IF(AND($F3&lt;&gt;"",$F3&lt;&gt;0),
                        SUMIF(CÁLCULO!$AM$15:$AW$21,CRONO!V$12,CÁLCULO!$AB$15:$AL$21)/(ORÇAMENTO!$X$15-CÁLCULO.TotalAdmLocal)*CRONO!$F3,
                        0),
                 V2*$S1),
          SUMIF(OFFSET($S3,1,0,$R1-2),($M1+1)&amp;"$",OFFSET(V3,1,0,$R1-2)))</f>
        <v>#VALUE!</v>
      </c>
      <c r="W3" s="438" t="e">
        <f aca="true" t="array" ref="W3:W3">IF($R1=2,
         IF(AND(ACOMPANHAMENTO="PLE",ISNUMBER($F1)),
                SUMIF((OFFSET(CÁLCULO!$AM$15:$AW$15,$F1,0,OFFSET(ORÇAMENTO!$D$15,CRONO!$F1,0))),CRONO!W$12,OFFSET(CÁLCULO!$AB$15:$AL$15,$F1,0,OFFSET(ORÇAMENTO!$D$15,CRONO!$F1,0)))
                +IF(AND($F3&lt;&gt;"",$F3&lt;&gt;0),
                        SUMIF(CÁLCULO!$AM$15:$AW$21,CRONO!W$12,CÁLCULO!$AB$15:$AL$21)/(ORÇAMENTO!$X$15-CÁLCULO.TotalAdmLocal)*CRONO!$F3,
                        0),
                 W2*$S1),
          SUMIF(OFFSET($S3,1,0,$R1-2),($M1+1)&amp;"$",OFFSET(W3,1,0,$R1-2)))</f>
        <v>#VALUE!</v>
      </c>
      <c r="X3" s="438" t="e">
        <f aca="true" t="array" ref="X3:X3">IF($R1=2,
         IF(AND(ACOMPANHAMENTO="PLE",ISNUMBER($F1)),
                SUMIF((OFFSET(CÁLCULO!$AM$15:$AW$15,$F1,0,OFFSET(ORÇAMENTO!$D$15,CRONO!$F1,0))),CRONO!X$12,OFFSET(CÁLCULO!$AB$15:$AL$15,$F1,0,OFFSET(ORÇAMENTO!$D$15,CRONO!$F1,0)))
                +IF(AND($F3&lt;&gt;"",$F3&lt;&gt;0),
                        SUMIF(CÁLCULO!$AM$15:$AW$21,CRONO!X$12,CÁLCULO!$AB$15:$AL$21)/(ORÇAMENTO!$X$15-CÁLCULO.TotalAdmLocal)*CRONO!$F3,
                        0),
                 X2*$S1),
          SUMIF(OFFSET($S3,1,0,$R1-2),($M1+1)&amp;"$",OFFSET(X3,1,0,$R1-2)))</f>
        <v>#VALUE!</v>
      </c>
      <c r="Y3" s="438" t="e">
        <f aca="true" t="array" ref="Y3:Y3">IF($R1=2,
         IF(AND(ACOMPANHAMENTO="PLE",ISNUMBER($F1)),
                SUMIF((OFFSET(CÁLCULO!$AM$15:$AW$15,$F1,0,OFFSET(ORÇAMENTO!$D$15,CRONO!$F1,0))),CRONO!Y$12,OFFSET(CÁLCULO!$AB$15:$AL$15,$F1,0,OFFSET(ORÇAMENTO!$D$15,CRONO!$F1,0)))
                +IF(AND($F3&lt;&gt;"",$F3&lt;&gt;0),
                        SUMIF(CÁLCULO!$AM$15:$AW$21,CRONO!Y$12,CÁLCULO!$AB$15:$AL$21)/(ORÇAMENTO!$X$15-CÁLCULO.TotalAdmLocal)*CRONO!$F3,
                        0),
                 Y2*$S1),
          SUMIF(OFFSET($S3,1,0,$R1-2),($M1+1)&amp;"$",OFFSET(Y3,1,0,$R1-2)))</f>
        <v>#VALUE!</v>
      </c>
      <c r="Z3" s="438" t="e">
        <f aca="true" t="array" ref="Z3:Z3">IF($R1=2,
         IF(AND(ACOMPANHAMENTO="PLE",ISNUMBER($F1)),
                SUMIF((OFFSET(CÁLCULO!$AM$15:$AW$15,$F1,0,OFFSET(ORÇAMENTO!$D$15,CRONO!$F1,0))),CRONO!Z$12,OFFSET(CÁLCULO!$AB$15:$AL$15,$F1,0,OFFSET(ORÇAMENTO!$D$15,CRONO!$F1,0)))
                +IF(AND($F3&lt;&gt;"",$F3&lt;&gt;0),
                        SUMIF(CÁLCULO!$AM$15:$AW$21,CRONO!Z$12,CÁLCULO!$AB$15:$AL$21)/(ORÇAMENTO!$X$15-CÁLCULO.TotalAdmLocal)*CRONO!$F3,
                        0),
                 Z2*$S1),
          SUMIF(OFFSET($S3,1,0,$R1-2),($M1+1)&amp;"$",OFFSET(Z3,1,0,$R1-2)))</f>
        <v>#VALUE!</v>
      </c>
      <c r="AA3" s="438" t="e">
        <f aca="true" t="array" ref="AA3:AA3">IF($R1=2,
         IF(AND(ACOMPANHAMENTO="PLE",ISNUMBER($F1)),
                SUMIF((OFFSET(CÁLCULO!$AM$15:$AW$15,$F1,0,OFFSET(ORÇAMENTO!$D$15,CRONO!$F1,0))),CRONO!AA$12,OFFSET(CÁLCULO!$AB$15:$AL$15,$F1,0,OFFSET(ORÇAMENTO!$D$15,CRONO!$F1,0)))
                +IF(AND($F3&lt;&gt;"",$F3&lt;&gt;0),
                        SUMIF(CÁLCULO!$AM$15:$AW$21,CRONO!AA$12,CÁLCULO!$AB$15:$AL$21)/(ORÇAMENTO!$X$15-CÁLCULO.TotalAdmLocal)*CRONO!$F3,
                        0),
                 AA2*$S1),
          SUMIF(OFFSET($S3,1,0,$R1-2),($M1+1)&amp;"$",OFFSET(AA3,1,0,$R1-2)))</f>
        <v>#VALUE!</v>
      </c>
      <c r="AB3" s="438" t="e">
        <f aca="true" t="array" ref="AB3:AB3">IF($R1=2,
         IF(AND(ACOMPANHAMENTO="PLE",ISNUMBER($F1)),
                SUMIF((OFFSET(CÁLCULO!$AM$15:$AW$15,$F1,0,OFFSET(ORÇAMENTO!$D$15,CRONO!$F1,0))),CRONO!AB$12,OFFSET(CÁLCULO!$AB$15:$AL$15,$F1,0,OFFSET(ORÇAMENTO!$D$15,CRONO!$F1,0)))
                +IF(AND($F3&lt;&gt;"",$F3&lt;&gt;0),
                        SUMIF(CÁLCULO!$AM$15:$AW$21,CRONO!AB$12,CÁLCULO!$AB$15:$AL$21)/(ORÇAMENTO!$X$15-CÁLCULO.TotalAdmLocal)*CRONO!$F3,
                        0),
                 AB2*$S1),
          SUMIF(OFFSET($S3,1,0,$R1-2),($M1+1)&amp;"$",OFFSET(AB3,1,0,$R1-2)))</f>
        <v>#VALUE!</v>
      </c>
      <c r="AC3" s="438" t="e">
        <f aca="true" t="array" ref="AC3:AC3">IF($R1=2,
         IF(AND(ACOMPANHAMENTO="PLE",ISNUMBER($F1)),
                SUMIF((OFFSET(CÁLCULO!$AM$15:$AW$15,$F1,0,OFFSET(ORÇAMENTO!$D$15,CRONO!$F1,0))),CRONO!AC$12,OFFSET(CÁLCULO!$AB$15:$AL$15,$F1,0,OFFSET(ORÇAMENTO!$D$15,CRONO!$F1,0)))
                +IF(AND($F3&lt;&gt;"",$F3&lt;&gt;0),
                        SUMIF(CÁLCULO!$AM$15:$AW$21,CRONO!AC$12,CÁLCULO!$AB$15:$AL$21)/(ORÇAMENTO!$X$15-CÁLCULO.TotalAdmLocal)*CRONO!$F3,
                        0),
                 AC2*$S1),
          SUMIF(OFFSET($S3,1,0,$R1-2),($M1+1)&amp;"$",OFFSET(AC3,1,0,$R1-2)))</f>
        <v>#VALUE!</v>
      </c>
      <c r="AD3" s="438" t="e">
        <f aca="true" t="array" ref="AD3:AD3">IF($R1=2,
         IF(AND(ACOMPANHAMENTO="PLE",ISNUMBER($F1)),
                SUMIF((OFFSET(CÁLCULO!$AM$15:$AW$15,$F1,0,OFFSET(ORÇAMENTO!$D$15,CRONO!$F1,0))),CRONO!AD$12,OFFSET(CÁLCULO!$AB$15:$AL$15,$F1,0,OFFSET(ORÇAMENTO!$D$15,CRONO!$F1,0)))
                +IF(AND($F3&lt;&gt;"",$F3&lt;&gt;0),
                        SUMIF(CÁLCULO!$AM$15:$AW$21,CRONO!AD$12,CÁLCULO!$AB$15:$AL$21)/(ORÇAMENTO!$X$15-CÁLCULO.TotalAdmLocal)*CRONO!$F3,
                        0),
                 AD2*$S1),
          SUMIF(OFFSET($S3,1,0,$R1-2),($M1+1)&amp;"$",OFFSET(AD3,1,0,$R1-2)))</f>
        <v>#VALUE!</v>
      </c>
      <c r="AE3" s="438" t="e">
        <f aca="true" t="array" ref="AE3:AE3">IF($R1=2,
         IF(AND(ACOMPANHAMENTO="PLE",ISNUMBER($F1)),
                SUMIF((OFFSET(CÁLCULO!$AM$15:$AW$15,$F1,0,OFFSET(ORÇAMENTO!$D$15,CRONO!$F1,0))),CRONO!AE$12,OFFSET(CÁLCULO!$AB$15:$AL$15,$F1,0,OFFSET(ORÇAMENTO!$D$15,CRONO!$F1,0)))
                +IF(AND($F3&lt;&gt;"",$F3&lt;&gt;0),
                        SUMIF(CÁLCULO!$AM$15:$AW$21,CRONO!AE$12,CÁLCULO!$AB$15:$AL$21)/(ORÇAMENTO!$X$15-CÁLCULO.TotalAdmLocal)*CRONO!$F3,
                        0),
                 AE2*$S1),
          SUMIF(OFFSET($S3,1,0,$R1-2),($M1+1)&amp;"$",OFFSET(AE3,1,0,$R1-2)))</f>
        <v>#VALUE!</v>
      </c>
      <c r="AF3" s="438" t="e">
        <f aca="true" t="array" ref="AF3:AF3">IF($R1=2,
         IF(AND(ACOMPANHAMENTO="PLE",ISNUMBER($F1)),
                SUMIF((OFFSET(CÁLCULO!$AM$15:$AW$15,$F1,0,OFFSET(ORÇAMENTO!$D$15,CRONO!$F1,0))),CRONO!AF$12,OFFSET(CÁLCULO!$AB$15:$AL$15,$F1,0,OFFSET(ORÇAMENTO!$D$15,CRONO!$F1,0)))
                +IF(AND($F3&lt;&gt;"",$F3&lt;&gt;0),
                        SUMIF(CÁLCULO!$AM$15:$AW$21,CRONO!AF$12,CÁLCULO!$AB$15:$AL$21)/(ORÇAMENTO!$X$15-CÁLCULO.TotalAdmLocal)*CRONO!$F3,
                        0),
                 AF2*$S1),
          SUMIF(OFFSET($S3,1,0,$R1-2),($M1+1)&amp;"$",OFFSET(AF3,1,0,$R1-2)))</f>
        <v>#VALUE!</v>
      </c>
      <c r="AG3" s="429"/>
    </row>
    <row r="4" customFormat="false" ht="15" hidden="false" customHeight="true" outlineLevel="0" collapsed="false">
      <c r="S4" s="442" t="str">
        <f aca="false" t="array" ref="S4:S4">IF(TIPOORCAMENTO="licitado","CFF - CRONOGRAMA FÍSICO-FINANCEIRO LICITADO","CFF - CRONOGRAMA FÍSICO-FINANCEIRO")</f>
        <v>CFF - CRONOGRAMA FÍSICO-FINANCEIRO</v>
      </c>
      <c r="AE4" s="97" t="s">
        <v>702</v>
      </c>
      <c r="AF4" s="97"/>
    </row>
    <row r="5" customFormat="false" ht="15" hidden="false" customHeight="false" outlineLevel="0" collapsed="false">
      <c r="S5" s="157" t="str">
        <f aca="false">import.recurso</f>
        <v>(SELECIONAR)</v>
      </c>
      <c r="AE5" s="58" t="s">
        <v>705</v>
      </c>
      <c r="AF5" s="58"/>
    </row>
    <row r="6" customFormat="false" ht="12.75" hidden="false" customHeight="true" outlineLevel="0" collapsed="false"/>
    <row r="7" customFormat="false" ht="12.75" hidden="false" customHeight="true" outlineLevel="0" collapsed="false">
      <c r="F7" s="443"/>
      <c r="H7" s="444" t="s">
        <v>871</v>
      </c>
      <c r="I7" s="266" t="s">
        <v>708</v>
      </c>
      <c r="J7" s="445"/>
      <c r="K7" s="446" t="s">
        <v>872</v>
      </c>
      <c r="L7" s="447" t="s">
        <v>873</v>
      </c>
      <c r="M7" s="380"/>
      <c r="N7" s="380"/>
      <c r="O7" s="380"/>
      <c r="T7" s="379"/>
      <c r="U7" s="266" t="s">
        <v>832</v>
      </c>
      <c r="Y7" s="445"/>
      <c r="Z7" s="266" t="str">
        <f aca="false" t="array" ref="Z7:Z7">IF(TIPOORCAMENTO="Licitado","NOME DA EMPRESA","DESCRIÇÃO DO LOTE")</f>
        <v>DESCRIÇÃO DO LOTE</v>
      </c>
      <c r="AF7" s="448" t="str">
        <f aca="false" t="array" ref="AF7:AF7">IF(TIPOORCAMENTO="Licitado","Nº CTEF","")</f>
        <v/>
      </c>
    </row>
    <row r="8" customFormat="false" ht="12.75" hidden="false" customHeight="false" outlineLevel="0" collapsed="false">
      <c r="A8" s="380" t="s">
        <v>874</v>
      </c>
      <c r="E8" s="418"/>
      <c r="F8" s="203"/>
      <c r="G8" s="102" t="s">
        <v>713</v>
      </c>
      <c r="H8" s="444"/>
      <c r="I8" s="271" t="n">
        <f aca="false">Import.CR</f>
        <v>0</v>
      </c>
      <c r="J8" s="271"/>
      <c r="K8" s="449" t="n">
        <f aca="false">Import.TransfereGOV</f>
        <v>0</v>
      </c>
      <c r="L8" s="450" t="n">
        <f aca="false">Import.Proponente</f>
        <v>0</v>
      </c>
      <c r="M8" s="450"/>
      <c r="N8" s="450"/>
      <c r="O8" s="450"/>
      <c r="P8" s="450"/>
      <c r="Q8" s="450"/>
      <c r="R8" s="450"/>
      <c r="S8" s="450"/>
      <c r="T8" s="450"/>
      <c r="U8" s="271" t="str">
        <f aca="false">Import.Apelido</f>
        <v>REVITALIZAÇÃO DIVERSAS RUAS</v>
      </c>
      <c r="V8" s="271"/>
      <c r="W8" s="271"/>
      <c r="X8" s="271"/>
      <c r="Y8" s="271"/>
      <c r="Z8" s="451" t="str">
        <f aca="false" t="array" ref="Z8:Z8">IF(TIPOORCAMENTO="Licitado",Import.empresa,Import.DescLote)</f>
        <v>REVITALIZAÇÃO DIVERSAS RUAS</v>
      </c>
      <c r="AA8" s="451"/>
      <c r="AB8" s="451"/>
      <c r="AC8" s="451"/>
      <c r="AD8" s="451"/>
      <c r="AE8" s="451"/>
      <c r="AF8" s="439" t="str">
        <f aca="false" t="array" ref="AF8:AF8">IF(TIPOORCAMENTO="Licitado",Import.CTEF,"")</f>
        <v/>
      </c>
    </row>
    <row r="9" customFormat="false" ht="12.75" hidden="false" customHeight="false" outlineLevel="0" collapsed="false">
      <c r="A9" s="452" t="n">
        <v>2</v>
      </c>
      <c r="F9" s="203"/>
      <c r="G9" s="102"/>
      <c r="H9" s="444"/>
    </row>
    <row r="10" customFormat="false" ht="12.75" hidden="false" customHeight="false" outlineLevel="0" collapsed="false">
      <c r="A10" s="431" t="n">
        <v>3</v>
      </c>
      <c r="F10" s="418" t="n">
        <f aca="true" t="array" ref="F10:F10">CRONO.LinhasNecessarias</f>
        <v>3</v>
      </c>
      <c r="G10" s="102"/>
      <c r="H10" s="453" t="n">
        <v>2</v>
      </c>
      <c r="K10" s="454" t="e">
        <f aca="true" t="array" ref="K10:K10">IF(MAX($B$13:$B$68)&lt;CRONO.LinhasNecessarias,"ERRO: NÚMERO DE LINHAS DO CRONOGRAMA INSUFICIENTE. CLIQUE EM ATUALIZAR LINHAS.",IF(AND(ACOMPANHAMENTO="PLE",ROUND(OFFSET($AG$78,0,-1),2)=0),"CRONOGRAMA DEVE SER PREENCHIDO POR EVENTOS",IF(ROUND(OFFSET($AG$78,0,-1),2)&lt;&gt;$R$69,"ERRO: CRONOGRAMA NÃO FECHA 100%","")))</f>
        <v>#VALUE!</v>
      </c>
      <c r="L10" s="454"/>
      <c r="M10" s="454"/>
      <c r="N10" s="454"/>
      <c r="O10" s="454"/>
      <c r="P10" s="454"/>
      <c r="Q10" s="454"/>
      <c r="R10" s="454"/>
      <c r="S10" s="454"/>
      <c r="T10" s="454"/>
    </row>
    <row r="11" customFormat="false" ht="12.75" hidden="false" customHeight="true" outlineLevel="0" collapsed="false">
      <c r="A11" s="439" t="n">
        <v>4</v>
      </c>
      <c r="F11" s="418" t="e">
        <f aca="false" t="array" ref="F11:F11">CRONO.ParcelaFinal</f>
        <v>#N/A</v>
      </c>
      <c r="G11" s="102"/>
      <c r="I11" s="455"/>
      <c r="J11" s="455"/>
      <c r="K11" s="454"/>
      <c r="L11" s="454"/>
      <c r="M11" s="454"/>
      <c r="N11" s="454"/>
      <c r="O11" s="454"/>
      <c r="P11" s="454"/>
      <c r="Q11" s="454"/>
      <c r="R11" s="454"/>
      <c r="S11" s="454"/>
      <c r="T11" s="454"/>
    </row>
    <row r="12" customFormat="false" ht="12.75" hidden="false" customHeight="true" outlineLevel="0" collapsed="false">
      <c r="A12" s="380" t="s">
        <v>875</v>
      </c>
      <c r="E12" s="456" t="n">
        <f aca="true">OFFSET(E12,0,-1)+1</f>
        <v>1</v>
      </c>
      <c r="G12" s="109" t="s">
        <v>718</v>
      </c>
      <c r="H12" s="457" t="s">
        <v>876</v>
      </c>
      <c r="I12" s="458" t="s">
        <v>805</v>
      </c>
      <c r="J12" s="459" t="s">
        <v>161</v>
      </c>
      <c r="K12" s="460"/>
      <c r="L12" s="460"/>
      <c r="M12" s="461"/>
      <c r="N12" s="461"/>
      <c r="O12" s="461"/>
      <c r="P12" s="461"/>
      <c r="Q12" s="461"/>
      <c r="R12" s="461"/>
      <c r="S12" s="462" t="s">
        <v>877</v>
      </c>
      <c r="T12" s="463" t="s">
        <v>878</v>
      </c>
      <c r="U12" s="464" t="n">
        <v>1</v>
      </c>
      <c r="V12" s="456" t="n">
        <f aca="true">OFFSET(V12,0,-1)+1</f>
        <v>2</v>
      </c>
      <c r="W12" s="456" t="n">
        <f aca="true">OFFSET(W12,0,-1)+1</f>
        <v>3</v>
      </c>
      <c r="X12" s="456" t="n">
        <f aca="true">OFFSET(X12,0,-1)+1</f>
        <v>4</v>
      </c>
      <c r="Y12" s="456" t="n">
        <f aca="true">OFFSET(Y12,0,-1)+1</f>
        <v>5</v>
      </c>
      <c r="Z12" s="456" t="n">
        <f aca="true">OFFSET(Z12,0,-1)+1</f>
        <v>6</v>
      </c>
      <c r="AA12" s="456" t="n">
        <f aca="true">OFFSET(AA12,0,-1)+1</f>
        <v>7</v>
      </c>
      <c r="AB12" s="456" t="n">
        <f aca="true">OFFSET(AB12,0,-1)+1</f>
        <v>8</v>
      </c>
      <c r="AC12" s="456" t="n">
        <f aca="true">OFFSET(AC12,0,-1)+1</f>
        <v>9</v>
      </c>
      <c r="AD12" s="456" t="n">
        <f aca="true">OFFSET(AD12,0,-1)+1</f>
        <v>10</v>
      </c>
      <c r="AE12" s="456" t="n">
        <f aca="true">OFFSET(AE12,0,-1)+1</f>
        <v>11</v>
      </c>
      <c r="AF12" s="465" t="n">
        <f aca="true">OFFSET(AF12,0,-1)+1</f>
        <v>12</v>
      </c>
      <c r="AG12" s="429"/>
    </row>
    <row r="13" customFormat="false" ht="24.75" hidden="false" customHeight="true" outlineLevel="0" collapsed="false">
      <c r="B13" s="466" t="s">
        <v>879</v>
      </c>
      <c r="C13" s="466" t="s">
        <v>514</v>
      </c>
      <c r="D13" s="466" t="s">
        <v>776</v>
      </c>
      <c r="E13" s="467" t="e">
        <f aca="true">OFFSET(E13,0,-1)+41-DAY(OFFSET(E13,0,-1)+40)</f>
        <v>#VALUE!</v>
      </c>
      <c r="F13" s="466" t="s">
        <v>880</v>
      </c>
      <c r="H13" s="457"/>
      <c r="I13" s="458"/>
      <c r="J13" s="459"/>
      <c r="K13" s="468"/>
      <c r="L13" s="468"/>
      <c r="M13" s="469" t="s">
        <v>803</v>
      </c>
      <c r="N13" s="469" t="n">
        <v>1</v>
      </c>
      <c r="O13" s="469" t="n">
        <v>2</v>
      </c>
      <c r="P13" s="469" t="n">
        <v>3</v>
      </c>
      <c r="Q13" s="469" t="n">
        <v>4</v>
      </c>
      <c r="R13" s="470" t="s">
        <v>881</v>
      </c>
      <c r="S13" s="462"/>
      <c r="T13" s="463"/>
      <c r="U13" s="471" t="n">
        <v>45870</v>
      </c>
      <c r="V13" s="467" t="n">
        <f aca="true">OFFSET(V13,0,-1)+41-DAY(OFFSET(V13,0,-1)+40)</f>
        <v>45901</v>
      </c>
      <c r="W13" s="467" t="n">
        <f aca="true">OFFSET(W13,0,-1)+41-DAY(OFFSET(W13,0,-1)+40)</f>
        <v>45931</v>
      </c>
      <c r="X13" s="467" t="n">
        <f aca="true">OFFSET(X13,0,-1)+41-DAY(OFFSET(X13,0,-1)+40)</f>
        <v>45962</v>
      </c>
      <c r="Y13" s="467" t="n">
        <f aca="true">OFFSET(Y13,0,-1)+41-DAY(OFFSET(Y13,0,-1)+40)</f>
        <v>45992</v>
      </c>
      <c r="Z13" s="467" t="n">
        <f aca="true">OFFSET(Z13,0,-1)+41-DAY(OFFSET(Z13,0,-1)+40)</f>
        <v>46023</v>
      </c>
      <c r="AA13" s="467" t="n">
        <f aca="true">OFFSET(AA13,0,-1)+41-DAY(OFFSET(AA13,0,-1)+40)</f>
        <v>46054</v>
      </c>
      <c r="AB13" s="467" t="n">
        <f aca="true">OFFSET(AB13,0,-1)+41-DAY(OFFSET(AB13,0,-1)+40)</f>
        <v>46082</v>
      </c>
      <c r="AC13" s="467" t="n">
        <f aca="true">OFFSET(AC13,0,-1)+41-DAY(OFFSET(AC13,0,-1)+40)</f>
        <v>46113</v>
      </c>
      <c r="AD13" s="467" t="n">
        <f aca="true">OFFSET(AD13,0,-1)+41-DAY(OFFSET(AD13,0,-1)+40)</f>
        <v>46143</v>
      </c>
      <c r="AE13" s="467" t="n">
        <f aca="true">OFFSET(AE13,0,-1)+41-DAY(OFFSET(AE13,0,-1)+40)</f>
        <v>46174</v>
      </c>
      <c r="AF13" s="472" t="n">
        <f aca="true">OFFSET(AF13,0,-1)+41-DAY(OFFSET(AF13,0,-1)+40)</f>
        <v>46204</v>
      </c>
      <c r="AG13" s="429"/>
    </row>
    <row r="14" customFormat="false" ht="12.75" hidden="false" customHeight="false" outlineLevel="0" collapsed="false">
      <c r="A14" s="380" t="str">
        <f aca="false">IF($M14&gt;1,_xlfn.CONCAT($I14," ",$J14),"")</f>
        <v/>
      </c>
      <c r="B14" s="418" t="n">
        <f aca="true">OFFSET(B14,-3,0)+1</f>
        <v>1</v>
      </c>
      <c r="C14" s="418" t="n">
        <f aca="true">IF($R14&lt;&gt;2,0,IF($S14=0,1,IF(F15&gt;0,OFFSET(QCI!$M$13,SUBSTITUTE(F15,".",""),0),OFFSET(ORÇAMENTO!$AA$15,CRONO!$F14,0))/$S14))</f>
        <v>0</v>
      </c>
      <c r="D14" s="418" t="n">
        <f aca="true">IF($R14&lt;&gt;2,0,IF($S14=0,1,IF(F15&gt;0,OFFSET(QCI!$N$13,SUBSTITUTE(F15,".",""),0),OFFSET(ORÇAMENTO!$AB$15,CRONO!$F14,0))/$S14))</f>
        <v>0</v>
      </c>
      <c r="E14" s="421" t="e">
        <f aca="false" t="array" ref="E14:E14">IF(AND($R14=2,ACOMPANHAMENTO="BM"),ROUND(E15,4),E16/$S14)</f>
        <v>#DIV/0!</v>
      </c>
      <c r="F14" s="418" t="n">
        <f aca="true" t="array" ref="F14:F14">IF(B14&lt;=ORÇAMENTO.MáximoListaCrono,MATCH(B14,ORÇAMENTO.ListaCrono,0),NA())</f>
        <v>1</v>
      </c>
      <c r="G14" s="418" t="str">
        <f aca="false">IF(AND($F15&lt;&gt;-1,$S14&gt;0),"F","")</f>
        <v/>
      </c>
      <c r="H14" s="422" t="str">
        <f aca="false" t="array" ref="H14:H14">IF(OR(S14=0,S14=""),"Linha",IF(AND(OR(ACOMPANHAMENTO="PLE",$R14&lt;&gt;2),$F15=0),"Linha",ROUND(1-SUM(U14:AG14),4)))</f>
        <v>Linha</v>
      </c>
      <c r="I14" s="423" t="str">
        <f aca="true">IF($F15=0,OFFSET(ORÇAMENTO!O$15,$F14,0),IF($F15&lt;&gt;-1,OFFSET(QCI!$D$13,$F15,0),""))</f>
        <v>1.</v>
      </c>
      <c r="J14" s="424" t="str">
        <f aca="true">IF($F15=0,OFFSET(ORÇAMENTO!R$15,$F14,0),IF($F15&lt;&gt;-1,OFFSET(QCI!$G$13,$F15,0),""))</f>
        <v>REVITALIZAÇÃO DIVERSAS RUAS - RUA CARLOS GOMES</v>
      </c>
      <c r="K14" s="424"/>
      <c r="L14" s="424"/>
      <c r="M14" s="425" t="n">
        <f aca="true">IF($F15=0,OFFSET(ORÇAMENTO!C$15,$F14,0),1)</f>
        <v>1</v>
      </c>
      <c r="N14" s="426" t="n">
        <f aca="true">IF($F15=-1,0,IF(N$13&lt;=$M14,IF(ISERROR(MATCH(N$13,OFFSET($M14,1,0,ROW($M$68)-ROW($M14)-1),0)),ROW($M$68)-ROW($M14)-1,MATCH(N$13,OFFSET($M14,1,0,ROW($M$68)-ROW($M14)-1),0)-1),0))</f>
        <v>8</v>
      </c>
      <c r="O14" s="426" t="n">
        <f aca="true">IF($F15=-1,0,IF(O$13&lt;=$M14,IF(ISERROR(MATCH(O$13,OFFSET($M14,1,0,ROW($M$68)-ROW($M14)-1),0)),ROW($M$68)-ROW($M14)-1,MATCH(O$13,OFFSET($M14,1,0,ROW($M$68)-ROW($M14)-1),0)-1),0))</f>
        <v>0</v>
      </c>
      <c r="P14" s="426" t="n">
        <f aca="true">IF($F15=-1,0,IF(P$13&lt;=$M14,IF(ISERROR(MATCH(P$13,OFFSET($M14,1,0,ROW($M$68)-ROW($M14)-1),0)),ROW($M$68)-ROW($M14)-1,MATCH(P$13,OFFSET($M14,1,0,ROW($M$68)-ROW($M14)-1),0)-1),0))</f>
        <v>0</v>
      </c>
      <c r="Q14" s="426" t="n">
        <f aca="true">IF($F15=-1,0,IF(Q$13&lt;=$M14,IF(ISERROR(MATCH(Q$13,OFFSET($M14,1,0,ROW($M$68)-ROW($M14)-1),0)),ROW($M$68)-ROW($M14)-1,MATCH(Q$13,OFFSET($M14,1,0,ROW($M$68)-ROW($M14)-1),0)-1),0))</f>
        <v>0</v>
      </c>
      <c r="R14" s="426" t="n">
        <f aca="true">MIN(OFFSET(M14,0,1,,M14))</f>
        <v>8</v>
      </c>
      <c r="S14" s="427" t="n">
        <f aca="true">IF($F15=0,OFFSET(ORÇAMENTO!X$15,$F14,0),IF($F15&lt;&gt;-1,OFFSET(QCI!$O$13,$F15,0),""))</f>
        <v>0</v>
      </c>
      <c r="T14" s="428" t="s">
        <v>870</v>
      </c>
      <c r="U14" s="421" t="e">
        <f aca="false" t="array" ref="U14:U14">IF(AND($R14=2,ACOMPANHAMENTO="BM"),ROUND(U15,4),U16/$S14)</f>
        <v>#DIV/0!</v>
      </c>
      <c r="V14" s="421" t="e">
        <f aca="false" t="array" ref="V14:V14">IF(AND($R14=2,ACOMPANHAMENTO="BM"),ROUND(V15,4),V16/$S14)</f>
        <v>#DIV/0!</v>
      </c>
      <c r="W14" s="421" t="e">
        <f aca="false" t="array" ref="W14:W14">IF(AND($R14=2,ACOMPANHAMENTO="BM"),ROUND(W15,4),W16/$S14)</f>
        <v>#DIV/0!</v>
      </c>
      <c r="X14" s="421" t="e">
        <f aca="false" t="array" ref="X14:X14">IF(AND($R14=2,ACOMPANHAMENTO="BM"),ROUND(X15,4),X16/$S14)</f>
        <v>#DIV/0!</v>
      </c>
      <c r="Y14" s="421" t="e">
        <f aca="false" t="array" ref="Y14:Y14">IF(AND($R14=2,ACOMPANHAMENTO="BM"),ROUND(Y15,4),Y16/$S14)</f>
        <v>#DIV/0!</v>
      </c>
      <c r="Z14" s="421" t="e">
        <f aca="false" t="array" ref="Z14:Z14">IF(AND($R14=2,ACOMPANHAMENTO="BM"),ROUND(Z15,4),Z16/$S14)</f>
        <v>#DIV/0!</v>
      </c>
      <c r="AA14" s="421" t="e">
        <f aca="false" t="array" ref="AA14:AA14">IF(AND($R14=2,ACOMPANHAMENTO="BM"),ROUND(AA15,4),AA16/$S14)</f>
        <v>#DIV/0!</v>
      </c>
      <c r="AB14" s="421" t="e">
        <f aca="false" t="array" ref="AB14:AB14">IF(AND($R14=2,ACOMPANHAMENTO="BM"),ROUND(AB15,4),AB16/$S14)</f>
        <v>#DIV/0!</v>
      </c>
      <c r="AC14" s="421" t="e">
        <f aca="false" t="array" ref="AC14:AC14">IF(AND($R14=2,ACOMPANHAMENTO="BM"),ROUND(AC15,4),AC16/$S14)</f>
        <v>#DIV/0!</v>
      </c>
      <c r="AD14" s="421" t="e">
        <f aca="false" t="array" ref="AD14:AD14">IF(AND($R14=2,ACOMPANHAMENTO="BM"),ROUND(AD15,4),AD16/$S14)</f>
        <v>#DIV/0!</v>
      </c>
      <c r="AE14" s="421" t="e">
        <f aca="false" t="array" ref="AE14:AE14">IF(AND($R14=2,ACOMPANHAMENTO="BM"),ROUND(AE15,4),AE16/$S14)</f>
        <v>#DIV/0!</v>
      </c>
      <c r="AF14" s="421" t="e">
        <f aca="false" t="array" ref="AF14:AF14">IF(AND($R14=2,ACOMPANHAMENTO="BM"),ROUND(AF15,4),AF16/$S14)</f>
        <v>#DIV/0!</v>
      </c>
      <c r="AG14" s="429"/>
    </row>
    <row r="15" customFormat="false" ht="12.75" hidden="true" customHeight="true" outlineLevel="0" collapsed="false">
      <c r="E15" s="430"/>
      <c r="F15" s="418" t="n">
        <f aca="true">IF(ISERROR(F14),IF(1+COUNTIF($M$13:OFFSET(M14,-1,0),1)&lt;=MAX(QCI!$D$13:$D$24),1+COUNTIF($M$13:OFFSET(M14,-1,0),1),-1),0)</f>
        <v>0</v>
      </c>
      <c r="G15" s="418" t="str">
        <f aca="true" t="array" ref="G15:G15">IF(ACOMPANHAMENTO="BM",OFFSET(G15,-1,0),"")</f>
        <v/>
      </c>
      <c r="H15" s="431" t="str">
        <f aca="false" t="array" ref="H15:H15">IF(OR(S14=0,S14=""),"vazia",IF(AND(OR(ACOMPANHAMENTO="PLE",$R14&lt;&gt;2),$F15=0),"calculada","--&gt;"))</f>
        <v>vazia</v>
      </c>
      <c r="I15" s="432"/>
      <c r="J15" s="433" t="str">
        <f aca="false">IF(AND(H14&lt;&gt;0,ISNUMBER(H14)),"PREENCHA ESTA LINHA --&gt;","")</f>
        <v/>
      </c>
      <c r="K15" s="433"/>
      <c r="L15" s="433"/>
      <c r="M15" s="434"/>
      <c r="N15" s="434"/>
      <c r="O15" s="434"/>
      <c r="P15" s="434"/>
      <c r="Q15" s="434"/>
      <c r="R15" s="434"/>
      <c r="S15" s="435"/>
      <c r="T15" s="436"/>
      <c r="U15" s="430"/>
      <c r="V15" s="430"/>
      <c r="W15" s="430"/>
      <c r="X15" s="430"/>
      <c r="Y15" s="430"/>
      <c r="Z15" s="430"/>
      <c r="AA15" s="430"/>
      <c r="AB15" s="430"/>
      <c r="AC15" s="430"/>
      <c r="AD15" s="430"/>
      <c r="AE15" s="430"/>
      <c r="AF15" s="430"/>
      <c r="AG15" s="429"/>
    </row>
    <row r="16" customFormat="false" ht="12.75" hidden="true" customHeight="true" outlineLevel="0" collapsed="false">
      <c r="D16" s="437"/>
      <c r="E16" s="438" t="n">
        <f aca="true" t="array" ref="E16:E16">IF($R14=2,
         IF(AND(ACOMPANHAMENTO="PLE",ISNUMBER($F14)),
                SUMIF((OFFSET(CÁLCULO!$AM$15:$AW$15,$F14,0,OFFSET(ORÇAMENTO!$D$15,CRONO!$F14,0))),CRONO!E$12,OFFSET(CÁLCULO!$AB$15:$AL$15,$F14,0,OFFSET(ORÇAMENTO!$D$15,CRONO!$F14,0)))
                +IF(AND($F16&lt;&gt;"",$F16&lt;&gt;0),
                        SUMIF(CÁLCULO!$AM$15:$AW$21,CRONO!E$12,CÁLCULO!$AB$15:$AL$21)/(ORÇAMENTO!$X$15-CÁLCULO.TotalAdmLocal)*CRONO!$F16,
                        0),
                 E15*$S14),
          SUMIF(OFFSET($S16,1,0,$R14-2),($M14+1)&amp;"$",OFFSET(E16,1,0,$R14-2)))</f>
        <v>0</v>
      </c>
      <c r="F16" s="418" t="str">
        <f aca="true">IF(OR($R14&lt;&gt;2,AUTOEVENTO&lt;&gt;"manual",$F15&gt;0),"",
        IF(Import.TipoArredondamento="Tradicional",
              SUMIF(OFFSET(CÁLCULO!$M$15,CRONO!$F14,0,OFFSET(ORÇAMENTO!$D$15,CRONO!$F14,0)),1,OFFSET(ORÇAMENTO!$X$15,CRONO!$F14,0,OFFSET(ORÇAMENTO!$D$15,CRONO!$F14,0))),
              0))</f>
        <v/>
      </c>
      <c r="H16" s="439"/>
      <c r="S16" s="440" t="str">
        <f aca="false">M14&amp;"$"</f>
        <v>1$</v>
      </c>
      <c r="T16" s="441"/>
      <c r="U16" s="438" t="n">
        <f aca="true" t="array" ref="U16:U16">IF($R14=2,
         IF(AND(ACOMPANHAMENTO="PLE",ISNUMBER($F14)),
                SUMIF((OFFSET(CÁLCULO!$AM$15:$AW$15,$F14,0,OFFSET(ORÇAMENTO!$D$15,CRONO!$F14,0))),CRONO!U$12,OFFSET(CÁLCULO!$AB$15:$AL$15,$F14,0,OFFSET(ORÇAMENTO!$D$15,CRONO!$F14,0)))
                +IF(AND($F16&lt;&gt;"",$F16&lt;&gt;0),
                        SUMIF(CÁLCULO!$AM$15:$AW$21,CRONO!U$12,CÁLCULO!$AB$15:$AL$21)/(ORÇAMENTO!$X$15-CÁLCULO.TotalAdmLocal)*CRONO!$F16,
                        0),
                 U15*$S14),
          SUMIF(OFFSET($S16,1,0,$R14-2),($M14+1)&amp;"$",OFFSET(U16,1,0,$R14-2)))</f>
        <v>0</v>
      </c>
      <c r="V16" s="438" t="n">
        <f aca="true" t="array" ref="V16:V16">IF($R14=2,
         IF(AND(ACOMPANHAMENTO="PLE",ISNUMBER($F14)),
                SUMIF((OFFSET(CÁLCULO!$AM$15:$AW$15,$F14,0,OFFSET(ORÇAMENTO!$D$15,CRONO!$F14,0))),CRONO!V$12,OFFSET(CÁLCULO!$AB$15:$AL$15,$F14,0,OFFSET(ORÇAMENTO!$D$15,CRONO!$F14,0)))
                +IF(AND($F16&lt;&gt;"",$F16&lt;&gt;0),
                        SUMIF(CÁLCULO!$AM$15:$AW$21,CRONO!V$12,CÁLCULO!$AB$15:$AL$21)/(ORÇAMENTO!$X$15-CÁLCULO.TotalAdmLocal)*CRONO!$F16,
                        0),
                 V15*$S14),
          SUMIF(OFFSET($S16,1,0,$R14-2),($M14+1)&amp;"$",OFFSET(V16,1,0,$R14-2)))</f>
        <v>0</v>
      </c>
      <c r="W16" s="438" t="n">
        <f aca="true" t="array" ref="W16:W16">IF($R14=2,
         IF(AND(ACOMPANHAMENTO="PLE",ISNUMBER($F14)),
                SUMIF((OFFSET(CÁLCULO!$AM$15:$AW$15,$F14,0,OFFSET(ORÇAMENTO!$D$15,CRONO!$F14,0))),CRONO!W$12,OFFSET(CÁLCULO!$AB$15:$AL$15,$F14,0,OFFSET(ORÇAMENTO!$D$15,CRONO!$F14,0)))
                +IF(AND($F16&lt;&gt;"",$F16&lt;&gt;0),
                        SUMIF(CÁLCULO!$AM$15:$AW$21,CRONO!W$12,CÁLCULO!$AB$15:$AL$21)/(ORÇAMENTO!$X$15-CÁLCULO.TotalAdmLocal)*CRONO!$F16,
                        0),
                 W15*$S14),
          SUMIF(OFFSET($S16,1,0,$R14-2),($M14+1)&amp;"$",OFFSET(W16,1,0,$R14-2)))</f>
        <v>0</v>
      </c>
      <c r="X16" s="438" t="n">
        <f aca="true" t="array" ref="X16:X16">IF($R14=2,
         IF(AND(ACOMPANHAMENTO="PLE",ISNUMBER($F14)),
                SUMIF((OFFSET(CÁLCULO!$AM$15:$AW$15,$F14,0,OFFSET(ORÇAMENTO!$D$15,CRONO!$F14,0))),CRONO!X$12,OFFSET(CÁLCULO!$AB$15:$AL$15,$F14,0,OFFSET(ORÇAMENTO!$D$15,CRONO!$F14,0)))
                +IF(AND($F16&lt;&gt;"",$F16&lt;&gt;0),
                        SUMIF(CÁLCULO!$AM$15:$AW$21,CRONO!X$12,CÁLCULO!$AB$15:$AL$21)/(ORÇAMENTO!$X$15-CÁLCULO.TotalAdmLocal)*CRONO!$F16,
                        0),
                 X15*$S14),
          SUMIF(OFFSET($S16,1,0,$R14-2),($M14+1)&amp;"$",OFFSET(X16,1,0,$R14-2)))</f>
        <v>0</v>
      </c>
      <c r="Y16" s="438" t="n">
        <f aca="true" t="array" ref="Y16:Y16">IF($R14=2,
         IF(AND(ACOMPANHAMENTO="PLE",ISNUMBER($F14)),
                SUMIF((OFFSET(CÁLCULO!$AM$15:$AW$15,$F14,0,OFFSET(ORÇAMENTO!$D$15,CRONO!$F14,0))),CRONO!Y$12,OFFSET(CÁLCULO!$AB$15:$AL$15,$F14,0,OFFSET(ORÇAMENTO!$D$15,CRONO!$F14,0)))
                +IF(AND($F16&lt;&gt;"",$F16&lt;&gt;0),
                        SUMIF(CÁLCULO!$AM$15:$AW$21,CRONO!Y$12,CÁLCULO!$AB$15:$AL$21)/(ORÇAMENTO!$X$15-CÁLCULO.TotalAdmLocal)*CRONO!$F16,
                        0),
                 Y15*$S14),
          SUMIF(OFFSET($S16,1,0,$R14-2),($M14+1)&amp;"$",OFFSET(Y16,1,0,$R14-2)))</f>
        <v>0</v>
      </c>
      <c r="Z16" s="438" t="n">
        <f aca="true" t="array" ref="Z16:Z16">IF($R14=2,
         IF(AND(ACOMPANHAMENTO="PLE",ISNUMBER($F14)),
                SUMIF((OFFSET(CÁLCULO!$AM$15:$AW$15,$F14,0,OFFSET(ORÇAMENTO!$D$15,CRONO!$F14,0))),CRONO!Z$12,OFFSET(CÁLCULO!$AB$15:$AL$15,$F14,0,OFFSET(ORÇAMENTO!$D$15,CRONO!$F14,0)))
                +IF(AND($F16&lt;&gt;"",$F16&lt;&gt;0),
                        SUMIF(CÁLCULO!$AM$15:$AW$21,CRONO!Z$12,CÁLCULO!$AB$15:$AL$21)/(ORÇAMENTO!$X$15-CÁLCULO.TotalAdmLocal)*CRONO!$F16,
                        0),
                 Z15*$S14),
          SUMIF(OFFSET($S16,1,0,$R14-2),($M14+1)&amp;"$",OFFSET(Z16,1,0,$R14-2)))</f>
        <v>0</v>
      </c>
      <c r="AA16" s="438" t="n">
        <f aca="true" t="array" ref="AA16:AA16">IF($R14=2,
         IF(AND(ACOMPANHAMENTO="PLE",ISNUMBER($F14)),
                SUMIF((OFFSET(CÁLCULO!$AM$15:$AW$15,$F14,0,OFFSET(ORÇAMENTO!$D$15,CRONO!$F14,0))),CRONO!AA$12,OFFSET(CÁLCULO!$AB$15:$AL$15,$F14,0,OFFSET(ORÇAMENTO!$D$15,CRONO!$F14,0)))
                +IF(AND($F16&lt;&gt;"",$F16&lt;&gt;0),
                        SUMIF(CÁLCULO!$AM$15:$AW$21,CRONO!AA$12,CÁLCULO!$AB$15:$AL$21)/(ORÇAMENTO!$X$15-CÁLCULO.TotalAdmLocal)*CRONO!$F16,
                        0),
                 AA15*$S14),
          SUMIF(OFFSET($S16,1,0,$R14-2),($M14+1)&amp;"$",OFFSET(AA16,1,0,$R14-2)))</f>
        <v>0</v>
      </c>
      <c r="AB16" s="438" t="n">
        <f aca="true" t="array" ref="AB16:AB16">IF($R14=2,
         IF(AND(ACOMPANHAMENTO="PLE",ISNUMBER($F14)),
                SUMIF((OFFSET(CÁLCULO!$AM$15:$AW$15,$F14,0,OFFSET(ORÇAMENTO!$D$15,CRONO!$F14,0))),CRONO!AB$12,OFFSET(CÁLCULO!$AB$15:$AL$15,$F14,0,OFFSET(ORÇAMENTO!$D$15,CRONO!$F14,0)))
                +IF(AND($F16&lt;&gt;"",$F16&lt;&gt;0),
                        SUMIF(CÁLCULO!$AM$15:$AW$21,CRONO!AB$12,CÁLCULO!$AB$15:$AL$21)/(ORÇAMENTO!$X$15-CÁLCULO.TotalAdmLocal)*CRONO!$F16,
                        0),
                 AB15*$S14),
          SUMIF(OFFSET($S16,1,0,$R14-2),($M14+1)&amp;"$",OFFSET(AB16,1,0,$R14-2)))</f>
        <v>0</v>
      </c>
      <c r="AC16" s="438" t="n">
        <f aca="true" t="array" ref="AC16:AC16">IF($R14=2,
         IF(AND(ACOMPANHAMENTO="PLE",ISNUMBER($F14)),
                SUMIF((OFFSET(CÁLCULO!$AM$15:$AW$15,$F14,0,OFFSET(ORÇAMENTO!$D$15,CRONO!$F14,0))),CRONO!AC$12,OFFSET(CÁLCULO!$AB$15:$AL$15,$F14,0,OFFSET(ORÇAMENTO!$D$15,CRONO!$F14,0)))
                +IF(AND($F16&lt;&gt;"",$F16&lt;&gt;0),
                        SUMIF(CÁLCULO!$AM$15:$AW$21,CRONO!AC$12,CÁLCULO!$AB$15:$AL$21)/(ORÇAMENTO!$X$15-CÁLCULO.TotalAdmLocal)*CRONO!$F16,
                        0),
                 AC15*$S14),
          SUMIF(OFFSET($S16,1,0,$R14-2),($M14+1)&amp;"$",OFFSET(AC16,1,0,$R14-2)))</f>
        <v>0</v>
      </c>
      <c r="AD16" s="438" t="n">
        <f aca="true" t="array" ref="AD16:AD16">IF($R14=2,
         IF(AND(ACOMPANHAMENTO="PLE",ISNUMBER($F14)),
                SUMIF((OFFSET(CÁLCULO!$AM$15:$AW$15,$F14,0,OFFSET(ORÇAMENTO!$D$15,CRONO!$F14,0))),CRONO!AD$12,OFFSET(CÁLCULO!$AB$15:$AL$15,$F14,0,OFFSET(ORÇAMENTO!$D$15,CRONO!$F14,0)))
                +IF(AND($F16&lt;&gt;"",$F16&lt;&gt;0),
                        SUMIF(CÁLCULO!$AM$15:$AW$21,CRONO!AD$12,CÁLCULO!$AB$15:$AL$21)/(ORÇAMENTO!$X$15-CÁLCULO.TotalAdmLocal)*CRONO!$F16,
                        0),
                 AD15*$S14),
          SUMIF(OFFSET($S16,1,0,$R14-2),($M14+1)&amp;"$",OFFSET(AD16,1,0,$R14-2)))</f>
        <v>0</v>
      </c>
      <c r="AE16" s="438" t="n">
        <f aca="true" t="array" ref="AE16:AE16">IF($R14=2,
         IF(AND(ACOMPANHAMENTO="PLE",ISNUMBER($F14)),
                SUMIF((OFFSET(CÁLCULO!$AM$15:$AW$15,$F14,0,OFFSET(ORÇAMENTO!$D$15,CRONO!$F14,0))),CRONO!AE$12,OFFSET(CÁLCULO!$AB$15:$AL$15,$F14,0,OFFSET(ORÇAMENTO!$D$15,CRONO!$F14,0)))
                +IF(AND($F16&lt;&gt;"",$F16&lt;&gt;0),
                        SUMIF(CÁLCULO!$AM$15:$AW$21,CRONO!AE$12,CÁLCULO!$AB$15:$AL$21)/(ORÇAMENTO!$X$15-CÁLCULO.TotalAdmLocal)*CRONO!$F16,
                        0),
                 AE15*$S14),
          SUMIF(OFFSET($S16,1,0,$R14-2),($M14+1)&amp;"$",OFFSET(AE16,1,0,$R14-2)))</f>
        <v>0</v>
      </c>
      <c r="AF16" s="438" t="n">
        <f aca="true" t="array" ref="AF16:AF16">IF($R14=2,
         IF(AND(ACOMPANHAMENTO="PLE",ISNUMBER($F14)),
                SUMIF((OFFSET(CÁLCULO!$AM$15:$AW$15,$F14,0,OFFSET(ORÇAMENTO!$D$15,CRONO!$F14,0))),CRONO!AF$12,OFFSET(CÁLCULO!$AB$15:$AL$15,$F14,0,OFFSET(ORÇAMENTO!$D$15,CRONO!$F14,0)))
                +IF(AND($F16&lt;&gt;"",$F16&lt;&gt;0),
                        SUMIF(CÁLCULO!$AM$15:$AW$21,CRONO!AF$12,CÁLCULO!$AB$15:$AL$21)/(ORÇAMENTO!$X$15-CÁLCULO.TotalAdmLocal)*CRONO!$F16,
                        0),
                 AF15*$S14),
          SUMIF(OFFSET($S16,1,0,$R14-2),($M14+1)&amp;"$",OFFSET(AF16,1,0,$R14-2)))</f>
        <v>0</v>
      </c>
      <c r="AG16" s="429"/>
    </row>
    <row r="17" customFormat="false" ht="12.75" hidden="false" customHeight="false" outlineLevel="0" collapsed="false">
      <c r="A17" s="380" t="str">
        <f aca="false">IF($M17&gt;1,_xlfn.CONCAT($I17," ",$J17),"")</f>
        <v>1.1. PAVIMENTAÇÃO DE PARALELEPÍPEDOS</v>
      </c>
      <c r="B17" s="418" t="n">
        <f aca="true">OFFSET(B17,-3,0)+1</f>
        <v>2</v>
      </c>
      <c r="C17" s="418" t="n">
        <f aca="true">IF($R17&lt;&gt;2,0,IF($S17=0,1,IF(F18&gt;0,OFFSET(QCI!$M$13,SUBSTITUTE(F18,".",""),0),OFFSET(ORÇAMENTO!$AA$15,CRONO!$F17,0))/$S17))</f>
        <v>1</v>
      </c>
      <c r="D17" s="418" t="n">
        <f aca="true">IF($R17&lt;&gt;2,0,IF($S17=0,1,IF(F18&gt;0,OFFSET(QCI!$N$13,SUBSTITUTE(F18,".",""),0),OFFSET(ORÇAMENTO!$AB$15,CRONO!$F17,0))/$S17))</f>
        <v>1</v>
      </c>
      <c r="E17" s="421" t="e">
        <f aca="false" t="array" ref="E17:E17">IF(AND($R17=2,ACOMPANHAMENTO="BM"),ROUND(E18,4),E19/$S17)</f>
        <v>#DIV/0!</v>
      </c>
      <c r="F17" s="418" t="n">
        <f aca="true" t="array" ref="F17:F17">IF(B17&lt;=ORÇAMENTO.MáximoListaCrono,MATCH(B17,ORÇAMENTO.ListaCrono,0),NA())</f>
        <v>2</v>
      </c>
      <c r="G17" s="418" t="str">
        <f aca="false">IF(AND($F18&lt;&gt;-1,$S17&gt;0),"F","")</f>
        <v/>
      </c>
      <c r="H17" s="422" t="str">
        <f aca="false" t="array" ref="H17:H17">IF(OR(S17=0,S17=""),"Linha",IF(AND(OR(ACOMPANHAMENTO="PLE",$R17&lt;&gt;2),$F18=0),"Linha",ROUND(1-SUM(U17:AG17),4)))</f>
        <v>Linha</v>
      </c>
      <c r="I17" s="423" t="str">
        <f aca="true">IF($F18=0,OFFSET(ORÇAMENTO!O$15,$F17,0),IF($F18&lt;&gt;-1,OFFSET(QCI!$D$13,$F18,0),""))</f>
        <v>1.1.</v>
      </c>
      <c r="J17" s="424" t="str">
        <f aca="true">IF($F18=0,OFFSET(ORÇAMENTO!R$15,$F17,0),IF($F18&lt;&gt;-1,OFFSET(QCI!$G$13,$F18,0),""))</f>
        <v>PAVIMENTAÇÃO DE PARALELEPÍPEDOS</v>
      </c>
      <c r="K17" s="424"/>
      <c r="L17" s="424"/>
      <c r="M17" s="425" t="n">
        <f aca="true">IF($F18=0,OFFSET(ORÇAMENTO!C$15,$F17,0),1)</f>
        <v>2</v>
      </c>
      <c r="N17" s="426" t="n">
        <f aca="true">IF($F18=-1,0,IF(N$13&lt;=$M17,IF(ISERROR(MATCH(N$13,OFFSET($M17,1,0,ROW($M$68)-ROW($M17)-1),0)),ROW($M$68)-ROW($M17)-1,MATCH(N$13,OFFSET($M17,1,0,ROW($M$68)-ROW($M17)-1),0)-1),0))</f>
        <v>5</v>
      </c>
      <c r="O17" s="426" t="n">
        <f aca="true">IF($F18=-1,0,IF(O$13&lt;=$M17,IF(ISERROR(MATCH(O$13,OFFSET($M17,1,0,ROW($M$68)-ROW($M17)-1),0)),ROW($M$68)-ROW($M17)-1,MATCH(O$13,OFFSET($M17,1,0,ROW($M$68)-ROW($M17)-1),0)-1),0))</f>
        <v>2</v>
      </c>
      <c r="P17" s="426" t="n">
        <f aca="true">IF($F18=-1,0,IF(P$13&lt;=$M17,IF(ISERROR(MATCH(P$13,OFFSET($M17,1,0,ROW($M$68)-ROW($M17)-1),0)),ROW($M$68)-ROW($M17)-1,MATCH(P$13,OFFSET($M17,1,0,ROW($M$68)-ROW($M17)-1),0)-1),0))</f>
        <v>0</v>
      </c>
      <c r="Q17" s="426" t="n">
        <f aca="true">IF($F18=-1,0,IF(Q$13&lt;=$M17,IF(ISERROR(MATCH(Q$13,OFFSET($M17,1,0,ROW($M$68)-ROW($M17)-1),0)),ROW($M$68)-ROW($M17)-1,MATCH(Q$13,OFFSET($M17,1,0,ROW($M$68)-ROW($M17)-1),0)-1),0))</f>
        <v>0</v>
      </c>
      <c r="R17" s="426" t="n">
        <f aca="true">MIN(OFFSET(M17,0,1,,M17))</f>
        <v>2</v>
      </c>
      <c r="S17" s="427" t="n">
        <f aca="true">IF($F18=0,OFFSET(ORÇAMENTO!X$15,$F17,0),IF($F18&lt;&gt;-1,OFFSET(QCI!$O$13,$F18,0),""))</f>
        <v>0</v>
      </c>
      <c r="T17" s="428" t="s">
        <v>870</v>
      </c>
      <c r="U17" s="421" t="e">
        <f aca="false" t="array" ref="U17:U17">IF(AND($R17=2,ACOMPANHAMENTO="BM"),ROUND(U18,4),U19/$S17)</f>
        <v>#DIV/0!</v>
      </c>
      <c r="V17" s="421" t="e">
        <f aca="false" t="array" ref="V17:V17">IF(AND($R17=2,ACOMPANHAMENTO="BM"),ROUND(V18,4),V19/$S17)</f>
        <v>#DIV/0!</v>
      </c>
      <c r="W17" s="421" t="e">
        <f aca="false" t="array" ref="W17:W17">IF(AND($R17=2,ACOMPANHAMENTO="BM"),ROUND(W18,4),W19/$S17)</f>
        <v>#DIV/0!</v>
      </c>
      <c r="X17" s="421" t="e">
        <f aca="false" t="array" ref="X17:X17">IF(AND($R17=2,ACOMPANHAMENTO="BM"),ROUND(X18,4),X19/$S17)</f>
        <v>#DIV/0!</v>
      </c>
      <c r="Y17" s="421" t="e">
        <f aca="false" t="array" ref="Y17:Y17">IF(AND($R17=2,ACOMPANHAMENTO="BM"),ROUND(Y18,4),Y19/$S17)</f>
        <v>#DIV/0!</v>
      </c>
      <c r="Z17" s="421" t="e">
        <f aca="false" t="array" ref="Z17:Z17">IF(AND($R17=2,ACOMPANHAMENTO="BM"),ROUND(Z18,4),Z19/$S17)</f>
        <v>#DIV/0!</v>
      </c>
      <c r="AA17" s="421" t="e">
        <f aca="false" t="array" ref="AA17:AA17">IF(AND($R17=2,ACOMPANHAMENTO="BM"),ROUND(AA18,4),AA19/$S17)</f>
        <v>#DIV/0!</v>
      </c>
      <c r="AB17" s="421" t="e">
        <f aca="false" t="array" ref="AB17:AB17">IF(AND($R17=2,ACOMPANHAMENTO="BM"),ROUND(AB18,4),AB19/$S17)</f>
        <v>#DIV/0!</v>
      </c>
      <c r="AC17" s="421" t="e">
        <f aca="false" t="array" ref="AC17:AC17">IF(AND($R17=2,ACOMPANHAMENTO="BM"),ROUND(AC18,4),AC19/$S17)</f>
        <v>#DIV/0!</v>
      </c>
      <c r="AD17" s="421" t="e">
        <f aca="false" t="array" ref="AD17:AD17">IF(AND($R17=2,ACOMPANHAMENTO="BM"),ROUND(AD18,4),AD19/$S17)</f>
        <v>#DIV/0!</v>
      </c>
      <c r="AE17" s="421" t="e">
        <f aca="false" t="array" ref="AE17:AE17">IF(AND($R17=2,ACOMPANHAMENTO="BM"),ROUND(AE18,4),AE19/$S17)</f>
        <v>#DIV/0!</v>
      </c>
      <c r="AF17" s="421" t="e">
        <f aca="false" t="array" ref="AF17:AF17">IF(AND($R17=2,ACOMPANHAMENTO="BM"),ROUND(AF18,4),AF19/$S17)</f>
        <v>#DIV/0!</v>
      </c>
      <c r="AG17" s="429"/>
    </row>
    <row r="18" customFormat="false" ht="12.75" hidden="true" customHeight="true" outlineLevel="0" collapsed="false">
      <c r="E18" s="430"/>
      <c r="F18" s="418" t="n">
        <f aca="true">IF(ISERROR(F17),IF(1+COUNTIF($M$13:OFFSET(M17,-1,0),1)&lt;=MAX(QCI!$D$13:$D$24),1+COUNTIF($M$13:OFFSET(M17,-1,0),1),-1),0)</f>
        <v>0</v>
      </c>
      <c r="G18" s="418" t="str">
        <f aca="true" t="array" ref="G18:G18">IF(ACOMPANHAMENTO="BM",OFFSET(G18,-1,0),"")</f>
        <v/>
      </c>
      <c r="H18" s="431" t="str">
        <f aca="false" t="array" ref="H18:H18">IF(OR(S17=0,S17=""),"vazia",IF(AND(OR(ACOMPANHAMENTO="PLE",$R17&lt;&gt;2),$F18=0),"calculada","--&gt;"))</f>
        <v>vazia</v>
      </c>
      <c r="I18" s="432"/>
      <c r="J18" s="433" t="str">
        <f aca="false">IF(AND(H17&lt;&gt;0,ISNUMBER(H17)),"PREENCHA ESTA LINHA --&gt;","")</f>
        <v/>
      </c>
      <c r="K18" s="433"/>
      <c r="L18" s="433"/>
      <c r="M18" s="434"/>
      <c r="N18" s="434"/>
      <c r="O18" s="434"/>
      <c r="P18" s="434"/>
      <c r="Q18" s="434"/>
      <c r="R18" s="434"/>
      <c r="S18" s="435"/>
      <c r="T18" s="436"/>
      <c r="U18" s="430"/>
      <c r="V18" s="430"/>
      <c r="W18" s="430"/>
      <c r="X18" s="430"/>
      <c r="Y18" s="430"/>
      <c r="Z18" s="430"/>
      <c r="AA18" s="430"/>
      <c r="AB18" s="430"/>
      <c r="AC18" s="430"/>
      <c r="AD18" s="430"/>
      <c r="AE18" s="430"/>
      <c r="AF18" s="430"/>
      <c r="AG18" s="429"/>
    </row>
    <row r="19" customFormat="false" ht="12.75" hidden="true" customHeight="true" outlineLevel="0" collapsed="false">
      <c r="D19" s="437"/>
      <c r="E19" s="438" t="n">
        <f aca="true" t="array" ref="E19:E19">IF($R17=2,
         IF(AND(ACOMPANHAMENTO="PLE",ISNUMBER($F17)),
                SUMIF((OFFSET(CÁLCULO!$AM$15:$AW$15,$F17,0,OFFSET(ORÇAMENTO!$D$15,CRONO!$F17,0))),CRONO!E$12,OFFSET(CÁLCULO!$AB$15:$AL$15,$F17,0,OFFSET(ORÇAMENTO!$D$15,CRONO!$F17,0)))
                +IF(AND($F19&lt;&gt;"",$F19&lt;&gt;0),
                        SUMIF(CÁLCULO!$AM$15:$AW$21,CRONO!E$12,CÁLCULO!$AB$15:$AL$21)/(ORÇAMENTO!$X$15-CÁLCULO.TotalAdmLocal)*CRONO!$F19,
                        0),
                 E18*$S17),
          SUMIF(OFFSET($S19,1,0,$R17-2),($M17+1)&amp;"$",OFFSET(E19,1,0,$R17-2)))</f>
        <v>0</v>
      </c>
      <c r="F19" s="418" t="str">
        <f aca="true">IF(OR($R17&lt;&gt;2,AUTOEVENTO&lt;&gt;"manual",$F18&gt;0),"",
        IF(Import.TipoArredondamento="Tradicional",
              SUMIF(OFFSET(CÁLCULO!$M$15,CRONO!$F17,0,OFFSET(ORÇAMENTO!$D$15,CRONO!$F17,0)),1,OFFSET(ORÇAMENTO!$X$15,CRONO!$F17,0,OFFSET(ORÇAMENTO!$D$15,CRONO!$F17,0))),
              0))</f>
        <v/>
      </c>
      <c r="H19" s="439"/>
      <c r="S19" s="440" t="str">
        <f aca="false">M17&amp;"$"</f>
        <v>2$</v>
      </c>
      <c r="T19" s="441"/>
      <c r="U19" s="438" t="n">
        <f aca="true" t="array" ref="U19:U19">IF($R17=2,
         IF(AND(ACOMPANHAMENTO="PLE",ISNUMBER($F17)),
                SUMIF((OFFSET(CÁLCULO!$AM$15:$AW$15,$F17,0,OFFSET(ORÇAMENTO!$D$15,CRONO!$F17,0))),CRONO!U$12,OFFSET(CÁLCULO!$AB$15:$AL$15,$F17,0,OFFSET(ORÇAMENTO!$D$15,CRONO!$F17,0)))
                +IF(AND($F19&lt;&gt;"",$F19&lt;&gt;0),
                        SUMIF(CÁLCULO!$AM$15:$AW$21,CRONO!U$12,CÁLCULO!$AB$15:$AL$21)/(ORÇAMENTO!$X$15-CÁLCULO.TotalAdmLocal)*CRONO!$F19,
                        0),
                 U18*$S17),
          SUMIF(OFFSET($S19,1,0,$R17-2),($M17+1)&amp;"$",OFFSET(U19,1,0,$R17-2)))</f>
        <v>0</v>
      </c>
      <c r="V19" s="438" t="n">
        <f aca="true" t="array" ref="V19:V19">IF($R17=2,
         IF(AND(ACOMPANHAMENTO="PLE",ISNUMBER($F17)),
                SUMIF((OFFSET(CÁLCULO!$AM$15:$AW$15,$F17,0,OFFSET(ORÇAMENTO!$D$15,CRONO!$F17,0))),CRONO!V$12,OFFSET(CÁLCULO!$AB$15:$AL$15,$F17,0,OFFSET(ORÇAMENTO!$D$15,CRONO!$F17,0)))
                +IF(AND($F19&lt;&gt;"",$F19&lt;&gt;0),
                        SUMIF(CÁLCULO!$AM$15:$AW$21,CRONO!V$12,CÁLCULO!$AB$15:$AL$21)/(ORÇAMENTO!$X$15-CÁLCULO.TotalAdmLocal)*CRONO!$F19,
                        0),
                 V18*$S17),
          SUMIF(OFFSET($S19,1,0,$R17-2),($M17+1)&amp;"$",OFFSET(V19,1,0,$R17-2)))</f>
        <v>0</v>
      </c>
      <c r="W19" s="438" t="n">
        <f aca="true" t="array" ref="W19:W19">IF($R17=2,
         IF(AND(ACOMPANHAMENTO="PLE",ISNUMBER($F17)),
                SUMIF((OFFSET(CÁLCULO!$AM$15:$AW$15,$F17,0,OFFSET(ORÇAMENTO!$D$15,CRONO!$F17,0))),CRONO!W$12,OFFSET(CÁLCULO!$AB$15:$AL$15,$F17,0,OFFSET(ORÇAMENTO!$D$15,CRONO!$F17,0)))
                +IF(AND($F19&lt;&gt;"",$F19&lt;&gt;0),
                        SUMIF(CÁLCULO!$AM$15:$AW$21,CRONO!W$12,CÁLCULO!$AB$15:$AL$21)/(ORÇAMENTO!$X$15-CÁLCULO.TotalAdmLocal)*CRONO!$F19,
                        0),
                 W18*$S17),
          SUMIF(OFFSET($S19,1,0,$R17-2),($M17+1)&amp;"$",OFFSET(W19,1,0,$R17-2)))</f>
        <v>0</v>
      </c>
      <c r="X19" s="438" t="n">
        <f aca="true" t="array" ref="X19:X19">IF($R17=2,
         IF(AND(ACOMPANHAMENTO="PLE",ISNUMBER($F17)),
                SUMIF((OFFSET(CÁLCULO!$AM$15:$AW$15,$F17,0,OFFSET(ORÇAMENTO!$D$15,CRONO!$F17,0))),CRONO!X$12,OFFSET(CÁLCULO!$AB$15:$AL$15,$F17,0,OFFSET(ORÇAMENTO!$D$15,CRONO!$F17,0)))
                +IF(AND($F19&lt;&gt;"",$F19&lt;&gt;0),
                        SUMIF(CÁLCULO!$AM$15:$AW$21,CRONO!X$12,CÁLCULO!$AB$15:$AL$21)/(ORÇAMENTO!$X$15-CÁLCULO.TotalAdmLocal)*CRONO!$F19,
                        0),
                 X18*$S17),
          SUMIF(OFFSET($S19,1,0,$R17-2),($M17+1)&amp;"$",OFFSET(X19,1,0,$R17-2)))</f>
        <v>0</v>
      </c>
      <c r="Y19" s="438" t="n">
        <f aca="true" t="array" ref="Y19:Y19">IF($R17=2,
         IF(AND(ACOMPANHAMENTO="PLE",ISNUMBER($F17)),
                SUMIF((OFFSET(CÁLCULO!$AM$15:$AW$15,$F17,0,OFFSET(ORÇAMENTO!$D$15,CRONO!$F17,0))),CRONO!Y$12,OFFSET(CÁLCULO!$AB$15:$AL$15,$F17,0,OFFSET(ORÇAMENTO!$D$15,CRONO!$F17,0)))
                +IF(AND($F19&lt;&gt;"",$F19&lt;&gt;0),
                        SUMIF(CÁLCULO!$AM$15:$AW$21,CRONO!Y$12,CÁLCULO!$AB$15:$AL$21)/(ORÇAMENTO!$X$15-CÁLCULO.TotalAdmLocal)*CRONO!$F19,
                        0),
                 Y18*$S17),
          SUMIF(OFFSET($S19,1,0,$R17-2),($M17+1)&amp;"$",OFFSET(Y19,1,0,$R17-2)))</f>
        <v>0</v>
      </c>
      <c r="Z19" s="438" t="n">
        <f aca="true" t="array" ref="Z19:Z19">IF($R17=2,
         IF(AND(ACOMPANHAMENTO="PLE",ISNUMBER($F17)),
                SUMIF((OFFSET(CÁLCULO!$AM$15:$AW$15,$F17,0,OFFSET(ORÇAMENTO!$D$15,CRONO!$F17,0))),CRONO!Z$12,OFFSET(CÁLCULO!$AB$15:$AL$15,$F17,0,OFFSET(ORÇAMENTO!$D$15,CRONO!$F17,0)))
                +IF(AND($F19&lt;&gt;"",$F19&lt;&gt;0),
                        SUMIF(CÁLCULO!$AM$15:$AW$21,CRONO!Z$12,CÁLCULO!$AB$15:$AL$21)/(ORÇAMENTO!$X$15-CÁLCULO.TotalAdmLocal)*CRONO!$F19,
                        0),
                 Z18*$S17),
          SUMIF(OFFSET($S19,1,0,$R17-2),($M17+1)&amp;"$",OFFSET(Z19,1,0,$R17-2)))</f>
        <v>0</v>
      </c>
      <c r="AA19" s="438" t="n">
        <f aca="true" t="array" ref="AA19:AA19">IF($R17=2,
         IF(AND(ACOMPANHAMENTO="PLE",ISNUMBER($F17)),
                SUMIF((OFFSET(CÁLCULO!$AM$15:$AW$15,$F17,0,OFFSET(ORÇAMENTO!$D$15,CRONO!$F17,0))),CRONO!AA$12,OFFSET(CÁLCULO!$AB$15:$AL$15,$F17,0,OFFSET(ORÇAMENTO!$D$15,CRONO!$F17,0)))
                +IF(AND($F19&lt;&gt;"",$F19&lt;&gt;0),
                        SUMIF(CÁLCULO!$AM$15:$AW$21,CRONO!AA$12,CÁLCULO!$AB$15:$AL$21)/(ORÇAMENTO!$X$15-CÁLCULO.TotalAdmLocal)*CRONO!$F19,
                        0),
                 AA18*$S17),
          SUMIF(OFFSET($S19,1,0,$R17-2),($M17+1)&amp;"$",OFFSET(AA19,1,0,$R17-2)))</f>
        <v>0</v>
      </c>
      <c r="AB19" s="438" t="n">
        <f aca="true" t="array" ref="AB19:AB19">IF($R17=2,
         IF(AND(ACOMPANHAMENTO="PLE",ISNUMBER($F17)),
                SUMIF((OFFSET(CÁLCULO!$AM$15:$AW$15,$F17,0,OFFSET(ORÇAMENTO!$D$15,CRONO!$F17,0))),CRONO!AB$12,OFFSET(CÁLCULO!$AB$15:$AL$15,$F17,0,OFFSET(ORÇAMENTO!$D$15,CRONO!$F17,0)))
                +IF(AND($F19&lt;&gt;"",$F19&lt;&gt;0),
                        SUMIF(CÁLCULO!$AM$15:$AW$21,CRONO!AB$12,CÁLCULO!$AB$15:$AL$21)/(ORÇAMENTO!$X$15-CÁLCULO.TotalAdmLocal)*CRONO!$F19,
                        0),
                 AB18*$S17),
          SUMIF(OFFSET($S19,1,0,$R17-2),($M17+1)&amp;"$",OFFSET(AB19,1,0,$R17-2)))</f>
        <v>0</v>
      </c>
      <c r="AC19" s="438" t="n">
        <f aca="true" t="array" ref="AC19:AC19">IF($R17=2,
         IF(AND(ACOMPANHAMENTO="PLE",ISNUMBER($F17)),
                SUMIF((OFFSET(CÁLCULO!$AM$15:$AW$15,$F17,0,OFFSET(ORÇAMENTO!$D$15,CRONO!$F17,0))),CRONO!AC$12,OFFSET(CÁLCULO!$AB$15:$AL$15,$F17,0,OFFSET(ORÇAMENTO!$D$15,CRONO!$F17,0)))
                +IF(AND($F19&lt;&gt;"",$F19&lt;&gt;0),
                        SUMIF(CÁLCULO!$AM$15:$AW$21,CRONO!AC$12,CÁLCULO!$AB$15:$AL$21)/(ORÇAMENTO!$X$15-CÁLCULO.TotalAdmLocal)*CRONO!$F19,
                        0),
                 AC18*$S17),
          SUMIF(OFFSET($S19,1,0,$R17-2),($M17+1)&amp;"$",OFFSET(AC19,1,0,$R17-2)))</f>
        <v>0</v>
      </c>
      <c r="AD19" s="438" t="n">
        <f aca="true" t="array" ref="AD19:AD19">IF($R17=2,
         IF(AND(ACOMPANHAMENTO="PLE",ISNUMBER($F17)),
                SUMIF((OFFSET(CÁLCULO!$AM$15:$AW$15,$F17,0,OFFSET(ORÇAMENTO!$D$15,CRONO!$F17,0))),CRONO!AD$12,OFFSET(CÁLCULO!$AB$15:$AL$15,$F17,0,OFFSET(ORÇAMENTO!$D$15,CRONO!$F17,0)))
                +IF(AND($F19&lt;&gt;"",$F19&lt;&gt;0),
                        SUMIF(CÁLCULO!$AM$15:$AW$21,CRONO!AD$12,CÁLCULO!$AB$15:$AL$21)/(ORÇAMENTO!$X$15-CÁLCULO.TotalAdmLocal)*CRONO!$F19,
                        0),
                 AD18*$S17),
          SUMIF(OFFSET($S19,1,0,$R17-2),($M17+1)&amp;"$",OFFSET(AD19,1,0,$R17-2)))</f>
        <v>0</v>
      </c>
      <c r="AE19" s="438" t="n">
        <f aca="true" t="array" ref="AE19:AE19">IF($R17=2,
         IF(AND(ACOMPANHAMENTO="PLE",ISNUMBER($F17)),
                SUMIF((OFFSET(CÁLCULO!$AM$15:$AW$15,$F17,0,OFFSET(ORÇAMENTO!$D$15,CRONO!$F17,0))),CRONO!AE$12,OFFSET(CÁLCULO!$AB$15:$AL$15,$F17,0,OFFSET(ORÇAMENTO!$D$15,CRONO!$F17,0)))
                +IF(AND($F19&lt;&gt;"",$F19&lt;&gt;0),
                        SUMIF(CÁLCULO!$AM$15:$AW$21,CRONO!AE$12,CÁLCULO!$AB$15:$AL$21)/(ORÇAMENTO!$X$15-CÁLCULO.TotalAdmLocal)*CRONO!$F19,
                        0),
                 AE18*$S17),
          SUMIF(OFFSET($S19,1,0,$R17-2),($M17+1)&amp;"$",OFFSET(AE19,1,0,$R17-2)))</f>
        <v>0</v>
      </c>
      <c r="AF19" s="438" t="n">
        <f aca="true" t="array" ref="AF19:AF19">IF($R17=2,
         IF(AND(ACOMPANHAMENTO="PLE",ISNUMBER($F17)),
                SUMIF((OFFSET(CÁLCULO!$AM$15:$AW$15,$F17,0,OFFSET(ORÇAMENTO!$D$15,CRONO!$F17,0))),CRONO!AF$12,OFFSET(CÁLCULO!$AB$15:$AL$15,$F17,0,OFFSET(ORÇAMENTO!$D$15,CRONO!$F17,0)))
                +IF(AND($F19&lt;&gt;"",$F19&lt;&gt;0),
                        SUMIF(CÁLCULO!$AM$15:$AW$21,CRONO!AF$12,CÁLCULO!$AB$15:$AL$21)/(ORÇAMENTO!$X$15-CÁLCULO.TotalAdmLocal)*CRONO!$F19,
                        0),
                 AF18*$S17),
          SUMIF(OFFSET($S19,1,0,$R17-2),($M17+1)&amp;"$",OFFSET(AF19,1,0,$R17-2)))</f>
        <v>0</v>
      </c>
      <c r="AG19" s="429"/>
    </row>
    <row r="20" customFormat="false" ht="12.75" hidden="false" customHeight="false" outlineLevel="0" collapsed="false">
      <c r="A20" s="380" t="str">
        <f aca="false">IF($M20&gt;1,_xlfn.CONCAT($I20," ",$J20),"")</f>
        <v>1.2. ACAMENTO DE PAVIMENTAÇÃO COM PARALELPÍPEDOS</v>
      </c>
      <c r="B20" s="418" t="n">
        <f aca="true">OFFSET(B20,-3,0)+1</f>
        <v>3</v>
      </c>
      <c r="C20" s="418" t="n">
        <f aca="true">IF($R20&lt;&gt;2,0,IF($S20=0,1,IF(F21&gt;0,OFFSET(QCI!$M$13,SUBSTITUTE(F21,".",""),0),OFFSET(ORÇAMENTO!$AA$15,CRONO!$F20,0))/$S20))</f>
        <v>1</v>
      </c>
      <c r="D20" s="418" t="n">
        <f aca="true">IF($R20&lt;&gt;2,0,IF($S20=0,1,IF(F21&gt;0,OFFSET(QCI!$N$13,SUBSTITUTE(F21,".",""),0),OFFSET(ORÇAMENTO!$AB$15,CRONO!$F20,0))/$S20))</f>
        <v>1</v>
      </c>
      <c r="E20" s="421" t="e">
        <f aca="false" t="array" ref="E20:E20">IF(AND($R20=2,ACOMPANHAMENTO="BM"),ROUND(E21,4),E22/$S20)</f>
        <v>#DIV/0!</v>
      </c>
      <c r="F20" s="418" t="n">
        <f aca="true" t="array" ref="F20:F20">IF(B20&lt;=ORÇAMENTO.MáximoListaCrono,MATCH(B20,ORÇAMENTO.ListaCrono,0),NA())</f>
        <v>4</v>
      </c>
      <c r="G20" s="418" t="str">
        <f aca="false">IF(AND($F21&lt;&gt;-1,$S20&gt;0),"F","")</f>
        <v/>
      </c>
      <c r="H20" s="422" t="str">
        <f aca="false" t="array" ref="H20:H20">IF(OR(S20=0,S20=""),"Linha",IF(AND(OR(ACOMPANHAMENTO="PLE",$R20&lt;&gt;2),$F21=0),"Linha",ROUND(1-SUM(U20:AG20),4)))</f>
        <v>Linha</v>
      </c>
      <c r="I20" s="423" t="str">
        <f aca="true">IF($F21=0,OFFSET(ORÇAMENTO!O$15,$F20,0),IF($F21&lt;&gt;-1,OFFSET(QCI!$D$13,$F21,0),""))</f>
        <v>1.2.</v>
      </c>
      <c r="J20" s="424" t="str">
        <f aca="true">IF($F21=0,OFFSET(ORÇAMENTO!R$15,$F20,0),IF($F21&lt;&gt;-1,OFFSET(QCI!$G$13,$F21,0),""))</f>
        <v>ACAMENTO DE PAVIMENTAÇÃO COM PARALELPÍPEDOS</v>
      </c>
      <c r="K20" s="424"/>
      <c r="L20" s="424"/>
      <c r="M20" s="425" t="n">
        <f aca="true">IF($F21=0,OFFSET(ORÇAMENTO!C$15,$F20,0),1)</f>
        <v>2</v>
      </c>
      <c r="N20" s="426" t="n">
        <f aca="true">IF($F21=-1,0,IF(N$13&lt;=$M20,IF(ISERROR(MATCH(N$13,OFFSET($M20,1,0,ROW($M$68)-ROW($M20)-1),0)),ROW($M$68)-ROW($M20)-1,MATCH(N$13,OFFSET($M20,1,0,ROW($M$68)-ROW($M20)-1),0)-1),0))</f>
        <v>2</v>
      </c>
      <c r="O20" s="426" t="n">
        <f aca="true">IF($F21=-1,0,IF(O$13&lt;=$M20,IF(ISERROR(MATCH(O$13,OFFSET($M20,1,0,ROW($M$68)-ROW($M20)-1),0)),ROW($M$68)-ROW($M20)-1,MATCH(O$13,OFFSET($M20,1,0,ROW($M$68)-ROW($M20)-1),0)-1),0))</f>
        <v>47</v>
      </c>
      <c r="P20" s="426" t="n">
        <f aca="true">IF($F21=-1,0,IF(P$13&lt;=$M20,IF(ISERROR(MATCH(P$13,OFFSET($M20,1,0,ROW($M$68)-ROW($M20)-1),0)),ROW($M$68)-ROW($M20)-1,MATCH(P$13,OFFSET($M20,1,0,ROW($M$68)-ROW($M20)-1),0)-1),0))</f>
        <v>0</v>
      </c>
      <c r="Q20" s="426" t="n">
        <f aca="true">IF($F21=-1,0,IF(Q$13&lt;=$M20,IF(ISERROR(MATCH(Q$13,OFFSET($M20,1,0,ROW($M$68)-ROW($M20)-1),0)),ROW($M$68)-ROW($M20)-1,MATCH(Q$13,OFFSET($M20,1,0,ROW($M$68)-ROW($M20)-1),0)-1),0))</f>
        <v>0</v>
      </c>
      <c r="R20" s="426" t="n">
        <f aca="true">MIN(OFFSET(M20,0,1,,M20))</f>
        <v>2</v>
      </c>
      <c r="S20" s="427" t="n">
        <f aca="true">IF($F21=0,OFFSET(ORÇAMENTO!X$15,$F20,0),IF($F21&lt;&gt;-1,OFFSET(QCI!$O$13,$F21,0),""))</f>
        <v>0</v>
      </c>
      <c r="T20" s="428" t="s">
        <v>870</v>
      </c>
      <c r="U20" s="421" t="e">
        <f aca="false" t="array" ref="U20:U20">IF(AND($R20=2,ACOMPANHAMENTO="BM"),ROUND(U21,4),U22/$S20)</f>
        <v>#DIV/0!</v>
      </c>
      <c r="V20" s="421" t="e">
        <f aca="false" t="array" ref="V20:V20">IF(AND($R20=2,ACOMPANHAMENTO="BM"),ROUND(V21,4),V22/$S20)</f>
        <v>#DIV/0!</v>
      </c>
      <c r="W20" s="421" t="e">
        <f aca="false" t="array" ref="W20:W20">IF(AND($R20=2,ACOMPANHAMENTO="BM"),ROUND(W21,4),W22/$S20)</f>
        <v>#DIV/0!</v>
      </c>
      <c r="X20" s="421" t="e">
        <f aca="false" t="array" ref="X20:X20">IF(AND($R20=2,ACOMPANHAMENTO="BM"),ROUND(X21,4),X22/$S20)</f>
        <v>#DIV/0!</v>
      </c>
      <c r="Y20" s="421" t="e">
        <f aca="false" t="array" ref="Y20:Y20">IF(AND($R20=2,ACOMPANHAMENTO="BM"),ROUND(Y21,4),Y22/$S20)</f>
        <v>#DIV/0!</v>
      </c>
      <c r="Z20" s="421" t="e">
        <f aca="false" t="array" ref="Z20:Z20">IF(AND($R20=2,ACOMPANHAMENTO="BM"),ROUND(Z21,4),Z22/$S20)</f>
        <v>#DIV/0!</v>
      </c>
      <c r="AA20" s="421" t="e">
        <f aca="false" t="array" ref="AA20:AA20">IF(AND($R20=2,ACOMPANHAMENTO="BM"),ROUND(AA21,4),AA22/$S20)</f>
        <v>#DIV/0!</v>
      </c>
      <c r="AB20" s="421" t="e">
        <f aca="false" t="array" ref="AB20:AB20">IF(AND($R20=2,ACOMPANHAMENTO="BM"),ROUND(AB21,4),AB22/$S20)</f>
        <v>#DIV/0!</v>
      </c>
      <c r="AC20" s="421" t="e">
        <f aca="false" t="array" ref="AC20:AC20">IF(AND($R20=2,ACOMPANHAMENTO="BM"),ROUND(AC21,4),AC22/$S20)</f>
        <v>#DIV/0!</v>
      </c>
      <c r="AD20" s="421" t="e">
        <f aca="false" t="array" ref="AD20:AD20">IF(AND($R20=2,ACOMPANHAMENTO="BM"),ROUND(AD21,4),AD22/$S20)</f>
        <v>#DIV/0!</v>
      </c>
      <c r="AE20" s="421" t="e">
        <f aca="false" t="array" ref="AE20:AE20">IF(AND($R20=2,ACOMPANHAMENTO="BM"),ROUND(AE21,4),AE22/$S20)</f>
        <v>#DIV/0!</v>
      </c>
      <c r="AF20" s="421" t="e">
        <f aca="false" t="array" ref="AF20:AF20">IF(AND($R20=2,ACOMPANHAMENTO="BM"),ROUND(AF21,4),AF22/$S20)</f>
        <v>#DIV/0!</v>
      </c>
      <c r="AG20" s="429"/>
    </row>
    <row r="21" customFormat="false" ht="12.75" hidden="true" customHeight="true" outlineLevel="0" collapsed="false">
      <c r="E21" s="430"/>
      <c r="F21" s="418" t="n">
        <f aca="true">IF(ISERROR(F20),IF(1+COUNTIF($M$13:OFFSET(M20,-1,0),1)&lt;=MAX(QCI!$D$13:$D$24),1+COUNTIF($M$13:OFFSET(M20,-1,0),1),-1),0)</f>
        <v>0</v>
      </c>
      <c r="G21" s="418" t="str">
        <f aca="true" t="array" ref="G21:G21">IF(ACOMPANHAMENTO="BM",OFFSET(G21,-1,0),"")</f>
        <v/>
      </c>
      <c r="H21" s="431" t="str">
        <f aca="false" t="array" ref="H21:H21">IF(OR(S20=0,S20=""),"vazia",IF(AND(OR(ACOMPANHAMENTO="PLE",$R20&lt;&gt;2),$F21=0),"calculada","--&gt;"))</f>
        <v>vazia</v>
      </c>
      <c r="I21" s="432"/>
      <c r="J21" s="433" t="str">
        <f aca="false">IF(AND(H20&lt;&gt;0,ISNUMBER(H20)),"PREENCHA ESTA LINHA --&gt;","")</f>
        <v/>
      </c>
      <c r="K21" s="433"/>
      <c r="L21" s="433"/>
      <c r="M21" s="434"/>
      <c r="N21" s="434"/>
      <c r="O21" s="434"/>
      <c r="P21" s="434"/>
      <c r="Q21" s="434"/>
      <c r="R21" s="434"/>
      <c r="S21" s="435"/>
      <c r="T21" s="436"/>
      <c r="U21" s="430"/>
      <c r="V21" s="430"/>
      <c r="W21" s="430"/>
      <c r="X21" s="430"/>
      <c r="Y21" s="430"/>
      <c r="Z21" s="430"/>
      <c r="AA21" s="430"/>
      <c r="AB21" s="430"/>
      <c r="AC21" s="430"/>
      <c r="AD21" s="430"/>
      <c r="AE21" s="430"/>
      <c r="AF21" s="430"/>
      <c r="AG21" s="429"/>
    </row>
    <row r="22" customFormat="false" ht="12.75" hidden="true" customHeight="true" outlineLevel="0" collapsed="false">
      <c r="D22" s="437"/>
      <c r="E22" s="438" t="n">
        <f aca="true" t="array" ref="E22:E22">IF($R20=2,
         IF(AND(ACOMPANHAMENTO="PLE",ISNUMBER($F20)),
                SUMIF((OFFSET(CÁLCULO!$AM$15:$AW$15,$F20,0,OFFSET(ORÇAMENTO!$D$15,CRONO!$F20,0))),CRONO!E$12,OFFSET(CÁLCULO!$AB$15:$AL$15,$F20,0,OFFSET(ORÇAMENTO!$D$15,CRONO!$F20,0)))
                +IF(AND($F22&lt;&gt;"",$F22&lt;&gt;0),
                        SUMIF(CÁLCULO!$AM$15:$AW$21,CRONO!E$12,CÁLCULO!$AB$15:$AL$21)/(ORÇAMENTO!$X$15-CÁLCULO.TotalAdmLocal)*CRONO!$F22,
                        0),
                 E21*$S20),
          SUMIF(OFFSET($S22,1,0,$R20-2),($M20+1)&amp;"$",OFFSET(E22,1,0,$R20-2)))</f>
        <v>0</v>
      </c>
      <c r="F22" s="418" t="str">
        <f aca="true">IF(OR($R20&lt;&gt;2,AUTOEVENTO&lt;&gt;"manual",$F21&gt;0),"",
        IF(Import.TipoArredondamento="Tradicional",
              SUMIF(OFFSET(CÁLCULO!$M$15,CRONO!$F20,0,OFFSET(ORÇAMENTO!$D$15,CRONO!$F20,0)),1,OFFSET(ORÇAMENTO!$X$15,CRONO!$F20,0,OFFSET(ORÇAMENTO!$D$15,CRONO!$F20,0))),
              0))</f>
        <v/>
      </c>
      <c r="H22" s="439"/>
      <c r="S22" s="440" t="str">
        <f aca="false">M20&amp;"$"</f>
        <v>2$</v>
      </c>
      <c r="T22" s="441"/>
      <c r="U22" s="438" t="n">
        <f aca="true" t="array" ref="U22:U22">IF($R20=2,
         IF(AND(ACOMPANHAMENTO="PLE",ISNUMBER($F20)),
                SUMIF((OFFSET(CÁLCULO!$AM$15:$AW$15,$F20,0,OFFSET(ORÇAMENTO!$D$15,CRONO!$F20,0))),CRONO!U$12,OFFSET(CÁLCULO!$AB$15:$AL$15,$F20,0,OFFSET(ORÇAMENTO!$D$15,CRONO!$F20,0)))
                +IF(AND($F22&lt;&gt;"",$F22&lt;&gt;0),
                        SUMIF(CÁLCULO!$AM$15:$AW$21,CRONO!U$12,CÁLCULO!$AB$15:$AL$21)/(ORÇAMENTO!$X$15-CÁLCULO.TotalAdmLocal)*CRONO!$F22,
                        0),
                 U21*$S20),
          SUMIF(OFFSET($S22,1,0,$R20-2),($M20+1)&amp;"$",OFFSET(U22,1,0,$R20-2)))</f>
        <v>0</v>
      </c>
      <c r="V22" s="438" t="n">
        <f aca="true" t="array" ref="V22:V22">IF($R20=2,
         IF(AND(ACOMPANHAMENTO="PLE",ISNUMBER($F20)),
                SUMIF((OFFSET(CÁLCULO!$AM$15:$AW$15,$F20,0,OFFSET(ORÇAMENTO!$D$15,CRONO!$F20,0))),CRONO!V$12,OFFSET(CÁLCULO!$AB$15:$AL$15,$F20,0,OFFSET(ORÇAMENTO!$D$15,CRONO!$F20,0)))
                +IF(AND($F22&lt;&gt;"",$F22&lt;&gt;0),
                        SUMIF(CÁLCULO!$AM$15:$AW$21,CRONO!V$12,CÁLCULO!$AB$15:$AL$21)/(ORÇAMENTO!$X$15-CÁLCULO.TotalAdmLocal)*CRONO!$F22,
                        0),
                 V21*$S20),
          SUMIF(OFFSET($S22,1,0,$R20-2),($M20+1)&amp;"$",OFFSET(V22,1,0,$R20-2)))</f>
        <v>0</v>
      </c>
      <c r="W22" s="438" t="n">
        <f aca="true" t="array" ref="W22:W22">IF($R20=2,
         IF(AND(ACOMPANHAMENTO="PLE",ISNUMBER($F20)),
                SUMIF((OFFSET(CÁLCULO!$AM$15:$AW$15,$F20,0,OFFSET(ORÇAMENTO!$D$15,CRONO!$F20,0))),CRONO!W$12,OFFSET(CÁLCULO!$AB$15:$AL$15,$F20,0,OFFSET(ORÇAMENTO!$D$15,CRONO!$F20,0)))
                +IF(AND($F22&lt;&gt;"",$F22&lt;&gt;0),
                        SUMIF(CÁLCULO!$AM$15:$AW$21,CRONO!W$12,CÁLCULO!$AB$15:$AL$21)/(ORÇAMENTO!$X$15-CÁLCULO.TotalAdmLocal)*CRONO!$F22,
                        0),
                 W21*$S20),
          SUMIF(OFFSET($S22,1,0,$R20-2),($M20+1)&amp;"$",OFFSET(W22,1,0,$R20-2)))</f>
        <v>0</v>
      </c>
      <c r="X22" s="438" t="n">
        <f aca="true" t="array" ref="X22:X22">IF($R20=2,
         IF(AND(ACOMPANHAMENTO="PLE",ISNUMBER($F20)),
                SUMIF((OFFSET(CÁLCULO!$AM$15:$AW$15,$F20,0,OFFSET(ORÇAMENTO!$D$15,CRONO!$F20,0))),CRONO!X$12,OFFSET(CÁLCULO!$AB$15:$AL$15,$F20,0,OFFSET(ORÇAMENTO!$D$15,CRONO!$F20,0)))
                +IF(AND($F22&lt;&gt;"",$F22&lt;&gt;0),
                        SUMIF(CÁLCULO!$AM$15:$AW$21,CRONO!X$12,CÁLCULO!$AB$15:$AL$21)/(ORÇAMENTO!$X$15-CÁLCULO.TotalAdmLocal)*CRONO!$F22,
                        0),
                 X21*$S20),
          SUMIF(OFFSET($S22,1,0,$R20-2),($M20+1)&amp;"$",OFFSET(X22,1,0,$R20-2)))</f>
        <v>0</v>
      </c>
      <c r="Y22" s="438" t="n">
        <f aca="true" t="array" ref="Y22:Y22">IF($R20=2,
         IF(AND(ACOMPANHAMENTO="PLE",ISNUMBER($F20)),
                SUMIF((OFFSET(CÁLCULO!$AM$15:$AW$15,$F20,0,OFFSET(ORÇAMENTO!$D$15,CRONO!$F20,0))),CRONO!Y$12,OFFSET(CÁLCULO!$AB$15:$AL$15,$F20,0,OFFSET(ORÇAMENTO!$D$15,CRONO!$F20,0)))
                +IF(AND($F22&lt;&gt;"",$F22&lt;&gt;0),
                        SUMIF(CÁLCULO!$AM$15:$AW$21,CRONO!Y$12,CÁLCULO!$AB$15:$AL$21)/(ORÇAMENTO!$X$15-CÁLCULO.TotalAdmLocal)*CRONO!$F22,
                        0),
                 Y21*$S20),
          SUMIF(OFFSET($S22,1,0,$R20-2),($M20+1)&amp;"$",OFFSET(Y22,1,0,$R20-2)))</f>
        <v>0</v>
      </c>
      <c r="Z22" s="438" t="n">
        <f aca="true" t="array" ref="Z22:Z22">IF($R20=2,
         IF(AND(ACOMPANHAMENTO="PLE",ISNUMBER($F20)),
                SUMIF((OFFSET(CÁLCULO!$AM$15:$AW$15,$F20,0,OFFSET(ORÇAMENTO!$D$15,CRONO!$F20,0))),CRONO!Z$12,OFFSET(CÁLCULO!$AB$15:$AL$15,$F20,0,OFFSET(ORÇAMENTO!$D$15,CRONO!$F20,0)))
                +IF(AND($F22&lt;&gt;"",$F22&lt;&gt;0),
                        SUMIF(CÁLCULO!$AM$15:$AW$21,CRONO!Z$12,CÁLCULO!$AB$15:$AL$21)/(ORÇAMENTO!$X$15-CÁLCULO.TotalAdmLocal)*CRONO!$F22,
                        0),
                 Z21*$S20),
          SUMIF(OFFSET($S22,1,0,$R20-2),($M20+1)&amp;"$",OFFSET(Z22,1,0,$R20-2)))</f>
        <v>0</v>
      </c>
      <c r="AA22" s="438" t="n">
        <f aca="true" t="array" ref="AA22:AA22">IF($R20=2,
         IF(AND(ACOMPANHAMENTO="PLE",ISNUMBER($F20)),
                SUMIF((OFFSET(CÁLCULO!$AM$15:$AW$15,$F20,0,OFFSET(ORÇAMENTO!$D$15,CRONO!$F20,0))),CRONO!AA$12,OFFSET(CÁLCULO!$AB$15:$AL$15,$F20,0,OFFSET(ORÇAMENTO!$D$15,CRONO!$F20,0)))
                +IF(AND($F22&lt;&gt;"",$F22&lt;&gt;0),
                        SUMIF(CÁLCULO!$AM$15:$AW$21,CRONO!AA$12,CÁLCULO!$AB$15:$AL$21)/(ORÇAMENTO!$X$15-CÁLCULO.TotalAdmLocal)*CRONO!$F22,
                        0),
                 AA21*$S20),
          SUMIF(OFFSET($S22,1,0,$R20-2),($M20+1)&amp;"$",OFFSET(AA22,1,0,$R20-2)))</f>
        <v>0</v>
      </c>
      <c r="AB22" s="438" t="n">
        <f aca="true" t="array" ref="AB22:AB22">IF($R20=2,
         IF(AND(ACOMPANHAMENTO="PLE",ISNUMBER($F20)),
                SUMIF((OFFSET(CÁLCULO!$AM$15:$AW$15,$F20,0,OFFSET(ORÇAMENTO!$D$15,CRONO!$F20,0))),CRONO!AB$12,OFFSET(CÁLCULO!$AB$15:$AL$15,$F20,0,OFFSET(ORÇAMENTO!$D$15,CRONO!$F20,0)))
                +IF(AND($F22&lt;&gt;"",$F22&lt;&gt;0),
                        SUMIF(CÁLCULO!$AM$15:$AW$21,CRONO!AB$12,CÁLCULO!$AB$15:$AL$21)/(ORÇAMENTO!$X$15-CÁLCULO.TotalAdmLocal)*CRONO!$F22,
                        0),
                 AB21*$S20),
          SUMIF(OFFSET($S22,1,0,$R20-2),($M20+1)&amp;"$",OFFSET(AB22,1,0,$R20-2)))</f>
        <v>0</v>
      </c>
      <c r="AC22" s="438" t="n">
        <f aca="true" t="array" ref="AC22:AC22">IF($R20=2,
         IF(AND(ACOMPANHAMENTO="PLE",ISNUMBER($F20)),
                SUMIF((OFFSET(CÁLCULO!$AM$15:$AW$15,$F20,0,OFFSET(ORÇAMENTO!$D$15,CRONO!$F20,0))),CRONO!AC$12,OFFSET(CÁLCULO!$AB$15:$AL$15,$F20,0,OFFSET(ORÇAMENTO!$D$15,CRONO!$F20,0)))
                +IF(AND($F22&lt;&gt;"",$F22&lt;&gt;0),
                        SUMIF(CÁLCULO!$AM$15:$AW$21,CRONO!AC$12,CÁLCULO!$AB$15:$AL$21)/(ORÇAMENTO!$X$15-CÁLCULO.TotalAdmLocal)*CRONO!$F22,
                        0),
                 AC21*$S20),
          SUMIF(OFFSET($S22,1,0,$R20-2),($M20+1)&amp;"$",OFFSET(AC22,1,0,$R20-2)))</f>
        <v>0</v>
      </c>
      <c r="AD22" s="438" t="n">
        <f aca="true" t="array" ref="AD22:AD22">IF($R20=2,
         IF(AND(ACOMPANHAMENTO="PLE",ISNUMBER($F20)),
                SUMIF((OFFSET(CÁLCULO!$AM$15:$AW$15,$F20,0,OFFSET(ORÇAMENTO!$D$15,CRONO!$F20,0))),CRONO!AD$12,OFFSET(CÁLCULO!$AB$15:$AL$15,$F20,0,OFFSET(ORÇAMENTO!$D$15,CRONO!$F20,0)))
                +IF(AND($F22&lt;&gt;"",$F22&lt;&gt;0),
                        SUMIF(CÁLCULO!$AM$15:$AW$21,CRONO!AD$12,CÁLCULO!$AB$15:$AL$21)/(ORÇAMENTO!$X$15-CÁLCULO.TotalAdmLocal)*CRONO!$F22,
                        0),
                 AD21*$S20),
          SUMIF(OFFSET($S22,1,0,$R20-2),($M20+1)&amp;"$",OFFSET(AD22,1,0,$R20-2)))</f>
        <v>0</v>
      </c>
      <c r="AE22" s="438" t="n">
        <f aca="true" t="array" ref="AE22:AE22">IF($R20=2,
         IF(AND(ACOMPANHAMENTO="PLE",ISNUMBER($F20)),
                SUMIF((OFFSET(CÁLCULO!$AM$15:$AW$15,$F20,0,OFFSET(ORÇAMENTO!$D$15,CRONO!$F20,0))),CRONO!AE$12,OFFSET(CÁLCULO!$AB$15:$AL$15,$F20,0,OFFSET(ORÇAMENTO!$D$15,CRONO!$F20,0)))
                +IF(AND($F22&lt;&gt;"",$F22&lt;&gt;0),
                        SUMIF(CÁLCULO!$AM$15:$AW$21,CRONO!AE$12,CÁLCULO!$AB$15:$AL$21)/(ORÇAMENTO!$X$15-CÁLCULO.TotalAdmLocal)*CRONO!$F22,
                        0),
                 AE21*$S20),
          SUMIF(OFFSET($S22,1,0,$R20-2),($M20+1)&amp;"$",OFFSET(AE22,1,0,$R20-2)))</f>
        <v>0</v>
      </c>
      <c r="AF22" s="438" t="n">
        <f aca="true" t="array" ref="AF22:AF22">IF($R20=2,
         IF(AND(ACOMPANHAMENTO="PLE",ISNUMBER($F20)),
                SUMIF((OFFSET(CÁLCULO!$AM$15:$AW$15,$F20,0,OFFSET(ORÇAMENTO!$D$15,CRONO!$F20,0))),CRONO!AF$12,OFFSET(CÁLCULO!$AB$15:$AL$15,$F20,0,OFFSET(ORÇAMENTO!$D$15,CRONO!$F20,0)))
                +IF(AND($F22&lt;&gt;"",$F22&lt;&gt;0),
                        SUMIF(CÁLCULO!$AM$15:$AW$21,CRONO!AF$12,CÁLCULO!$AB$15:$AL$21)/(ORÇAMENTO!$X$15-CÁLCULO.TotalAdmLocal)*CRONO!$F22,
                        0),
                 AF21*$S20),
          SUMIF(OFFSET($S22,1,0,$R20-2),($M20+1)&amp;"$",OFFSET(AF22,1,0,$R20-2)))</f>
        <v>0</v>
      </c>
      <c r="AG22" s="429"/>
    </row>
    <row r="23" customFormat="false" ht="12.75" hidden="false" customHeight="false" outlineLevel="0" collapsed="false">
      <c r="A23" s="380" t="str">
        <f aca="false">IF($M23&gt;1,_xlfn.CONCAT($I23," ",$J23),"")</f>
        <v/>
      </c>
      <c r="B23" s="418" t="n">
        <f aca="true">OFFSET(B23,-3,0)+1</f>
        <v>4</v>
      </c>
      <c r="C23" s="418" t="n">
        <f aca="true">IF($R23&lt;&gt;2,0,IF($S23=0,1,IF(F24&gt;0,OFFSET(QCI!$M$13,SUBSTITUTE(F24,".",""),0),OFFSET(ORÇAMENTO!$AA$15,CRONO!$F23,0))/$S23))</f>
        <v>1</v>
      </c>
      <c r="D23" s="418" t="n">
        <f aca="true">IF($R23&lt;&gt;2,0,IF($S23=0,1,IF(F24&gt;0,OFFSET(QCI!$N$13,SUBSTITUTE(F24,".",""),0),OFFSET(ORÇAMENTO!$AB$15,CRONO!$F23,0))/$S23))</f>
        <v>1</v>
      </c>
      <c r="E23" s="421" t="e">
        <f aca="false" t="array" ref="E23:E23">IF(AND($R23=2,ACOMPANHAMENTO="BM"),ROUND(E24,4),E25/$S23)</f>
        <v>#DIV/0!</v>
      </c>
      <c r="F23" s="418" t="e">
        <f aca="true" t="array" ref="F23:F23">IF(B23&lt;=ORÇAMENTO.MáximoListaCrono,MATCH(B23,ORÇAMENTO.ListaCrono,0),NA())</f>
        <v>#N/A</v>
      </c>
      <c r="G23" s="418" t="str">
        <f aca="false">IF(AND($F24&lt;&gt;-1,$S23&gt;0),"F","")</f>
        <v/>
      </c>
      <c r="H23" s="422" t="str">
        <f aca="false" t="array" ref="H23:H23">IF(OR(S23=0,S23=""),"Linha",IF(AND(OR(ACOMPANHAMENTO="PLE",$R23&lt;&gt;2),$F24=0),"Linha",ROUND(1-SUM(U23:AG23),4)))</f>
        <v>Linha</v>
      </c>
      <c r="I23" s="423" t="n">
        <f aca="true">IF($F24=0,OFFSET(ORÇAMENTO!O$15,$F23,0),IF($F24&lt;&gt;-1,OFFSET(QCI!$D$13,$F24,0),""))</f>
        <v>2</v>
      </c>
      <c r="J23" s="424" t="str">
        <f aca="true">IF($F24=0,OFFSET(ORÇAMENTO!R$15,$F23,0),IF($F24&lt;&gt;-1,OFFSET(QCI!$G$13,$F24,0),""))</f>
        <v/>
      </c>
      <c r="K23" s="424"/>
      <c r="L23" s="424"/>
      <c r="M23" s="425" t="n">
        <f aca="true">IF($F24=0,OFFSET(ORÇAMENTO!C$15,$F23,0),1)</f>
        <v>1</v>
      </c>
      <c r="N23" s="426" t="n">
        <f aca="true">IF($F24=-1,0,IF(N$13&lt;=$M23,IF(ISERROR(MATCH(N$13,OFFSET($M23,1,0,ROW($M$68)-ROW($M23)-1),0)),ROW($M$68)-ROW($M23)-1,MATCH(N$13,OFFSET($M23,1,0,ROW($M$68)-ROW($M23)-1),0)-1),0))</f>
        <v>2</v>
      </c>
      <c r="O23" s="426" t="n">
        <f aca="true">IF($F24=-1,0,IF(O$13&lt;=$M23,IF(ISERROR(MATCH(O$13,OFFSET($M23,1,0,ROW($M$68)-ROW($M23)-1),0)),ROW($M$68)-ROW($M23)-1,MATCH(O$13,OFFSET($M23,1,0,ROW($M$68)-ROW($M23)-1),0)-1),0))</f>
        <v>0</v>
      </c>
      <c r="P23" s="426" t="n">
        <f aca="true">IF($F24=-1,0,IF(P$13&lt;=$M23,IF(ISERROR(MATCH(P$13,OFFSET($M23,1,0,ROW($M$68)-ROW($M23)-1),0)),ROW($M$68)-ROW($M23)-1,MATCH(P$13,OFFSET($M23,1,0,ROW($M$68)-ROW($M23)-1),0)-1),0))</f>
        <v>0</v>
      </c>
      <c r="Q23" s="426" t="n">
        <f aca="true">IF($F24=-1,0,IF(Q$13&lt;=$M23,IF(ISERROR(MATCH(Q$13,OFFSET($M23,1,0,ROW($M$68)-ROW($M23)-1),0)),ROW($M$68)-ROW($M23)-1,MATCH(Q$13,OFFSET($M23,1,0,ROW($M$68)-ROW($M23)-1),0)-1),0))</f>
        <v>0</v>
      </c>
      <c r="R23" s="426" t="n">
        <f aca="true">MIN(OFFSET(M23,0,1,,M23))</f>
        <v>2</v>
      </c>
      <c r="S23" s="427" t="n">
        <f aca="true">IF($F24=0,OFFSET(ORÇAMENTO!X$15,$F23,0),IF($F24&lt;&gt;-1,OFFSET(QCI!$O$13,$F24,0),""))</f>
        <v>0</v>
      </c>
      <c r="T23" s="428" t="s">
        <v>870</v>
      </c>
      <c r="U23" s="421" t="e">
        <f aca="false" t="array" ref="U23:U23">IF(AND($R23=2,ACOMPANHAMENTO="BM"),ROUND(U24,4),U25/$S23)</f>
        <v>#DIV/0!</v>
      </c>
      <c r="V23" s="421" t="e">
        <f aca="false" t="array" ref="V23:V23">IF(AND($R23=2,ACOMPANHAMENTO="BM"),ROUND(V24,4),V25/$S23)</f>
        <v>#DIV/0!</v>
      </c>
      <c r="W23" s="421" t="e">
        <f aca="false" t="array" ref="W23:W23">IF(AND($R23=2,ACOMPANHAMENTO="BM"),ROUND(W24,4),W25/$S23)</f>
        <v>#DIV/0!</v>
      </c>
      <c r="X23" s="421" t="e">
        <f aca="false" t="array" ref="X23:X23">IF(AND($R23=2,ACOMPANHAMENTO="BM"),ROUND(X24,4),X25/$S23)</f>
        <v>#DIV/0!</v>
      </c>
      <c r="Y23" s="421" t="e">
        <f aca="false" t="array" ref="Y23:Y23">IF(AND($R23=2,ACOMPANHAMENTO="BM"),ROUND(Y24,4),Y25/$S23)</f>
        <v>#DIV/0!</v>
      </c>
      <c r="Z23" s="421" t="e">
        <f aca="false" t="array" ref="Z23:Z23">IF(AND($R23=2,ACOMPANHAMENTO="BM"),ROUND(Z24,4),Z25/$S23)</f>
        <v>#DIV/0!</v>
      </c>
      <c r="AA23" s="421" t="e">
        <f aca="false" t="array" ref="AA23:AA23">IF(AND($R23=2,ACOMPANHAMENTO="BM"),ROUND(AA24,4),AA25/$S23)</f>
        <v>#DIV/0!</v>
      </c>
      <c r="AB23" s="421" t="e">
        <f aca="false" t="array" ref="AB23:AB23">IF(AND($R23=2,ACOMPANHAMENTO="BM"),ROUND(AB24,4),AB25/$S23)</f>
        <v>#DIV/0!</v>
      </c>
      <c r="AC23" s="421" t="e">
        <f aca="false" t="array" ref="AC23:AC23">IF(AND($R23=2,ACOMPANHAMENTO="BM"),ROUND(AC24,4),AC25/$S23)</f>
        <v>#DIV/0!</v>
      </c>
      <c r="AD23" s="421" t="e">
        <f aca="false" t="array" ref="AD23:AD23">IF(AND($R23=2,ACOMPANHAMENTO="BM"),ROUND(AD24,4),AD25/$S23)</f>
        <v>#DIV/0!</v>
      </c>
      <c r="AE23" s="421" t="e">
        <f aca="false" t="array" ref="AE23:AE23">IF(AND($R23=2,ACOMPANHAMENTO="BM"),ROUND(AE24,4),AE25/$S23)</f>
        <v>#DIV/0!</v>
      </c>
      <c r="AF23" s="421" t="e">
        <f aca="false" t="array" ref="AF23:AF23">IF(AND($R23=2,ACOMPANHAMENTO="BM"),ROUND(AF24,4),AF25/$S23)</f>
        <v>#DIV/0!</v>
      </c>
      <c r="AG23" s="429"/>
    </row>
    <row r="24" customFormat="false" ht="12.75" hidden="true" customHeight="true" outlineLevel="0" collapsed="false">
      <c r="E24" s="430"/>
      <c r="F24" s="418" t="n">
        <f aca="true">IF(ISERROR(F23),IF(1+COUNTIF($M$13:OFFSET(M23,-1,0),1)&lt;=MAX(QCI!$D$13:$D$24),1+COUNTIF($M$13:OFFSET(M23,-1,0),1),-1),0)</f>
        <v>2</v>
      </c>
      <c r="G24" s="418" t="str">
        <f aca="true" t="array" ref="G24:G24">IF(ACOMPANHAMENTO="BM",OFFSET(G24,-1,0),"")</f>
        <v/>
      </c>
      <c r="H24" s="431" t="str">
        <f aca="false" t="array" ref="H24:H24">IF(OR(S23=0,S23=""),"vazia",IF(AND(OR(ACOMPANHAMENTO="PLE",$R23&lt;&gt;2),$F24=0),"calculada","--&gt;"))</f>
        <v>vazia</v>
      </c>
      <c r="I24" s="432"/>
      <c r="J24" s="433" t="str">
        <f aca="false">IF(AND(H23&lt;&gt;0,ISNUMBER(H23)),"PREENCHA ESTA LINHA --&gt;","")</f>
        <v/>
      </c>
      <c r="K24" s="433"/>
      <c r="L24" s="433"/>
      <c r="M24" s="434"/>
      <c r="N24" s="434"/>
      <c r="O24" s="434"/>
      <c r="P24" s="434"/>
      <c r="Q24" s="434"/>
      <c r="R24" s="434"/>
      <c r="S24" s="435"/>
      <c r="T24" s="436"/>
      <c r="U24" s="430"/>
      <c r="V24" s="430"/>
      <c r="W24" s="430"/>
      <c r="X24" s="430"/>
      <c r="Y24" s="430"/>
      <c r="Z24" s="430"/>
      <c r="AA24" s="430"/>
      <c r="AB24" s="430"/>
      <c r="AC24" s="430"/>
      <c r="AD24" s="430"/>
      <c r="AE24" s="430"/>
      <c r="AF24" s="430"/>
      <c r="AG24" s="429"/>
    </row>
    <row r="25" customFormat="false" ht="12.75" hidden="true" customHeight="true" outlineLevel="0" collapsed="false">
      <c r="D25" s="437"/>
      <c r="E25" s="438" t="n">
        <f aca="true" t="array" ref="E25:E25">IF($R23=2,
         IF(AND(ACOMPANHAMENTO="PLE",ISNUMBER($F23)),
                SUMIF((OFFSET(CÁLCULO!$AM$15:$AW$15,$F23,0,OFFSET(ORÇAMENTO!$D$15,CRONO!$F23,0))),CRONO!E$12,OFFSET(CÁLCULO!$AB$15:$AL$15,$F23,0,OFFSET(ORÇAMENTO!$D$15,CRONO!$F23,0)))
                +IF(AND($F25&lt;&gt;"",$F25&lt;&gt;0),
                        SUMIF(CÁLCULO!$AM$15:$AW$21,CRONO!E$12,CÁLCULO!$AB$15:$AL$21)/(ORÇAMENTO!$X$15-CÁLCULO.TotalAdmLocal)*CRONO!$F25,
                        0),
                 E24*$S23),
          SUMIF(OFFSET($S25,1,0,$R23-2),($M23+1)&amp;"$",OFFSET(E25,1,0,$R23-2)))</f>
        <v>0</v>
      </c>
      <c r="F25" s="418" t="str">
        <f aca="true">IF(OR($R23&lt;&gt;2,AUTOEVENTO&lt;&gt;"manual",$F24&gt;0),"",
        IF(Import.TipoArredondamento="Tradicional",
              SUMIF(OFFSET(CÁLCULO!$M$15,CRONO!$F23,0,OFFSET(ORÇAMENTO!$D$15,CRONO!$F23,0)),1,OFFSET(ORÇAMENTO!$X$15,CRONO!$F23,0,OFFSET(ORÇAMENTO!$D$15,CRONO!$F23,0))),
              0))</f>
        <v/>
      </c>
      <c r="H25" s="439"/>
      <c r="S25" s="440" t="str">
        <f aca="false">M23&amp;"$"</f>
        <v>1$</v>
      </c>
      <c r="T25" s="441"/>
      <c r="U25" s="438" t="n">
        <f aca="true" t="array" ref="U25:U25">IF($R23=2,
         IF(AND(ACOMPANHAMENTO="PLE",ISNUMBER($F23)),
                SUMIF((OFFSET(CÁLCULO!$AM$15:$AW$15,$F23,0,OFFSET(ORÇAMENTO!$D$15,CRONO!$F23,0))),CRONO!U$12,OFFSET(CÁLCULO!$AB$15:$AL$15,$F23,0,OFFSET(ORÇAMENTO!$D$15,CRONO!$F23,0)))
                +IF(AND($F25&lt;&gt;"",$F25&lt;&gt;0),
                        SUMIF(CÁLCULO!$AM$15:$AW$21,CRONO!U$12,CÁLCULO!$AB$15:$AL$21)/(ORÇAMENTO!$X$15-CÁLCULO.TotalAdmLocal)*CRONO!$F25,
                        0),
                 U24*$S23),
          SUMIF(OFFSET($S25,1,0,$R23-2),($M23+1)&amp;"$",OFFSET(U25,1,0,$R23-2)))</f>
        <v>0</v>
      </c>
      <c r="V25" s="438" t="n">
        <f aca="true" t="array" ref="V25:V25">IF($R23=2,
         IF(AND(ACOMPANHAMENTO="PLE",ISNUMBER($F23)),
                SUMIF((OFFSET(CÁLCULO!$AM$15:$AW$15,$F23,0,OFFSET(ORÇAMENTO!$D$15,CRONO!$F23,0))),CRONO!V$12,OFFSET(CÁLCULO!$AB$15:$AL$15,$F23,0,OFFSET(ORÇAMENTO!$D$15,CRONO!$F23,0)))
                +IF(AND($F25&lt;&gt;"",$F25&lt;&gt;0),
                        SUMIF(CÁLCULO!$AM$15:$AW$21,CRONO!V$12,CÁLCULO!$AB$15:$AL$21)/(ORÇAMENTO!$X$15-CÁLCULO.TotalAdmLocal)*CRONO!$F25,
                        0),
                 V24*$S23),
          SUMIF(OFFSET($S25,1,0,$R23-2),($M23+1)&amp;"$",OFFSET(V25,1,0,$R23-2)))</f>
        <v>0</v>
      </c>
      <c r="W25" s="438" t="n">
        <f aca="true" t="array" ref="W25:W25">IF($R23=2,
         IF(AND(ACOMPANHAMENTO="PLE",ISNUMBER($F23)),
                SUMIF((OFFSET(CÁLCULO!$AM$15:$AW$15,$F23,0,OFFSET(ORÇAMENTO!$D$15,CRONO!$F23,0))),CRONO!W$12,OFFSET(CÁLCULO!$AB$15:$AL$15,$F23,0,OFFSET(ORÇAMENTO!$D$15,CRONO!$F23,0)))
                +IF(AND($F25&lt;&gt;"",$F25&lt;&gt;0),
                        SUMIF(CÁLCULO!$AM$15:$AW$21,CRONO!W$12,CÁLCULO!$AB$15:$AL$21)/(ORÇAMENTO!$X$15-CÁLCULO.TotalAdmLocal)*CRONO!$F25,
                        0),
                 W24*$S23),
          SUMIF(OFFSET($S25,1,0,$R23-2),($M23+1)&amp;"$",OFFSET(W25,1,0,$R23-2)))</f>
        <v>0</v>
      </c>
      <c r="X25" s="438" t="n">
        <f aca="true" t="array" ref="X25:X25">IF($R23=2,
         IF(AND(ACOMPANHAMENTO="PLE",ISNUMBER($F23)),
                SUMIF((OFFSET(CÁLCULO!$AM$15:$AW$15,$F23,0,OFFSET(ORÇAMENTO!$D$15,CRONO!$F23,0))),CRONO!X$12,OFFSET(CÁLCULO!$AB$15:$AL$15,$F23,0,OFFSET(ORÇAMENTO!$D$15,CRONO!$F23,0)))
                +IF(AND($F25&lt;&gt;"",$F25&lt;&gt;0),
                        SUMIF(CÁLCULO!$AM$15:$AW$21,CRONO!X$12,CÁLCULO!$AB$15:$AL$21)/(ORÇAMENTO!$X$15-CÁLCULO.TotalAdmLocal)*CRONO!$F25,
                        0),
                 X24*$S23),
          SUMIF(OFFSET($S25,1,0,$R23-2),($M23+1)&amp;"$",OFFSET(X25,1,0,$R23-2)))</f>
        <v>0</v>
      </c>
      <c r="Y25" s="438" t="n">
        <f aca="true" t="array" ref="Y25:Y25">IF($R23=2,
         IF(AND(ACOMPANHAMENTO="PLE",ISNUMBER($F23)),
                SUMIF((OFFSET(CÁLCULO!$AM$15:$AW$15,$F23,0,OFFSET(ORÇAMENTO!$D$15,CRONO!$F23,0))),CRONO!Y$12,OFFSET(CÁLCULO!$AB$15:$AL$15,$F23,0,OFFSET(ORÇAMENTO!$D$15,CRONO!$F23,0)))
                +IF(AND($F25&lt;&gt;"",$F25&lt;&gt;0),
                        SUMIF(CÁLCULO!$AM$15:$AW$21,CRONO!Y$12,CÁLCULO!$AB$15:$AL$21)/(ORÇAMENTO!$X$15-CÁLCULO.TotalAdmLocal)*CRONO!$F25,
                        0),
                 Y24*$S23),
          SUMIF(OFFSET($S25,1,0,$R23-2),($M23+1)&amp;"$",OFFSET(Y25,1,0,$R23-2)))</f>
        <v>0</v>
      </c>
      <c r="Z25" s="438" t="n">
        <f aca="true" t="array" ref="Z25:Z25">IF($R23=2,
         IF(AND(ACOMPANHAMENTO="PLE",ISNUMBER($F23)),
                SUMIF((OFFSET(CÁLCULO!$AM$15:$AW$15,$F23,0,OFFSET(ORÇAMENTO!$D$15,CRONO!$F23,0))),CRONO!Z$12,OFFSET(CÁLCULO!$AB$15:$AL$15,$F23,0,OFFSET(ORÇAMENTO!$D$15,CRONO!$F23,0)))
                +IF(AND($F25&lt;&gt;"",$F25&lt;&gt;0),
                        SUMIF(CÁLCULO!$AM$15:$AW$21,CRONO!Z$12,CÁLCULO!$AB$15:$AL$21)/(ORÇAMENTO!$X$15-CÁLCULO.TotalAdmLocal)*CRONO!$F25,
                        0),
                 Z24*$S23),
          SUMIF(OFFSET($S25,1,0,$R23-2),($M23+1)&amp;"$",OFFSET(Z25,1,0,$R23-2)))</f>
        <v>0</v>
      </c>
      <c r="AA25" s="438" t="n">
        <f aca="true" t="array" ref="AA25:AA25">IF($R23=2,
         IF(AND(ACOMPANHAMENTO="PLE",ISNUMBER($F23)),
                SUMIF((OFFSET(CÁLCULO!$AM$15:$AW$15,$F23,0,OFFSET(ORÇAMENTO!$D$15,CRONO!$F23,0))),CRONO!AA$12,OFFSET(CÁLCULO!$AB$15:$AL$15,$F23,0,OFFSET(ORÇAMENTO!$D$15,CRONO!$F23,0)))
                +IF(AND($F25&lt;&gt;"",$F25&lt;&gt;0),
                        SUMIF(CÁLCULO!$AM$15:$AW$21,CRONO!AA$12,CÁLCULO!$AB$15:$AL$21)/(ORÇAMENTO!$X$15-CÁLCULO.TotalAdmLocal)*CRONO!$F25,
                        0),
                 AA24*$S23),
          SUMIF(OFFSET($S25,1,0,$R23-2),($M23+1)&amp;"$",OFFSET(AA25,1,0,$R23-2)))</f>
        <v>0</v>
      </c>
      <c r="AB25" s="438" t="n">
        <f aca="true" t="array" ref="AB25:AB25">IF($R23=2,
         IF(AND(ACOMPANHAMENTO="PLE",ISNUMBER($F23)),
                SUMIF((OFFSET(CÁLCULO!$AM$15:$AW$15,$F23,0,OFFSET(ORÇAMENTO!$D$15,CRONO!$F23,0))),CRONO!AB$12,OFFSET(CÁLCULO!$AB$15:$AL$15,$F23,0,OFFSET(ORÇAMENTO!$D$15,CRONO!$F23,0)))
                +IF(AND($F25&lt;&gt;"",$F25&lt;&gt;0),
                        SUMIF(CÁLCULO!$AM$15:$AW$21,CRONO!AB$12,CÁLCULO!$AB$15:$AL$21)/(ORÇAMENTO!$X$15-CÁLCULO.TotalAdmLocal)*CRONO!$F25,
                        0),
                 AB24*$S23),
          SUMIF(OFFSET($S25,1,0,$R23-2),($M23+1)&amp;"$",OFFSET(AB25,1,0,$R23-2)))</f>
        <v>0</v>
      </c>
      <c r="AC25" s="438" t="n">
        <f aca="true" t="array" ref="AC25:AC25">IF($R23=2,
         IF(AND(ACOMPANHAMENTO="PLE",ISNUMBER($F23)),
                SUMIF((OFFSET(CÁLCULO!$AM$15:$AW$15,$F23,0,OFFSET(ORÇAMENTO!$D$15,CRONO!$F23,0))),CRONO!AC$12,OFFSET(CÁLCULO!$AB$15:$AL$15,$F23,0,OFFSET(ORÇAMENTO!$D$15,CRONO!$F23,0)))
                +IF(AND($F25&lt;&gt;"",$F25&lt;&gt;0),
                        SUMIF(CÁLCULO!$AM$15:$AW$21,CRONO!AC$12,CÁLCULO!$AB$15:$AL$21)/(ORÇAMENTO!$X$15-CÁLCULO.TotalAdmLocal)*CRONO!$F25,
                        0),
                 AC24*$S23),
          SUMIF(OFFSET($S25,1,0,$R23-2),($M23+1)&amp;"$",OFFSET(AC25,1,0,$R23-2)))</f>
        <v>0</v>
      </c>
      <c r="AD25" s="438" t="n">
        <f aca="true" t="array" ref="AD25:AD25">IF($R23=2,
         IF(AND(ACOMPANHAMENTO="PLE",ISNUMBER($F23)),
                SUMIF((OFFSET(CÁLCULO!$AM$15:$AW$15,$F23,0,OFFSET(ORÇAMENTO!$D$15,CRONO!$F23,0))),CRONO!AD$12,OFFSET(CÁLCULO!$AB$15:$AL$15,$F23,0,OFFSET(ORÇAMENTO!$D$15,CRONO!$F23,0)))
                +IF(AND($F25&lt;&gt;"",$F25&lt;&gt;0),
                        SUMIF(CÁLCULO!$AM$15:$AW$21,CRONO!AD$12,CÁLCULO!$AB$15:$AL$21)/(ORÇAMENTO!$X$15-CÁLCULO.TotalAdmLocal)*CRONO!$F25,
                        0),
                 AD24*$S23),
          SUMIF(OFFSET($S25,1,0,$R23-2),($M23+1)&amp;"$",OFFSET(AD25,1,0,$R23-2)))</f>
        <v>0</v>
      </c>
      <c r="AE25" s="438" t="n">
        <f aca="true" t="array" ref="AE25:AE25">IF($R23=2,
         IF(AND(ACOMPANHAMENTO="PLE",ISNUMBER($F23)),
                SUMIF((OFFSET(CÁLCULO!$AM$15:$AW$15,$F23,0,OFFSET(ORÇAMENTO!$D$15,CRONO!$F23,0))),CRONO!AE$12,OFFSET(CÁLCULO!$AB$15:$AL$15,$F23,0,OFFSET(ORÇAMENTO!$D$15,CRONO!$F23,0)))
                +IF(AND($F25&lt;&gt;"",$F25&lt;&gt;0),
                        SUMIF(CÁLCULO!$AM$15:$AW$21,CRONO!AE$12,CÁLCULO!$AB$15:$AL$21)/(ORÇAMENTO!$X$15-CÁLCULO.TotalAdmLocal)*CRONO!$F25,
                        0),
                 AE24*$S23),
          SUMIF(OFFSET($S25,1,0,$R23-2),($M23+1)&amp;"$",OFFSET(AE25,1,0,$R23-2)))</f>
        <v>0</v>
      </c>
      <c r="AF25" s="438" t="n">
        <f aca="true" t="array" ref="AF25:AF25">IF($R23=2,
         IF(AND(ACOMPANHAMENTO="PLE",ISNUMBER($F23)),
                SUMIF((OFFSET(CÁLCULO!$AM$15:$AW$15,$F23,0,OFFSET(ORÇAMENTO!$D$15,CRONO!$F23,0))),CRONO!AF$12,OFFSET(CÁLCULO!$AB$15:$AL$15,$F23,0,OFFSET(ORÇAMENTO!$D$15,CRONO!$F23,0)))
                +IF(AND($F25&lt;&gt;"",$F25&lt;&gt;0),
                        SUMIF(CÁLCULO!$AM$15:$AW$21,CRONO!AF$12,CÁLCULO!$AB$15:$AL$21)/(ORÇAMENTO!$X$15-CÁLCULO.TotalAdmLocal)*CRONO!$F25,
                        0),
                 AF24*$S23),
          SUMIF(OFFSET($S25,1,0,$R23-2),($M23+1)&amp;"$",OFFSET(AF25,1,0,$R23-2)))</f>
        <v>0</v>
      </c>
      <c r="AG25" s="429"/>
    </row>
    <row r="26" customFormat="false" ht="12.75" hidden="false" customHeight="false" outlineLevel="0" collapsed="false">
      <c r="A26" s="380" t="str">
        <f aca="false">IF($M26&gt;1,_xlfn.CONCAT($I26," ",$J26),"")</f>
        <v/>
      </c>
      <c r="B26" s="418" t="n">
        <f aca="true">OFFSET(B26,-3,0)+1</f>
        <v>5</v>
      </c>
      <c r="C26" s="418" t="n">
        <f aca="true">IF($R26&lt;&gt;2,0,IF($S26=0,1,IF(F27&gt;0,OFFSET(QCI!$M$13,SUBSTITUTE(F27,".",""),0),OFFSET(ORÇAMENTO!$AA$15,CRONO!$F26,0))/$S26))</f>
        <v>1</v>
      </c>
      <c r="D26" s="418" t="n">
        <f aca="true">IF($R26&lt;&gt;2,0,IF($S26=0,1,IF(F27&gt;0,OFFSET(QCI!$N$13,SUBSTITUTE(F27,".",""),0),OFFSET(ORÇAMENTO!$AB$15,CRONO!$F26,0))/$S26))</f>
        <v>1</v>
      </c>
      <c r="E26" s="421" t="e">
        <f aca="false" t="array" ref="E26:E26">IF(AND($R26=2,ACOMPANHAMENTO="BM"),ROUND(E27,4),E28/$S26)</f>
        <v>#DIV/0!</v>
      </c>
      <c r="F26" s="418" t="e">
        <f aca="true" t="array" ref="F26:F26">IF(B26&lt;=ORÇAMENTO.MáximoListaCrono,MATCH(B26,ORÇAMENTO.ListaCrono,0),NA())</f>
        <v>#N/A</v>
      </c>
      <c r="G26" s="418" t="str">
        <f aca="false">IF(AND($F27&lt;&gt;-1,$S26&gt;0),"F","")</f>
        <v/>
      </c>
      <c r="H26" s="422" t="str">
        <f aca="false" t="array" ref="H26:H26">IF(OR(S26=0,S26=""),"Linha",IF(AND(OR(ACOMPANHAMENTO="PLE",$R26&lt;&gt;2),$F27=0),"Linha",ROUND(1-SUM(U26:AG26),4)))</f>
        <v>Linha</v>
      </c>
      <c r="I26" s="423" t="n">
        <f aca="true">IF($F27=0,OFFSET(ORÇAMENTO!O$15,$F26,0),IF($F27&lt;&gt;-1,OFFSET(QCI!$D$13,$F27,0),""))</f>
        <v>3</v>
      </c>
      <c r="J26" s="424" t="str">
        <f aca="true">IF($F27=0,OFFSET(ORÇAMENTO!R$15,$F26,0),IF($F27&lt;&gt;-1,OFFSET(QCI!$G$13,$F27,0),""))</f>
        <v/>
      </c>
      <c r="K26" s="424"/>
      <c r="L26" s="424"/>
      <c r="M26" s="425" t="n">
        <f aca="true">IF($F27=0,OFFSET(ORÇAMENTO!C$15,$F26,0),1)</f>
        <v>1</v>
      </c>
      <c r="N26" s="426" t="n">
        <f aca="true">IF($F27=-1,0,IF(N$13&lt;=$M26,IF(ISERROR(MATCH(N$13,OFFSET($M26,1,0,ROW($M$68)-ROW($M26)-1),0)),ROW($M$68)-ROW($M26)-1,MATCH(N$13,OFFSET($M26,1,0,ROW($M$68)-ROW($M26)-1),0)-1),0))</f>
        <v>2</v>
      </c>
      <c r="O26" s="426" t="n">
        <f aca="true">IF($F27=-1,0,IF(O$13&lt;=$M26,IF(ISERROR(MATCH(O$13,OFFSET($M26,1,0,ROW($M$68)-ROW($M26)-1),0)),ROW($M$68)-ROW($M26)-1,MATCH(O$13,OFFSET($M26,1,0,ROW($M$68)-ROW($M26)-1),0)-1),0))</f>
        <v>0</v>
      </c>
      <c r="P26" s="426" t="n">
        <f aca="true">IF($F27=-1,0,IF(P$13&lt;=$M26,IF(ISERROR(MATCH(P$13,OFFSET($M26,1,0,ROW($M$68)-ROW($M26)-1),0)),ROW($M$68)-ROW($M26)-1,MATCH(P$13,OFFSET($M26,1,0,ROW($M$68)-ROW($M26)-1),0)-1),0))</f>
        <v>0</v>
      </c>
      <c r="Q26" s="426" t="n">
        <f aca="true">IF($F27=-1,0,IF(Q$13&lt;=$M26,IF(ISERROR(MATCH(Q$13,OFFSET($M26,1,0,ROW($M$68)-ROW($M26)-1),0)),ROW($M$68)-ROW($M26)-1,MATCH(Q$13,OFFSET($M26,1,0,ROW($M$68)-ROW($M26)-1),0)-1),0))</f>
        <v>0</v>
      </c>
      <c r="R26" s="426" t="n">
        <f aca="true">MIN(OFFSET(M26,0,1,,M26))</f>
        <v>2</v>
      </c>
      <c r="S26" s="427" t="n">
        <f aca="true">IF($F27=0,OFFSET(ORÇAMENTO!X$15,$F26,0),IF($F27&lt;&gt;-1,OFFSET(QCI!$O$13,$F27,0),""))</f>
        <v>0</v>
      </c>
      <c r="T26" s="428" t="s">
        <v>870</v>
      </c>
      <c r="U26" s="421" t="e">
        <f aca="false" t="array" ref="U26:U26">IF(AND($R26=2,ACOMPANHAMENTO="BM"),ROUND(U27,4),U28/$S26)</f>
        <v>#DIV/0!</v>
      </c>
      <c r="V26" s="421" t="e">
        <f aca="false" t="array" ref="V26:V26">IF(AND($R26=2,ACOMPANHAMENTO="BM"),ROUND(V27,4),V28/$S26)</f>
        <v>#DIV/0!</v>
      </c>
      <c r="W26" s="421" t="e">
        <f aca="false" t="array" ref="W26:W26">IF(AND($R26=2,ACOMPANHAMENTO="BM"),ROUND(W27,4),W28/$S26)</f>
        <v>#DIV/0!</v>
      </c>
      <c r="X26" s="421" t="e">
        <f aca="false" t="array" ref="X26:X26">IF(AND($R26=2,ACOMPANHAMENTO="BM"),ROUND(X27,4),X28/$S26)</f>
        <v>#DIV/0!</v>
      </c>
      <c r="Y26" s="421" t="e">
        <f aca="false" t="array" ref="Y26:Y26">IF(AND($R26=2,ACOMPANHAMENTO="BM"),ROUND(Y27,4),Y28/$S26)</f>
        <v>#DIV/0!</v>
      </c>
      <c r="Z26" s="421" t="e">
        <f aca="false" t="array" ref="Z26:Z26">IF(AND($R26=2,ACOMPANHAMENTO="BM"),ROUND(Z27,4),Z28/$S26)</f>
        <v>#DIV/0!</v>
      </c>
      <c r="AA26" s="421" t="e">
        <f aca="false" t="array" ref="AA26:AA26">IF(AND($R26=2,ACOMPANHAMENTO="BM"),ROUND(AA27,4),AA28/$S26)</f>
        <v>#DIV/0!</v>
      </c>
      <c r="AB26" s="421" t="e">
        <f aca="false" t="array" ref="AB26:AB26">IF(AND($R26=2,ACOMPANHAMENTO="BM"),ROUND(AB27,4),AB28/$S26)</f>
        <v>#DIV/0!</v>
      </c>
      <c r="AC26" s="421" t="e">
        <f aca="false" t="array" ref="AC26:AC26">IF(AND($R26=2,ACOMPANHAMENTO="BM"),ROUND(AC27,4),AC28/$S26)</f>
        <v>#DIV/0!</v>
      </c>
      <c r="AD26" s="421" t="e">
        <f aca="false" t="array" ref="AD26:AD26">IF(AND($R26=2,ACOMPANHAMENTO="BM"),ROUND(AD27,4),AD28/$S26)</f>
        <v>#DIV/0!</v>
      </c>
      <c r="AE26" s="421" t="e">
        <f aca="false" t="array" ref="AE26:AE26">IF(AND($R26=2,ACOMPANHAMENTO="BM"),ROUND(AE27,4),AE28/$S26)</f>
        <v>#DIV/0!</v>
      </c>
      <c r="AF26" s="421" t="e">
        <f aca="false" t="array" ref="AF26:AF26">IF(AND($R26=2,ACOMPANHAMENTO="BM"),ROUND(AF27,4),AF28/$S26)</f>
        <v>#DIV/0!</v>
      </c>
      <c r="AG26" s="429"/>
    </row>
    <row r="27" customFormat="false" ht="12.75" hidden="true" customHeight="true" outlineLevel="0" collapsed="false">
      <c r="E27" s="430"/>
      <c r="F27" s="418" t="n">
        <f aca="true">IF(ISERROR(F26),IF(1+COUNTIF($M$13:OFFSET(M26,-1,0),1)&lt;=MAX(QCI!$D$13:$D$24),1+COUNTIF($M$13:OFFSET(M26,-1,0),1),-1),0)</f>
        <v>3</v>
      </c>
      <c r="G27" s="418" t="str">
        <f aca="true" t="array" ref="G27:G27">IF(ACOMPANHAMENTO="BM",OFFSET(G27,-1,0),"")</f>
        <v/>
      </c>
      <c r="H27" s="431" t="str">
        <f aca="false" t="array" ref="H27:H27">IF(OR(S26=0,S26=""),"vazia",IF(AND(OR(ACOMPANHAMENTO="PLE",$R26&lt;&gt;2),$F27=0),"calculada","--&gt;"))</f>
        <v>vazia</v>
      </c>
      <c r="I27" s="432"/>
      <c r="J27" s="433" t="str">
        <f aca="false">IF(AND(H26&lt;&gt;0,ISNUMBER(H26)),"PREENCHA ESTA LINHA --&gt;","")</f>
        <v/>
      </c>
      <c r="K27" s="433"/>
      <c r="L27" s="433"/>
      <c r="M27" s="434"/>
      <c r="N27" s="434"/>
      <c r="O27" s="434"/>
      <c r="P27" s="434"/>
      <c r="Q27" s="434"/>
      <c r="R27" s="434"/>
      <c r="S27" s="435"/>
      <c r="T27" s="436"/>
      <c r="U27" s="430"/>
      <c r="V27" s="430"/>
      <c r="W27" s="430"/>
      <c r="X27" s="430"/>
      <c r="Y27" s="430"/>
      <c r="Z27" s="430"/>
      <c r="AA27" s="430"/>
      <c r="AB27" s="430"/>
      <c r="AC27" s="430"/>
      <c r="AD27" s="430"/>
      <c r="AE27" s="430"/>
      <c r="AF27" s="430"/>
      <c r="AG27" s="429"/>
    </row>
    <row r="28" customFormat="false" ht="12.75" hidden="true" customHeight="true" outlineLevel="0" collapsed="false">
      <c r="D28" s="437"/>
      <c r="E28" s="438" t="n">
        <f aca="true" t="array" ref="E28:E28">IF($R26=2,
         IF(AND(ACOMPANHAMENTO="PLE",ISNUMBER($F26)),
                SUMIF((OFFSET(CÁLCULO!$AM$15:$AW$15,$F26,0,OFFSET(ORÇAMENTO!$D$15,CRONO!$F26,0))),CRONO!E$12,OFFSET(CÁLCULO!$AB$15:$AL$15,$F26,0,OFFSET(ORÇAMENTO!$D$15,CRONO!$F26,0)))
                +IF(AND($F28&lt;&gt;"",$F28&lt;&gt;0),
                        SUMIF(CÁLCULO!$AM$15:$AW$21,CRONO!E$12,CÁLCULO!$AB$15:$AL$21)/(ORÇAMENTO!$X$15-CÁLCULO.TotalAdmLocal)*CRONO!$F28,
                        0),
                 E27*$S26),
          SUMIF(OFFSET($S28,1,0,$R26-2),($M26+1)&amp;"$",OFFSET(E28,1,0,$R26-2)))</f>
        <v>0</v>
      </c>
      <c r="F28" s="418" t="str">
        <f aca="true">IF(OR($R26&lt;&gt;2,AUTOEVENTO&lt;&gt;"manual",$F27&gt;0),"",
        IF(Import.TipoArredondamento="Tradicional",
              SUMIF(OFFSET(CÁLCULO!$M$15,CRONO!$F26,0,OFFSET(ORÇAMENTO!$D$15,CRONO!$F26,0)),1,OFFSET(ORÇAMENTO!$X$15,CRONO!$F26,0,OFFSET(ORÇAMENTO!$D$15,CRONO!$F26,0))),
              0))</f>
        <v/>
      </c>
      <c r="H28" s="439"/>
      <c r="S28" s="440" t="str">
        <f aca="false">M26&amp;"$"</f>
        <v>1$</v>
      </c>
      <c r="T28" s="441"/>
      <c r="U28" s="438" t="n">
        <f aca="true" t="array" ref="U28:U28">IF($R26=2,
         IF(AND(ACOMPANHAMENTO="PLE",ISNUMBER($F26)),
                SUMIF((OFFSET(CÁLCULO!$AM$15:$AW$15,$F26,0,OFFSET(ORÇAMENTO!$D$15,CRONO!$F26,0))),CRONO!U$12,OFFSET(CÁLCULO!$AB$15:$AL$15,$F26,0,OFFSET(ORÇAMENTO!$D$15,CRONO!$F26,0)))
                +IF(AND($F28&lt;&gt;"",$F28&lt;&gt;0),
                        SUMIF(CÁLCULO!$AM$15:$AW$21,CRONO!U$12,CÁLCULO!$AB$15:$AL$21)/(ORÇAMENTO!$X$15-CÁLCULO.TotalAdmLocal)*CRONO!$F28,
                        0),
                 U27*$S26),
          SUMIF(OFFSET($S28,1,0,$R26-2),($M26+1)&amp;"$",OFFSET(U28,1,0,$R26-2)))</f>
        <v>0</v>
      </c>
      <c r="V28" s="438" t="n">
        <f aca="true" t="array" ref="V28:V28">IF($R26=2,
         IF(AND(ACOMPANHAMENTO="PLE",ISNUMBER($F26)),
                SUMIF((OFFSET(CÁLCULO!$AM$15:$AW$15,$F26,0,OFFSET(ORÇAMENTO!$D$15,CRONO!$F26,0))),CRONO!V$12,OFFSET(CÁLCULO!$AB$15:$AL$15,$F26,0,OFFSET(ORÇAMENTO!$D$15,CRONO!$F26,0)))
                +IF(AND($F28&lt;&gt;"",$F28&lt;&gt;0),
                        SUMIF(CÁLCULO!$AM$15:$AW$21,CRONO!V$12,CÁLCULO!$AB$15:$AL$21)/(ORÇAMENTO!$X$15-CÁLCULO.TotalAdmLocal)*CRONO!$F28,
                        0),
                 V27*$S26),
          SUMIF(OFFSET($S28,1,0,$R26-2),($M26+1)&amp;"$",OFFSET(V28,1,0,$R26-2)))</f>
        <v>0</v>
      </c>
      <c r="W28" s="438" t="n">
        <f aca="true" t="array" ref="W28:W28">IF($R26=2,
         IF(AND(ACOMPANHAMENTO="PLE",ISNUMBER($F26)),
                SUMIF((OFFSET(CÁLCULO!$AM$15:$AW$15,$F26,0,OFFSET(ORÇAMENTO!$D$15,CRONO!$F26,0))),CRONO!W$12,OFFSET(CÁLCULO!$AB$15:$AL$15,$F26,0,OFFSET(ORÇAMENTO!$D$15,CRONO!$F26,0)))
                +IF(AND($F28&lt;&gt;"",$F28&lt;&gt;0),
                        SUMIF(CÁLCULO!$AM$15:$AW$21,CRONO!W$12,CÁLCULO!$AB$15:$AL$21)/(ORÇAMENTO!$X$15-CÁLCULO.TotalAdmLocal)*CRONO!$F28,
                        0),
                 W27*$S26),
          SUMIF(OFFSET($S28,1,0,$R26-2),($M26+1)&amp;"$",OFFSET(W28,1,0,$R26-2)))</f>
        <v>0</v>
      </c>
      <c r="X28" s="438" t="n">
        <f aca="true" t="array" ref="X28:X28">IF($R26=2,
         IF(AND(ACOMPANHAMENTO="PLE",ISNUMBER($F26)),
                SUMIF((OFFSET(CÁLCULO!$AM$15:$AW$15,$F26,0,OFFSET(ORÇAMENTO!$D$15,CRONO!$F26,0))),CRONO!X$12,OFFSET(CÁLCULO!$AB$15:$AL$15,$F26,0,OFFSET(ORÇAMENTO!$D$15,CRONO!$F26,0)))
                +IF(AND($F28&lt;&gt;"",$F28&lt;&gt;0),
                        SUMIF(CÁLCULO!$AM$15:$AW$21,CRONO!X$12,CÁLCULO!$AB$15:$AL$21)/(ORÇAMENTO!$X$15-CÁLCULO.TotalAdmLocal)*CRONO!$F28,
                        0),
                 X27*$S26),
          SUMIF(OFFSET($S28,1,0,$R26-2),($M26+1)&amp;"$",OFFSET(X28,1,0,$R26-2)))</f>
        <v>0</v>
      </c>
      <c r="Y28" s="438" t="n">
        <f aca="true" t="array" ref="Y28:Y28">IF($R26=2,
         IF(AND(ACOMPANHAMENTO="PLE",ISNUMBER($F26)),
                SUMIF((OFFSET(CÁLCULO!$AM$15:$AW$15,$F26,0,OFFSET(ORÇAMENTO!$D$15,CRONO!$F26,0))),CRONO!Y$12,OFFSET(CÁLCULO!$AB$15:$AL$15,$F26,0,OFFSET(ORÇAMENTO!$D$15,CRONO!$F26,0)))
                +IF(AND($F28&lt;&gt;"",$F28&lt;&gt;0),
                        SUMIF(CÁLCULO!$AM$15:$AW$21,CRONO!Y$12,CÁLCULO!$AB$15:$AL$21)/(ORÇAMENTO!$X$15-CÁLCULO.TotalAdmLocal)*CRONO!$F28,
                        0),
                 Y27*$S26),
          SUMIF(OFFSET($S28,1,0,$R26-2),($M26+1)&amp;"$",OFFSET(Y28,1,0,$R26-2)))</f>
        <v>0</v>
      </c>
      <c r="Z28" s="438" t="n">
        <f aca="true" t="array" ref="Z28:Z28">IF($R26=2,
         IF(AND(ACOMPANHAMENTO="PLE",ISNUMBER($F26)),
                SUMIF((OFFSET(CÁLCULO!$AM$15:$AW$15,$F26,0,OFFSET(ORÇAMENTO!$D$15,CRONO!$F26,0))),CRONO!Z$12,OFFSET(CÁLCULO!$AB$15:$AL$15,$F26,0,OFFSET(ORÇAMENTO!$D$15,CRONO!$F26,0)))
                +IF(AND($F28&lt;&gt;"",$F28&lt;&gt;0),
                        SUMIF(CÁLCULO!$AM$15:$AW$21,CRONO!Z$12,CÁLCULO!$AB$15:$AL$21)/(ORÇAMENTO!$X$15-CÁLCULO.TotalAdmLocal)*CRONO!$F28,
                        0),
                 Z27*$S26),
          SUMIF(OFFSET($S28,1,0,$R26-2),($M26+1)&amp;"$",OFFSET(Z28,1,0,$R26-2)))</f>
        <v>0</v>
      </c>
      <c r="AA28" s="438" t="n">
        <f aca="true" t="array" ref="AA28:AA28">IF($R26=2,
         IF(AND(ACOMPANHAMENTO="PLE",ISNUMBER($F26)),
                SUMIF((OFFSET(CÁLCULO!$AM$15:$AW$15,$F26,0,OFFSET(ORÇAMENTO!$D$15,CRONO!$F26,0))),CRONO!AA$12,OFFSET(CÁLCULO!$AB$15:$AL$15,$F26,0,OFFSET(ORÇAMENTO!$D$15,CRONO!$F26,0)))
                +IF(AND($F28&lt;&gt;"",$F28&lt;&gt;0),
                        SUMIF(CÁLCULO!$AM$15:$AW$21,CRONO!AA$12,CÁLCULO!$AB$15:$AL$21)/(ORÇAMENTO!$X$15-CÁLCULO.TotalAdmLocal)*CRONO!$F28,
                        0),
                 AA27*$S26),
          SUMIF(OFFSET($S28,1,0,$R26-2),($M26+1)&amp;"$",OFFSET(AA28,1,0,$R26-2)))</f>
        <v>0</v>
      </c>
      <c r="AB28" s="438" t="n">
        <f aca="true" t="array" ref="AB28:AB28">IF($R26=2,
         IF(AND(ACOMPANHAMENTO="PLE",ISNUMBER($F26)),
                SUMIF((OFFSET(CÁLCULO!$AM$15:$AW$15,$F26,0,OFFSET(ORÇAMENTO!$D$15,CRONO!$F26,0))),CRONO!AB$12,OFFSET(CÁLCULO!$AB$15:$AL$15,$F26,0,OFFSET(ORÇAMENTO!$D$15,CRONO!$F26,0)))
                +IF(AND($F28&lt;&gt;"",$F28&lt;&gt;0),
                        SUMIF(CÁLCULO!$AM$15:$AW$21,CRONO!AB$12,CÁLCULO!$AB$15:$AL$21)/(ORÇAMENTO!$X$15-CÁLCULO.TotalAdmLocal)*CRONO!$F28,
                        0),
                 AB27*$S26),
          SUMIF(OFFSET($S28,1,0,$R26-2),($M26+1)&amp;"$",OFFSET(AB28,1,0,$R26-2)))</f>
        <v>0</v>
      </c>
      <c r="AC28" s="438" t="n">
        <f aca="true" t="array" ref="AC28:AC28">IF($R26=2,
         IF(AND(ACOMPANHAMENTO="PLE",ISNUMBER($F26)),
                SUMIF((OFFSET(CÁLCULO!$AM$15:$AW$15,$F26,0,OFFSET(ORÇAMENTO!$D$15,CRONO!$F26,0))),CRONO!AC$12,OFFSET(CÁLCULO!$AB$15:$AL$15,$F26,0,OFFSET(ORÇAMENTO!$D$15,CRONO!$F26,0)))
                +IF(AND($F28&lt;&gt;"",$F28&lt;&gt;0),
                        SUMIF(CÁLCULO!$AM$15:$AW$21,CRONO!AC$12,CÁLCULO!$AB$15:$AL$21)/(ORÇAMENTO!$X$15-CÁLCULO.TotalAdmLocal)*CRONO!$F28,
                        0),
                 AC27*$S26),
          SUMIF(OFFSET($S28,1,0,$R26-2),($M26+1)&amp;"$",OFFSET(AC28,1,0,$R26-2)))</f>
        <v>0</v>
      </c>
      <c r="AD28" s="438" t="n">
        <f aca="true" t="array" ref="AD28:AD28">IF($R26=2,
         IF(AND(ACOMPANHAMENTO="PLE",ISNUMBER($F26)),
                SUMIF((OFFSET(CÁLCULO!$AM$15:$AW$15,$F26,0,OFFSET(ORÇAMENTO!$D$15,CRONO!$F26,0))),CRONO!AD$12,OFFSET(CÁLCULO!$AB$15:$AL$15,$F26,0,OFFSET(ORÇAMENTO!$D$15,CRONO!$F26,0)))
                +IF(AND($F28&lt;&gt;"",$F28&lt;&gt;0),
                        SUMIF(CÁLCULO!$AM$15:$AW$21,CRONO!AD$12,CÁLCULO!$AB$15:$AL$21)/(ORÇAMENTO!$X$15-CÁLCULO.TotalAdmLocal)*CRONO!$F28,
                        0),
                 AD27*$S26),
          SUMIF(OFFSET($S28,1,0,$R26-2),($M26+1)&amp;"$",OFFSET(AD28,1,0,$R26-2)))</f>
        <v>0</v>
      </c>
      <c r="AE28" s="438" t="n">
        <f aca="true" t="array" ref="AE28:AE28">IF($R26=2,
         IF(AND(ACOMPANHAMENTO="PLE",ISNUMBER($F26)),
                SUMIF((OFFSET(CÁLCULO!$AM$15:$AW$15,$F26,0,OFFSET(ORÇAMENTO!$D$15,CRONO!$F26,0))),CRONO!AE$12,OFFSET(CÁLCULO!$AB$15:$AL$15,$F26,0,OFFSET(ORÇAMENTO!$D$15,CRONO!$F26,0)))
                +IF(AND($F28&lt;&gt;"",$F28&lt;&gt;0),
                        SUMIF(CÁLCULO!$AM$15:$AW$21,CRONO!AE$12,CÁLCULO!$AB$15:$AL$21)/(ORÇAMENTO!$X$15-CÁLCULO.TotalAdmLocal)*CRONO!$F28,
                        0),
                 AE27*$S26),
          SUMIF(OFFSET($S28,1,0,$R26-2),($M26+1)&amp;"$",OFFSET(AE28,1,0,$R26-2)))</f>
        <v>0</v>
      </c>
      <c r="AF28" s="438" t="n">
        <f aca="true" t="array" ref="AF28:AF28">IF($R26=2,
         IF(AND(ACOMPANHAMENTO="PLE",ISNUMBER($F26)),
                SUMIF((OFFSET(CÁLCULO!$AM$15:$AW$15,$F26,0,OFFSET(ORÇAMENTO!$D$15,CRONO!$F26,0))),CRONO!AF$12,OFFSET(CÁLCULO!$AB$15:$AL$15,$F26,0,OFFSET(ORÇAMENTO!$D$15,CRONO!$F26,0)))
                +IF(AND($F28&lt;&gt;"",$F28&lt;&gt;0),
                        SUMIF(CÁLCULO!$AM$15:$AW$21,CRONO!AF$12,CÁLCULO!$AB$15:$AL$21)/(ORÇAMENTO!$X$15-CÁLCULO.TotalAdmLocal)*CRONO!$F28,
                        0),
                 AF27*$S26),
          SUMIF(OFFSET($S28,1,0,$R26-2),($M26+1)&amp;"$",OFFSET(AF28,1,0,$R26-2)))</f>
        <v>0</v>
      </c>
      <c r="AG28" s="429"/>
    </row>
    <row r="29" customFormat="false" ht="12.75" hidden="false" customHeight="false" outlineLevel="0" collapsed="false">
      <c r="A29" s="380" t="str">
        <f aca="false">IF($M29&gt;1,_xlfn.CONCAT($I29," ",$J29),"")</f>
        <v/>
      </c>
      <c r="B29" s="418" t="n">
        <f aca="true">OFFSET(B29,-3,0)+1</f>
        <v>6</v>
      </c>
      <c r="C29" s="418" t="n">
        <f aca="true">IF($R29&lt;&gt;2,0,IF($S29=0,1,IF(F30&gt;0,OFFSET(QCI!$M$13,SUBSTITUTE(F30,".",""),0),OFFSET(ORÇAMENTO!$AA$15,CRONO!$F29,0))/$S29))</f>
        <v>1</v>
      </c>
      <c r="D29" s="418" t="n">
        <f aca="true">IF($R29&lt;&gt;2,0,IF($S29=0,1,IF(F30&gt;0,OFFSET(QCI!$N$13,SUBSTITUTE(F30,".",""),0),OFFSET(ORÇAMENTO!$AB$15,CRONO!$F29,0))/$S29))</f>
        <v>1</v>
      </c>
      <c r="E29" s="421" t="e">
        <f aca="false" t="array" ref="E29:E29">IF(AND($R29=2,ACOMPANHAMENTO="BM"),ROUND(E30,4),E31/$S29)</f>
        <v>#DIV/0!</v>
      </c>
      <c r="F29" s="418" t="e">
        <f aca="true" t="array" ref="F29:F29">IF(B29&lt;=ORÇAMENTO.MáximoListaCrono,MATCH(B29,ORÇAMENTO.ListaCrono,0),NA())</f>
        <v>#N/A</v>
      </c>
      <c r="G29" s="418" t="str">
        <f aca="false">IF(AND($F30&lt;&gt;-1,$S29&gt;0),"F","")</f>
        <v/>
      </c>
      <c r="H29" s="422" t="str">
        <f aca="false" t="array" ref="H29:H29">IF(OR(S29=0,S29=""),"Linha",IF(AND(OR(ACOMPANHAMENTO="PLE",$R29&lt;&gt;2),$F30=0),"Linha",ROUND(1-SUM(U29:AG29),4)))</f>
        <v>Linha</v>
      </c>
      <c r="I29" s="423" t="n">
        <f aca="true">IF($F30=0,OFFSET(ORÇAMENTO!O$15,$F29,0),IF($F30&lt;&gt;-1,OFFSET(QCI!$D$13,$F30,0),""))</f>
        <v>4</v>
      </c>
      <c r="J29" s="424" t="str">
        <f aca="true">IF($F30=0,OFFSET(ORÇAMENTO!R$15,$F29,0),IF($F30&lt;&gt;-1,OFFSET(QCI!$G$13,$F30,0),""))</f>
        <v/>
      </c>
      <c r="K29" s="424"/>
      <c r="L29" s="424"/>
      <c r="M29" s="425" t="n">
        <f aca="true">IF($F30=0,OFFSET(ORÇAMENTO!C$15,$F29,0),1)</f>
        <v>1</v>
      </c>
      <c r="N29" s="426" t="n">
        <f aca="true">IF($F30=-1,0,IF(N$13&lt;=$M29,IF(ISERROR(MATCH(N$13,OFFSET($M29,1,0,ROW($M$68)-ROW($M29)-1),0)),ROW($M$68)-ROW($M29)-1,MATCH(N$13,OFFSET($M29,1,0,ROW($M$68)-ROW($M29)-1),0)-1),0))</f>
        <v>2</v>
      </c>
      <c r="O29" s="426" t="n">
        <f aca="true">IF($F30=-1,0,IF(O$13&lt;=$M29,IF(ISERROR(MATCH(O$13,OFFSET($M29,1,0,ROW($M$68)-ROW($M29)-1),0)),ROW($M$68)-ROW($M29)-1,MATCH(O$13,OFFSET($M29,1,0,ROW($M$68)-ROW($M29)-1),0)-1),0))</f>
        <v>0</v>
      </c>
      <c r="P29" s="426" t="n">
        <f aca="true">IF($F30=-1,0,IF(P$13&lt;=$M29,IF(ISERROR(MATCH(P$13,OFFSET($M29,1,0,ROW($M$68)-ROW($M29)-1),0)),ROW($M$68)-ROW($M29)-1,MATCH(P$13,OFFSET($M29,1,0,ROW($M$68)-ROW($M29)-1),0)-1),0))</f>
        <v>0</v>
      </c>
      <c r="Q29" s="426" t="n">
        <f aca="true">IF($F30=-1,0,IF(Q$13&lt;=$M29,IF(ISERROR(MATCH(Q$13,OFFSET($M29,1,0,ROW($M$68)-ROW($M29)-1),0)),ROW($M$68)-ROW($M29)-1,MATCH(Q$13,OFFSET($M29,1,0,ROW($M$68)-ROW($M29)-1),0)-1),0))</f>
        <v>0</v>
      </c>
      <c r="R29" s="426" t="n">
        <f aca="true">MIN(OFFSET(M29,0,1,,M29))</f>
        <v>2</v>
      </c>
      <c r="S29" s="427" t="n">
        <f aca="true">IF($F30=0,OFFSET(ORÇAMENTO!X$15,$F29,0),IF($F30&lt;&gt;-1,OFFSET(QCI!$O$13,$F30,0),""))</f>
        <v>0</v>
      </c>
      <c r="T29" s="428" t="s">
        <v>870</v>
      </c>
      <c r="U29" s="421" t="e">
        <f aca="false" t="array" ref="U29:U29">IF(AND($R29=2,ACOMPANHAMENTO="BM"),ROUND(U30,4),U31/$S29)</f>
        <v>#DIV/0!</v>
      </c>
      <c r="V29" s="421" t="e">
        <f aca="false" t="array" ref="V29:V29">IF(AND($R29=2,ACOMPANHAMENTO="BM"),ROUND(V30,4),V31/$S29)</f>
        <v>#DIV/0!</v>
      </c>
      <c r="W29" s="421" t="e">
        <f aca="false" t="array" ref="W29:W29">IF(AND($R29=2,ACOMPANHAMENTO="BM"),ROUND(W30,4),W31/$S29)</f>
        <v>#DIV/0!</v>
      </c>
      <c r="X29" s="421" t="e">
        <f aca="false" t="array" ref="X29:X29">IF(AND($R29=2,ACOMPANHAMENTO="BM"),ROUND(X30,4),X31/$S29)</f>
        <v>#DIV/0!</v>
      </c>
      <c r="Y29" s="421" t="e">
        <f aca="false" t="array" ref="Y29:Y29">IF(AND($R29=2,ACOMPANHAMENTO="BM"),ROUND(Y30,4),Y31/$S29)</f>
        <v>#DIV/0!</v>
      </c>
      <c r="Z29" s="421" t="e">
        <f aca="false" t="array" ref="Z29:Z29">IF(AND($R29=2,ACOMPANHAMENTO="BM"),ROUND(Z30,4),Z31/$S29)</f>
        <v>#DIV/0!</v>
      </c>
      <c r="AA29" s="421" t="e">
        <f aca="false" t="array" ref="AA29:AA29">IF(AND($R29=2,ACOMPANHAMENTO="BM"),ROUND(AA30,4),AA31/$S29)</f>
        <v>#DIV/0!</v>
      </c>
      <c r="AB29" s="421" t="e">
        <f aca="false" t="array" ref="AB29:AB29">IF(AND($R29=2,ACOMPANHAMENTO="BM"),ROUND(AB30,4),AB31/$S29)</f>
        <v>#DIV/0!</v>
      </c>
      <c r="AC29" s="421" t="e">
        <f aca="false" t="array" ref="AC29:AC29">IF(AND($R29=2,ACOMPANHAMENTO="BM"),ROUND(AC30,4),AC31/$S29)</f>
        <v>#DIV/0!</v>
      </c>
      <c r="AD29" s="421" t="e">
        <f aca="false" t="array" ref="AD29:AD29">IF(AND($R29=2,ACOMPANHAMENTO="BM"),ROUND(AD30,4),AD31/$S29)</f>
        <v>#DIV/0!</v>
      </c>
      <c r="AE29" s="421" t="e">
        <f aca="false" t="array" ref="AE29:AE29">IF(AND($R29=2,ACOMPANHAMENTO="BM"),ROUND(AE30,4),AE31/$S29)</f>
        <v>#DIV/0!</v>
      </c>
      <c r="AF29" s="421" t="e">
        <f aca="false" t="array" ref="AF29:AF29">IF(AND($R29=2,ACOMPANHAMENTO="BM"),ROUND(AF30,4),AF31/$S29)</f>
        <v>#DIV/0!</v>
      </c>
      <c r="AG29" s="429"/>
    </row>
    <row r="30" customFormat="false" ht="12.75" hidden="true" customHeight="true" outlineLevel="0" collapsed="false">
      <c r="E30" s="430"/>
      <c r="F30" s="418" t="n">
        <f aca="true">IF(ISERROR(F29),IF(1+COUNTIF($M$13:OFFSET(M29,-1,0),1)&lt;=MAX(QCI!$D$13:$D$24),1+COUNTIF($M$13:OFFSET(M29,-1,0),1),-1),0)</f>
        <v>4</v>
      </c>
      <c r="G30" s="418" t="str">
        <f aca="true" t="array" ref="G30:G30">IF(ACOMPANHAMENTO="BM",OFFSET(G30,-1,0),"")</f>
        <v/>
      </c>
      <c r="H30" s="431" t="str">
        <f aca="false" t="array" ref="H30:H30">IF(OR(S29=0,S29=""),"vazia",IF(AND(OR(ACOMPANHAMENTO="PLE",$R29&lt;&gt;2),$F30=0),"calculada","--&gt;"))</f>
        <v>vazia</v>
      </c>
      <c r="I30" s="432"/>
      <c r="J30" s="433" t="str">
        <f aca="false">IF(AND(H29&lt;&gt;0,ISNUMBER(H29)),"PREENCHA ESTA LINHA --&gt;","")</f>
        <v/>
      </c>
      <c r="K30" s="433"/>
      <c r="L30" s="433"/>
      <c r="M30" s="434"/>
      <c r="N30" s="434"/>
      <c r="O30" s="434"/>
      <c r="P30" s="434"/>
      <c r="Q30" s="434"/>
      <c r="R30" s="434"/>
      <c r="S30" s="435"/>
      <c r="T30" s="436"/>
      <c r="U30" s="430"/>
      <c r="V30" s="430"/>
      <c r="W30" s="430"/>
      <c r="X30" s="430"/>
      <c r="Y30" s="430"/>
      <c r="Z30" s="430"/>
      <c r="AA30" s="430"/>
      <c r="AB30" s="430"/>
      <c r="AC30" s="430"/>
      <c r="AD30" s="430"/>
      <c r="AE30" s="430"/>
      <c r="AF30" s="430"/>
      <c r="AG30" s="429"/>
    </row>
    <row r="31" customFormat="false" ht="12.75" hidden="true" customHeight="true" outlineLevel="0" collapsed="false">
      <c r="D31" s="437"/>
      <c r="E31" s="438" t="n">
        <f aca="true" t="array" ref="E31:E31">IF($R29=2,
         IF(AND(ACOMPANHAMENTO="PLE",ISNUMBER($F29)),
                SUMIF((OFFSET(CÁLCULO!$AM$15:$AW$15,$F29,0,OFFSET(ORÇAMENTO!$D$15,CRONO!$F29,0))),CRONO!E$12,OFFSET(CÁLCULO!$AB$15:$AL$15,$F29,0,OFFSET(ORÇAMENTO!$D$15,CRONO!$F29,0)))
                +IF(AND($F31&lt;&gt;"",$F31&lt;&gt;0),
                        SUMIF(CÁLCULO!$AM$15:$AW$21,CRONO!E$12,CÁLCULO!$AB$15:$AL$21)/(ORÇAMENTO!$X$15-CÁLCULO.TotalAdmLocal)*CRONO!$F31,
                        0),
                 E30*$S29),
          SUMIF(OFFSET($S31,1,0,$R29-2),($M29+1)&amp;"$",OFFSET(E31,1,0,$R29-2)))</f>
        <v>0</v>
      </c>
      <c r="F31" s="418" t="str">
        <f aca="true">IF(OR($R29&lt;&gt;2,AUTOEVENTO&lt;&gt;"manual",$F30&gt;0),"",
        IF(Import.TipoArredondamento="Tradicional",
              SUMIF(OFFSET(CÁLCULO!$M$15,CRONO!$F29,0,OFFSET(ORÇAMENTO!$D$15,CRONO!$F29,0)),1,OFFSET(ORÇAMENTO!$X$15,CRONO!$F29,0,OFFSET(ORÇAMENTO!$D$15,CRONO!$F29,0))),
              0))</f>
        <v/>
      </c>
      <c r="H31" s="439"/>
      <c r="S31" s="440" t="str">
        <f aca="false">M29&amp;"$"</f>
        <v>1$</v>
      </c>
      <c r="T31" s="441"/>
      <c r="U31" s="438" t="n">
        <f aca="true" t="array" ref="U31:U31">IF($R29=2,
         IF(AND(ACOMPANHAMENTO="PLE",ISNUMBER($F29)),
                SUMIF((OFFSET(CÁLCULO!$AM$15:$AW$15,$F29,0,OFFSET(ORÇAMENTO!$D$15,CRONO!$F29,0))),CRONO!U$12,OFFSET(CÁLCULO!$AB$15:$AL$15,$F29,0,OFFSET(ORÇAMENTO!$D$15,CRONO!$F29,0)))
                +IF(AND($F31&lt;&gt;"",$F31&lt;&gt;0),
                        SUMIF(CÁLCULO!$AM$15:$AW$21,CRONO!U$12,CÁLCULO!$AB$15:$AL$21)/(ORÇAMENTO!$X$15-CÁLCULO.TotalAdmLocal)*CRONO!$F31,
                        0),
                 U30*$S29),
          SUMIF(OFFSET($S31,1,0,$R29-2),($M29+1)&amp;"$",OFFSET(U31,1,0,$R29-2)))</f>
        <v>0</v>
      </c>
      <c r="V31" s="438" t="n">
        <f aca="true" t="array" ref="V31:V31">IF($R29=2,
         IF(AND(ACOMPANHAMENTO="PLE",ISNUMBER($F29)),
                SUMIF((OFFSET(CÁLCULO!$AM$15:$AW$15,$F29,0,OFFSET(ORÇAMENTO!$D$15,CRONO!$F29,0))),CRONO!V$12,OFFSET(CÁLCULO!$AB$15:$AL$15,$F29,0,OFFSET(ORÇAMENTO!$D$15,CRONO!$F29,0)))
                +IF(AND($F31&lt;&gt;"",$F31&lt;&gt;0),
                        SUMIF(CÁLCULO!$AM$15:$AW$21,CRONO!V$12,CÁLCULO!$AB$15:$AL$21)/(ORÇAMENTO!$X$15-CÁLCULO.TotalAdmLocal)*CRONO!$F31,
                        0),
                 V30*$S29),
          SUMIF(OFFSET($S31,1,0,$R29-2),($M29+1)&amp;"$",OFFSET(V31,1,0,$R29-2)))</f>
        <v>0</v>
      </c>
      <c r="W31" s="438" t="n">
        <f aca="true" t="array" ref="W31:W31">IF($R29=2,
         IF(AND(ACOMPANHAMENTO="PLE",ISNUMBER($F29)),
                SUMIF((OFFSET(CÁLCULO!$AM$15:$AW$15,$F29,0,OFFSET(ORÇAMENTO!$D$15,CRONO!$F29,0))),CRONO!W$12,OFFSET(CÁLCULO!$AB$15:$AL$15,$F29,0,OFFSET(ORÇAMENTO!$D$15,CRONO!$F29,0)))
                +IF(AND($F31&lt;&gt;"",$F31&lt;&gt;0),
                        SUMIF(CÁLCULO!$AM$15:$AW$21,CRONO!W$12,CÁLCULO!$AB$15:$AL$21)/(ORÇAMENTO!$X$15-CÁLCULO.TotalAdmLocal)*CRONO!$F31,
                        0),
                 W30*$S29),
          SUMIF(OFFSET($S31,1,0,$R29-2),($M29+1)&amp;"$",OFFSET(W31,1,0,$R29-2)))</f>
        <v>0</v>
      </c>
      <c r="X31" s="438" t="n">
        <f aca="true" t="array" ref="X31:X31">IF($R29=2,
         IF(AND(ACOMPANHAMENTO="PLE",ISNUMBER($F29)),
                SUMIF((OFFSET(CÁLCULO!$AM$15:$AW$15,$F29,0,OFFSET(ORÇAMENTO!$D$15,CRONO!$F29,0))),CRONO!X$12,OFFSET(CÁLCULO!$AB$15:$AL$15,$F29,0,OFFSET(ORÇAMENTO!$D$15,CRONO!$F29,0)))
                +IF(AND($F31&lt;&gt;"",$F31&lt;&gt;0),
                        SUMIF(CÁLCULO!$AM$15:$AW$21,CRONO!X$12,CÁLCULO!$AB$15:$AL$21)/(ORÇAMENTO!$X$15-CÁLCULO.TotalAdmLocal)*CRONO!$F31,
                        0),
                 X30*$S29),
          SUMIF(OFFSET($S31,1,0,$R29-2),($M29+1)&amp;"$",OFFSET(X31,1,0,$R29-2)))</f>
        <v>0</v>
      </c>
      <c r="Y31" s="438" t="n">
        <f aca="true" t="array" ref="Y31:Y31">IF($R29=2,
         IF(AND(ACOMPANHAMENTO="PLE",ISNUMBER($F29)),
                SUMIF((OFFSET(CÁLCULO!$AM$15:$AW$15,$F29,0,OFFSET(ORÇAMENTO!$D$15,CRONO!$F29,0))),CRONO!Y$12,OFFSET(CÁLCULO!$AB$15:$AL$15,$F29,0,OFFSET(ORÇAMENTO!$D$15,CRONO!$F29,0)))
                +IF(AND($F31&lt;&gt;"",$F31&lt;&gt;0),
                        SUMIF(CÁLCULO!$AM$15:$AW$21,CRONO!Y$12,CÁLCULO!$AB$15:$AL$21)/(ORÇAMENTO!$X$15-CÁLCULO.TotalAdmLocal)*CRONO!$F31,
                        0),
                 Y30*$S29),
          SUMIF(OFFSET($S31,1,0,$R29-2),($M29+1)&amp;"$",OFFSET(Y31,1,0,$R29-2)))</f>
        <v>0</v>
      </c>
      <c r="Z31" s="438" t="n">
        <f aca="true" t="array" ref="Z31:Z31">IF($R29=2,
         IF(AND(ACOMPANHAMENTO="PLE",ISNUMBER($F29)),
                SUMIF((OFFSET(CÁLCULO!$AM$15:$AW$15,$F29,0,OFFSET(ORÇAMENTO!$D$15,CRONO!$F29,0))),CRONO!Z$12,OFFSET(CÁLCULO!$AB$15:$AL$15,$F29,0,OFFSET(ORÇAMENTO!$D$15,CRONO!$F29,0)))
                +IF(AND($F31&lt;&gt;"",$F31&lt;&gt;0),
                        SUMIF(CÁLCULO!$AM$15:$AW$21,CRONO!Z$12,CÁLCULO!$AB$15:$AL$21)/(ORÇAMENTO!$X$15-CÁLCULO.TotalAdmLocal)*CRONO!$F31,
                        0),
                 Z30*$S29),
          SUMIF(OFFSET($S31,1,0,$R29-2),($M29+1)&amp;"$",OFFSET(Z31,1,0,$R29-2)))</f>
        <v>0</v>
      </c>
      <c r="AA31" s="438" t="n">
        <f aca="true" t="array" ref="AA31:AA31">IF($R29=2,
         IF(AND(ACOMPANHAMENTO="PLE",ISNUMBER($F29)),
                SUMIF((OFFSET(CÁLCULO!$AM$15:$AW$15,$F29,0,OFFSET(ORÇAMENTO!$D$15,CRONO!$F29,0))),CRONO!AA$12,OFFSET(CÁLCULO!$AB$15:$AL$15,$F29,0,OFFSET(ORÇAMENTO!$D$15,CRONO!$F29,0)))
                +IF(AND($F31&lt;&gt;"",$F31&lt;&gt;0),
                        SUMIF(CÁLCULO!$AM$15:$AW$21,CRONO!AA$12,CÁLCULO!$AB$15:$AL$21)/(ORÇAMENTO!$X$15-CÁLCULO.TotalAdmLocal)*CRONO!$F31,
                        0),
                 AA30*$S29),
          SUMIF(OFFSET($S31,1,0,$R29-2),($M29+1)&amp;"$",OFFSET(AA31,1,0,$R29-2)))</f>
        <v>0</v>
      </c>
      <c r="AB31" s="438" t="n">
        <f aca="true" t="array" ref="AB31:AB31">IF($R29=2,
         IF(AND(ACOMPANHAMENTO="PLE",ISNUMBER($F29)),
                SUMIF((OFFSET(CÁLCULO!$AM$15:$AW$15,$F29,0,OFFSET(ORÇAMENTO!$D$15,CRONO!$F29,0))),CRONO!AB$12,OFFSET(CÁLCULO!$AB$15:$AL$15,$F29,0,OFFSET(ORÇAMENTO!$D$15,CRONO!$F29,0)))
                +IF(AND($F31&lt;&gt;"",$F31&lt;&gt;0),
                        SUMIF(CÁLCULO!$AM$15:$AW$21,CRONO!AB$12,CÁLCULO!$AB$15:$AL$21)/(ORÇAMENTO!$X$15-CÁLCULO.TotalAdmLocal)*CRONO!$F31,
                        0),
                 AB30*$S29),
          SUMIF(OFFSET($S31,1,0,$R29-2),($M29+1)&amp;"$",OFFSET(AB31,1,0,$R29-2)))</f>
        <v>0</v>
      </c>
      <c r="AC31" s="438" t="n">
        <f aca="true" t="array" ref="AC31:AC31">IF($R29=2,
         IF(AND(ACOMPANHAMENTO="PLE",ISNUMBER($F29)),
                SUMIF((OFFSET(CÁLCULO!$AM$15:$AW$15,$F29,0,OFFSET(ORÇAMENTO!$D$15,CRONO!$F29,0))),CRONO!AC$12,OFFSET(CÁLCULO!$AB$15:$AL$15,$F29,0,OFFSET(ORÇAMENTO!$D$15,CRONO!$F29,0)))
                +IF(AND($F31&lt;&gt;"",$F31&lt;&gt;0),
                        SUMIF(CÁLCULO!$AM$15:$AW$21,CRONO!AC$12,CÁLCULO!$AB$15:$AL$21)/(ORÇAMENTO!$X$15-CÁLCULO.TotalAdmLocal)*CRONO!$F31,
                        0),
                 AC30*$S29),
          SUMIF(OFFSET($S31,1,0,$R29-2),($M29+1)&amp;"$",OFFSET(AC31,1,0,$R29-2)))</f>
        <v>0</v>
      </c>
      <c r="AD31" s="438" t="n">
        <f aca="true" t="array" ref="AD31:AD31">IF($R29=2,
         IF(AND(ACOMPANHAMENTO="PLE",ISNUMBER($F29)),
                SUMIF((OFFSET(CÁLCULO!$AM$15:$AW$15,$F29,0,OFFSET(ORÇAMENTO!$D$15,CRONO!$F29,0))),CRONO!AD$12,OFFSET(CÁLCULO!$AB$15:$AL$15,$F29,0,OFFSET(ORÇAMENTO!$D$15,CRONO!$F29,0)))
                +IF(AND($F31&lt;&gt;"",$F31&lt;&gt;0),
                        SUMIF(CÁLCULO!$AM$15:$AW$21,CRONO!AD$12,CÁLCULO!$AB$15:$AL$21)/(ORÇAMENTO!$X$15-CÁLCULO.TotalAdmLocal)*CRONO!$F31,
                        0),
                 AD30*$S29),
          SUMIF(OFFSET($S31,1,0,$R29-2),($M29+1)&amp;"$",OFFSET(AD31,1,0,$R29-2)))</f>
        <v>0</v>
      </c>
      <c r="AE31" s="438" t="n">
        <f aca="true" t="array" ref="AE31:AE31">IF($R29=2,
         IF(AND(ACOMPANHAMENTO="PLE",ISNUMBER($F29)),
                SUMIF((OFFSET(CÁLCULO!$AM$15:$AW$15,$F29,0,OFFSET(ORÇAMENTO!$D$15,CRONO!$F29,0))),CRONO!AE$12,OFFSET(CÁLCULO!$AB$15:$AL$15,$F29,0,OFFSET(ORÇAMENTO!$D$15,CRONO!$F29,0)))
                +IF(AND($F31&lt;&gt;"",$F31&lt;&gt;0),
                        SUMIF(CÁLCULO!$AM$15:$AW$21,CRONO!AE$12,CÁLCULO!$AB$15:$AL$21)/(ORÇAMENTO!$X$15-CÁLCULO.TotalAdmLocal)*CRONO!$F31,
                        0),
                 AE30*$S29),
          SUMIF(OFFSET($S31,1,0,$R29-2),($M29+1)&amp;"$",OFFSET(AE31,1,0,$R29-2)))</f>
        <v>0</v>
      </c>
      <c r="AF31" s="438" t="n">
        <f aca="true" t="array" ref="AF31:AF31">IF($R29=2,
         IF(AND(ACOMPANHAMENTO="PLE",ISNUMBER($F29)),
                SUMIF((OFFSET(CÁLCULO!$AM$15:$AW$15,$F29,0,OFFSET(ORÇAMENTO!$D$15,CRONO!$F29,0))),CRONO!AF$12,OFFSET(CÁLCULO!$AB$15:$AL$15,$F29,0,OFFSET(ORÇAMENTO!$D$15,CRONO!$F29,0)))
                +IF(AND($F31&lt;&gt;"",$F31&lt;&gt;0),
                        SUMIF(CÁLCULO!$AM$15:$AW$21,CRONO!AF$12,CÁLCULO!$AB$15:$AL$21)/(ORÇAMENTO!$X$15-CÁLCULO.TotalAdmLocal)*CRONO!$F31,
                        0),
                 AF30*$S29),
          SUMIF(OFFSET($S31,1,0,$R29-2),($M29+1)&amp;"$",OFFSET(AF31,1,0,$R29-2)))</f>
        <v>0</v>
      </c>
      <c r="AG31" s="429"/>
    </row>
    <row r="32" customFormat="false" ht="12.75" hidden="false" customHeight="false" outlineLevel="0" collapsed="false">
      <c r="A32" s="380" t="str">
        <f aca="false">IF($M32&gt;1,_xlfn.CONCAT($I32," ",$J32),"")</f>
        <v/>
      </c>
      <c r="B32" s="418" t="n">
        <f aca="true">OFFSET(B32,-3,0)+1</f>
        <v>7</v>
      </c>
      <c r="C32" s="418" t="n">
        <f aca="true">IF($R32&lt;&gt;2,0,IF($S32=0,1,IF(F33&gt;0,OFFSET(QCI!$M$13,SUBSTITUTE(F33,".",""),0),OFFSET(ORÇAMENTO!$AA$15,CRONO!$F32,0))/$S32))</f>
        <v>1</v>
      </c>
      <c r="D32" s="418" t="n">
        <f aca="true">IF($R32&lt;&gt;2,0,IF($S32=0,1,IF(F33&gt;0,OFFSET(QCI!$N$13,SUBSTITUTE(F33,".",""),0),OFFSET(ORÇAMENTO!$AB$15,CRONO!$F32,0))/$S32))</f>
        <v>1</v>
      </c>
      <c r="E32" s="421" t="e">
        <f aca="false" t="array" ref="E32:E32">IF(AND($R32=2,ACOMPANHAMENTO="BM"),ROUND(E33,4),E34/$S32)</f>
        <v>#DIV/0!</v>
      </c>
      <c r="F32" s="418" t="e">
        <f aca="true" t="array" ref="F32:F32">IF(B32&lt;=ORÇAMENTO.MáximoListaCrono,MATCH(B32,ORÇAMENTO.ListaCrono,0),NA())</f>
        <v>#N/A</v>
      </c>
      <c r="G32" s="418" t="str">
        <f aca="false">IF(AND($F33&lt;&gt;-1,$S32&gt;0),"F","")</f>
        <v/>
      </c>
      <c r="H32" s="422" t="str">
        <f aca="false" t="array" ref="H32:H32">IF(OR(S32=0,S32=""),"Linha",IF(AND(OR(ACOMPANHAMENTO="PLE",$R32&lt;&gt;2),$F33=0),"Linha",ROUND(1-SUM(U32:AG32),4)))</f>
        <v>Linha</v>
      </c>
      <c r="I32" s="423" t="n">
        <f aca="true">IF($F33=0,OFFSET(ORÇAMENTO!O$15,$F32,0),IF($F33&lt;&gt;-1,OFFSET(QCI!$D$13,$F33,0),""))</f>
        <v>5</v>
      </c>
      <c r="J32" s="424" t="str">
        <f aca="true">IF($F33=0,OFFSET(ORÇAMENTO!R$15,$F32,0),IF($F33&lt;&gt;-1,OFFSET(QCI!$G$13,$F33,0),""))</f>
        <v/>
      </c>
      <c r="K32" s="424"/>
      <c r="L32" s="424"/>
      <c r="M32" s="425" t="n">
        <f aca="true">IF($F33=0,OFFSET(ORÇAMENTO!C$15,$F32,0),1)</f>
        <v>1</v>
      </c>
      <c r="N32" s="426" t="n">
        <f aca="true">IF($F33=-1,0,IF(N$13&lt;=$M32,IF(ISERROR(MATCH(N$13,OFFSET($M32,1,0,ROW($M$68)-ROW($M32)-1),0)),ROW($M$68)-ROW($M32)-1,MATCH(N$13,OFFSET($M32,1,0,ROW($M$68)-ROW($M32)-1),0)-1),0))</f>
        <v>2</v>
      </c>
      <c r="O32" s="426" t="n">
        <f aca="true">IF($F33=-1,0,IF(O$13&lt;=$M32,IF(ISERROR(MATCH(O$13,OFFSET($M32,1,0,ROW($M$68)-ROW($M32)-1),0)),ROW($M$68)-ROW($M32)-1,MATCH(O$13,OFFSET($M32,1,0,ROW($M$68)-ROW($M32)-1),0)-1),0))</f>
        <v>0</v>
      </c>
      <c r="P32" s="426" t="n">
        <f aca="true">IF($F33=-1,0,IF(P$13&lt;=$M32,IF(ISERROR(MATCH(P$13,OFFSET($M32,1,0,ROW($M$68)-ROW($M32)-1),0)),ROW($M$68)-ROW($M32)-1,MATCH(P$13,OFFSET($M32,1,0,ROW($M$68)-ROW($M32)-1),0)-1),0))</f>
        <v>0</v>
      </c>
      <c r="Q32" s="426" t="n">
        <f aca="true">IF($F33=-1,0,IF(Q$13&lt;=$M32,IF(ISERROR(MATCH(Q$13,OFFSET($M32,1,0,ROW($M$68)-ROW($M32)-1),0)),ROW($M$68)-ROW($M32)-1,MATCH(Q$13,OFFSET($M32,1,0,ROW($M$68)-ROW($M32)-1),0)-1),0))</f>
        <v>0</v>
      </c>
      <c r="R32" s="426" t="n">
        <f aca="true">MIN(OFFSET(M32,0,1,,M32))</f>
        <v>2</v>
      </c>
      <c r="S32" s="427" t="n">
        <f aca="true">IF($F33=0,OFFSET(ORÇAMENTO!X$15,$F32,0),IF($F33&lt;&gt;-1,OFFSET(QCI!$O$13,$F33,0),""))</f>
        <v>0</v>
      </c>
      <c r="T32" s="428" t="s">
        <v>870</v>
      </c>
      <c r="U32" s="421" t="e">
        <f aca="false" t="array" ref="U32:U32">IF(AND($R32=2,ACOMPANHAMENTO="BM"),ROUND(U33,4),U34/$S32)</f>
        <v>#DIV/0!</v>
      </c>
      <c r="V32" s="421" t="e">
        <f aca="false" t="array" ref="V32:V32">IF(AND($R32=2,ACOMPANHAMENTO="BM"),ROUND(V33,4),V34/$S32)</f>
        <v>#DIV/0!</v>
      </c>
      <c r="W32" s="421" t="e">
        <f aca="false" t="array" ref="W32:W32">IF(AND($R32=2,ACOMPANHAMENTO="BM"),ROUND(W33,4),W34/$S32)</f>
        <v>#DIV/0!</v>
      </c>
      <c r="X32" s="421" t="e">
        <f aca="false" t="array" ref="X32:X32">IF(AND($R32=2,ACOMPANHAMENTO="BM"),ROUND(X33,4),X34/$S32)</f>
        <v>#DIV/0!</v>
      </c>
      <c r="Y32" s="421" t="e">
        <f aca="false" t="array" ref="Y32:Y32">IF(AND($R32=2,ACOMPANHAMENTO="BM"),ROUND(Y33,4),Y34/$S32)</f>
        <v>#DIV/0!</v>
      </c>
      <c r="Z32" s="421" t="e">
        <f aca="false" t="array" ref="Z32:Z32">IF(AND($R32=2,ACOMPANHAMENTO="BM"),ROUND(Z33,4),Z34/$S32)</f>
        <v>#DIV/0!</v>
      </c>
      <c r="AA32" s="421" t="e">
        <f aca="false" t="array" ref="AA32:AA32">IF(AND($R32=2,ACOMPANHAMENTO="BM"),ROUND(AA33,4),AA34/$S32)</f>
        <v>#DIV/0!</v>
      </c>
      <c r="AB32" s="421" t="e">
        <f aca="false" t="array" ref="AB32:AB32">IF(AND($R32=2,ACOMPANHAMENTO="BM"),ROUND(AB33,4),AB34/$S32)</f>
        <v>#DIV/0!</v>
      </c>
      <c r="AC32" s="421" t="e">
        <f aca="false" t="array" ref="AC32:AC32">IF(AND($R32=2,ACOMPANHAMENTO="BM"),ROUND(AC33,4),AC34/$S32)</f>
        <v>#DIV/0!</v>
      </c>
      <c r="AD32" s="421" t="e">
        <f aca="false" t="array" ref="AD32:AD32">IF(AND($R32=2,ACOMPANHAMENTO="BM"),ROUND(AD33,4),AD34/$S32)</f>
        <v>#DIV/0!</v>
      </c>
      <c r="AE32" s="421" t="e">
        <f aca="false" t="array" ref="AE32:AE32">IF(AND($R32=2,ACOMPANHAMENTO="BM"),ROUND(AE33,4),AE34/$S32)</f>
        <v>#DIV/0!</v>
      </c>
      <c r="AF32" s="421" t="e">
        <f aca="false" t="array" ref="AF32:AF32">IF(AND($R32=2,ACOMPANHAMENTO="BM"),ROUND(AF33,4),AF34/$S32)</f>
        <v>#DIV/0!</v>
      </c>
      <c r="AG32" s="429"/>
    </row>
    <row r="33" customFormat="false" ht="12.75" hidden="true" customHeight="true" outlineLevel="0" collapsed="false">
      <c r="E33" s="430"/>
      <c r="F33" s="418" t="n">
        <f aca="true">IF(ISERROR(F32),IF(1+COUNTIF($M$13:OFFSET(M32,-1,0),1)&lt;=MAX(QCI!$D$13:$D$24),1+COUNTIF($M$13:OFFSET(M32,-1,0),1),-1),0)</f>
        <v>5</v>
      </c>
      <c r="G33" s="418" t="str">
        <f aca="true" t="array" ref="G33:G33">IF(ACOMPANHAMENTO="BM",OFFSET(G33,-1,0),"")</f>
        <v/>
      </c>
      <c r="H33" s="431" t="str">
        <f aca="false" t="array" ref="H33:H33">IF(OR(S32=0,S32=""),"vazia",IF(AND(OR(ACOMPANHAMENTO="PLE",$R32&lt;&gt;2),$F33=0),"calculada","--&gt;"))</f>
        <v>vazia</v>
      </c>
      <c r="I33" s="432"/>
      <c r="J33" s="433" t="str">
        <f aca="false">IF(AND(H32&lt;&gt;0,ISNUMBER(H32)),"PREENCHA ESTA LINHA --&gt;","")</f>
        <v/>
      </c>
      <c r="K33" s="433"/>
      <c r="L33" s="433"/>
      <c r="M33" s="434"/>
      <c r="N33" s="434"/>
      <c r="O33" s="434"/>
      <c r="P33" s="434"/>
      <c r="Q33" s="434"/>
      <c r="R33" s="434"/>
      <c r="S33" s="435"/>
      <c r="T33" s="436"/>
      <c r="U33" s="430"/>
      <c r="V33" s="430"/>
      <c r="W33" s="430"/>
      <c r="X33" s="430"/>
      <c r="Y33" s="430"/>
      <c r="Z33" s="430"/>
      <c r="AA33" s="430"/>
      <c r="AB33" s="430"/>
      <c r="AC33" s="430"/>
      <c r="AD33" s="430"/>
      <c r="AE33" s="430"/>
      <c r="AF33" s="430"/>
      <c r="AG33" s="429"/>
    </row>
    <row r="34" customFormat="false" ht="12.75" hidden="true" customHeight="true" outlineLevel="0" collapsed="false">
      <c r="D34" s="437"/>
      <c r="E34" s="438" t="n">
        <f aca="true" t="array" ref="E34:E34">IF($R32=2,
         IF(AND(ACOMPANHAMENTO="PLE",ISNUMBER($F32)),
                SUMIF((OFFSET(CÁLCULO!$AM$15:$AW$15,$F32,0,OFFSET(ORÇAMENTO!$D$15,CRONO!$F32,0))),CRONO!E$12,OFFSET(CÁLCULO!$AB$15:$AL$15,$F32,0,OFFSET(ORÇAMENTO!$D$15,CRONO!$F32,0)))
                +IF(AND($F34&lt;&gt;"",$F34&lt;&gt;0),
                        SUMIF(CÁLCULO!$AM$15:$AW$21,CRONO!E$12,CÁLCULO!$AB$15:$AL$21)/(ORÇAMENTO!$X$15-CÁLCULO.TotalAdmLocal)*CRONO!$F34,
                        0),
                 E33*$S32),
          SUMIF(OFFSET($S34,1,0,$R32-2),($M32+1)&amp;"$",OFFSET(E34,1,0,$R32-2)))</f>
        <v>0</v>
      </c>
      <c r="F34" s="418" t="str">
        <f aca="true">IF(OR($R32&lt;&gt;2,AUTOEVENTO&lt;&gt;"manual",$F33&gt;0),"",
        IF(Import.TipoArredondamento="Tradicional",
              SUMIF(OFFSET(CÁLCULO!$M$15,CRONO!$F32,0,OFFSET(ORÇAMENTO!$D$15,CRONO!$F32,0)),1,OFFSET(ORÇAMENTO!$X$15,CRONO!$F32,0,OFFSET(ORÇAMENTO!$D$15,CRONO!$F32,0))),
              0))</f>
        <v/>
      </c>
      <c r="H34" s="439"/>
      <c r="S34" s="440" t="str">
        <f aca="false">M32&amp;"$"</f>
        <v>1$</v>
      </c>
      <c r="T34" s="441"/>
      <c r="U34" s="438" t="n">
        <f aca="true" t="array" ref="U34:U34">IF($R32=2,
         IF(AND(ACOMPANHAMENTO="PLE",ISNUMBER($F32)),
                SUMIF((OFFSET(CÁLCULO!$AM$15:$AW$15,$F32,0,OFFSET(ORÇAMENTO!$D$15,CRONO!$F32,0))),CRONO!U$12,OFFSET(CÁLCULO!$AB$15:$AL$15,$F32,0,OFFSET(ORÇAMENTO!$D$15,CRONO!$F32,0)))
                +IF(AND($F34&lt;&gt;"",$F34&lt;&gt;0),
                        SUMIF(CÁLCULO!$AM$15:$AW$21,CRONO!U$12,CÁLCULO!$AB$15:$AL$21)/(ORÇAMENTO!$X$15-CÁLCULO.TotalAdmLocal)*CRONO!$F34,
                        0),
                 U33*$S32),
          SUMIF(OFFSET($S34,1,0,$R32-2),($M32+1)&amp;"$",OFFSET(U34,1,0,$R32-2)))</f>
        <v>0</v>
      </c>
      <c r="V34" s="438" t="n">
        <f aca="true" t="array" ref="V34:V34">IF($R32=2,
         IF(AND(ACOMPANHAMENTO="PLE",ISNUMBER($F32)),
                SUMIF((OFFSET(CÁLCULO!$AM$15:$AW$15,$F32,0,OFFSET(ORÇAMENTO!$D$15,CRONO!$F32,0))),CRONO!V$12,OFFSET(CÁLCULO!$AB$15:$AL$15,$F32,0,OFFSET(ORÇAMENTO!$D$15,CRONO!$F32,0)))
                +IF(AND($F34&lt;&gt;"",$F34&lt;&gt;0),
                        SUMIF(CÁLCULO!$AM$15:$AW$21,CRONO!V$12,CÁLCULO!$AB$15:$AL$21)/(ORÇAMENTO!$X$15-CÁLCULO.TotalAdmLocal)*CRONO!$F34,
                        0),
                 V33*$S32),
          SUMIF(OFFSET($S34,1,0,$R32-2),($M32+1)&amp;"$",OFFSET(V34,1,0,$R32-2)))</f>
        <v>0</v>
      </c>
      <c r="W34" s="438" t="n">
        <f aca="true" t="array" ref="W34:W34">IF($R32=2,
         IF(AND(ACOMPANHAMENTO="PLE",ISNUMBER($F32)),
                SUMIF((OFFSET(CÁLCULO!$AM$15:$AW$15,$F32,0,OFFSET(ORÇAMENTO!$D$15,CRONO!$F32,0))),CRONO!W$12,OFFSET(CÁLCULO!$AB$15:$AL$15,$F32,0,OFFSET(ORÇAMENTO!$D$15,CRONO!$F32,0)))
                +IF(AND($F34&lt;&gt;"",$F34&lt;&gt;0),
                        SUMIF(CÁLCULO!$AM$15:$AW$21,CRONO!W$12,CÁLCULO!$AB$15:$AL$21)/(ORÇAMENTO!$X$15-CÁLCULO.TotalAdmLocal)*CRONO!$F34,
                        0),
                 W33*$S32),
          SUMIF(OFFSET($S34,1,0,$R32-2),($M32+1)&amp;"$",OFFSET(W34,1,0,$R32-2)))</f>
        <v>0</v>
      </c>
      <c r="X34" s="438" t="n">
        <f aca="true" t="array" ref="X34:X34">IF($R32=2,
         IF(AND(ACOMPANHAMENTO="PLE",ISNUMBER($F32)),
                SUMIF((OFFSET(CÁLCULO!$AM$15:$AW$15,$F32,0,OFFSET(ORÇAMENTO!$D$15,CRONO!$F32,0))),CRONO!X$12,OFFSET(CÁLCULO!$AB$15:$AL$15,$F32,0,OFFSET(ORÇAMENTO!$D$15,CRONO!$F32,0)))
                +IF(AND($F34&lt;&gt;"",$F34&lt;&gt;0),
                        SUMIF(CÁLCULO!$AM$15:$AW$21,CRONO!X$12,CÁLCULO!$AB$15:$AL$21)/(ORÇAMENTO!$X$15-CÁLCULO.TotalAdmLocal)*CRONO!$F34,
                        0),
                 X33*$S32),
          SUMIF(OFFSET($S34,1,0,$R32-2),($M32+1)&amp;"$",OFFSET(X34,1,0,$R32-2)))</f>
        <v>0</v>
      </c>
      <c r="Y34" s="438" t="n">
        <f aca="true" t="array" ref="Y34:Y34">IF($R32=2,
         IF(AND(ACOMPANHAMENTO="PLE",ISNUMBER($F32)),
                SUMIF((OFFSET(CÁLCULO!$AM$15:$AW$15,$F32,0,OFFSET(ORÇAMENTO!$D$15,CRONO!$F32,0))),CRONO!Y$12,OFFSET(CÁLCULO!$AB$15:$AL$15,$F32,0,OFFSET(ORÇAMENTO!$D$15,CRONO!$F32,0)))
                +IF(AND($F34&lt;&gt;"",$F34&lt;&gt;0),
                        SUMIF(CÁLCULO!$AM$15:$AW$21,CRONO!Y$12,CÁLCULO!$AB$15:$AL$21)/(ORÇAMENTO!$X$15-CÁLCULO.TotalAdmLocal)*CRONO!$F34,
                        0),
                 Y33*$S32),
          SUMIF(OFFSET($S34,1,0,$R32-2),($M32+1)&amp;"$",OFFSET(Y34,1,0,$R32-2)))</f>
        <v>0</v>
      </c>
      <c r="Z34" s="438" t="n">
        <f aca="true" t="array" ref="Z34:Z34">IF($R32=2,
         IF(AND(ACOMPANHAMENTO="PLE",ISNUMBER($F32)),
                SUMIF((OFFSET(CÁLCULO!$AM$15:$AW$15,$F32,0,OFFSET(ORÇAMENTO!$D$15,CRONO!$F32,0))),CRONO!Z$12,OFFSET(CÁLCULO!$AB$15:$AL$15,$F32,0,OFFSET(ORÇAMENTO!$D$15,CRONO!$F32,0)))
                +IF(AND($F34&lt;&gt;"",$F34&lt;&gt;0),
                        SUMIF(CÁLCULO!$AM$15:$AW$21,CRONO!Z$12,CÁLCULO!$AB$15:$AL$21)/(ORÇAMENTO!$X$15-CÁLCULO.TotalAdmLocal)*CRONO!$F34,
                        0),
                 Z33*$S32),
          SUMIF(OFFSET($S34,1,0,$R32-2),($M32+1)&amp;"$",OFFSET(Z34,1,0,$R32-2)))</f>
        <v>0</v>
      </c>
      <c r="AA34" s="438" t="n">
        <f aca="true" t="array" ref="AA34:AA34">IF($R32=2,
         IF(AND(ACOMPANHAMENTO="PLE",ISNUMBER($F32)),
                SUMIF((OFFSET(CÁLCULO!$AM$15:$AW$15,$F32,0,OFFSET(ORÇAMENTO!$D$15,CRONO!$F32,0))),CRONO!AA$12,OFFSET(CÁLCULO!$AB$15:$AL$15,$F32,0,OFFSET(ORÇAMENTO!$D$15,CRONO!$F32,0)))
                +IF(AND($F34&lt;&gt;"",$F34&lt;&gt;0),
                        SUMIF(CÁLCULO!$AM$15:$AW$21,CRONO!AA$12,CÁLCULO!$AB$15:$AL$21)/(ORÇAMENTO!$X$15-CÁLCULO.TotalAdmLocal)*CRONO!$F34,
                        0),
                 AA33*$S32),
          SUMIF(OFFSET($S34,1,0,$R32-2),($M32+1)&amp;"$",OFFSET(AA34,1,0,$R32-2)))</f>
        <v>0</v>
      </c>
      <c r="AB34" s="438" t="n">
        <f aca="true" t="array" ref="AB34:AB34">IF($R32=2,
         IF(AND(ACOMPANHAMENTO="PLE",ISNUMBER($F32)),
                SUMIF((OFFSET(CÁLCULO!$AM$15:$AW$15,$F32,0,OFFSET(ORÇAMENTO!$D$15,CRONO!$F32,0))),CRONO!AB$12,OFFSET(CÁLCULO!$AB$15:$AL$15,$F32,0,OFFSET(ORÇAMENTO!$D$15,CRONO!$F32,0)))
                +IF(AND($F34&lt;&gt;"",$F34&lt;&gt;0),
                        SUMIF(CÁLCULO!$AM$15:$AW$21,CRONO!AB$12,CÁLCULO!$AB$15:$AL$21)/(ORÇAMENTO!$X$15-CÁLCULO.TotalAdmLocal)*CRONO!$F34,
                        0),
                 AB33*$S32),
          SUMIF(OFFSET($S34,1,0,$R32-2),($M32+1)&amp;"$",OFFSET(AB34,1,0,$R32-2)))</f>
        <v>0</v>
      </c>
      <c r="AC34" s="438" t="n">
        <f aca="true" t="array" ref="AC34:AC34">IF($R32=2,
         IF(AND(ACOMPANHAMENTO="PLE",ISNUMBER($F32)),
                SUMIF((OFFSET(CÁLCULO!$AM$15:$AW$15,$F32,0,OFFSET(ORÇAMENTO!$D$15,CRONO!$F32,0))),CRONO!AC$12,OFFSET(CÁLCULO!$AB$15:$AL$15,$F32,0,OFFSET(ORÇAMENTO!$D$15,CRONO!$F32,0)))
                +IF(AND($F34&lt;&gt;"",$F34&lt;&gt;0),
                        SUMIF(CÁLCULO!$AM$15:$AW$21,CRONO!AC$12,CÁLCULO!$AB$15:$AL$21)/(ORÇAMENTO!$X$15-CÁLCULO.TotalAdmLocal)*CRONO!$F34,
                        0),
                 AC33*$S32),
          SUMIF(OFFSET($S34,1,0,$R32-2),($M32+1)&amp;"$",OFFSET(AC34,1,0,$R32-2)))</f>
        <v>0</v>
      </c>
      <c r="AD34" s="438" t="n">
        <f aca="true" t="array" ref="AD34:AD34">IF($R32=2,
         IF(AND(ACOMPANHAMENTO="PLE",ISNUMBER($F32)),
                SUMIF((OFFSET(CÁLCULO!$AM$15:$AW$15,$F32,0,OFFSET(ORÇAMENTO!$D$15,CRONO!$F32,0))),CRONO!AD$12,OFFSET(CÁLCULO!$AB$15:$AL$15,$F32,0,OFFSET(ORÇAMENTO!$D$15,CRONO!$F32,0)))
                +IF(AND($F34&lt;&gt;"",$F34&lt;&gt;0),
                        SUMIF(CÁLCULO!$AM$15:$AW$21,CRONO!AD$12,CÁLCULO!$AB$15:$AL$21)/(ORÇAMENTO!$X$15-CÁLCULO.TotalAdmLocal)*CRONO!$F34,
                        0),
                 AD33*$S32),
          SUMIF(OFFSET($S34,1,0,$R32-2),($M32+1)&amp;"$",OFFSET(AD34,1,0,$R32-2)))</f>
        <v>0</v>
      </c>
      <c r="AE34" s="438" t="n">
        <f aca="true" t="array" ref="AE34:AE34">IF($R32=2,
         IF(AND(ACOMPANHAMENTO="PLE",ISNUMBER($F32)),
                SUMIF((OFFSET(CÁLCULO!$AM$15:$AW$15,$F32,0,OFFSET(ORÇAMENTO!$D$15,CRONO!$F32,0))),CRONO!AE$12,OFFSET(CÁLCULO!$AB$15:$AL$15,$F32,0,OFFSET(ORÇAMENTO!$D$15,CRONO!$F32,0)))
                +IF(AND($F34&lt;&gt;"",$F34&lt;&gt;0),
                        SUMIF(CÁLCULO!$AM$15:$AW$21,CRONO!AE$12,CÁLCULO!$AB$15:$AL$21)/(ORÇAMENTO!$X$15-CÁLCULO.TotalAdmLocal)*CRONO!$F34,
                        0),
                 AE33*$S32),
          SUMIF(OFFSET($S34,1,0,$R32-2),($M32+1)&amp;"$",OFFSET(AE34,1,0,$R32-2)))</f>
        <v>0</v>
      </c>
      <c r="AF34" s="438" t="n">
        <f aca="true" t="array" ref="AF34:AF34">IF($R32=2,
         IF(AND(ACOMPANHAMENTO="PLE",ISNUMBER($F32)),
                SUMIF((OFFSET(CÁLCULO!$AM$15:$AW$15,$F32,0,OFFSET(ORÇAMENTO!$D$15,CRONO!$F32,0))),CRONO!AF$12,OFFSET(CÁLCULO!$AB$15:$AL$15,$F32,0,OFFSET(ORÇAMENTO!$D$15,CRONO!$F32,0)))
                +IF(AND($F34&lt;&gt;"",$F34&lt;&gt;0),
                        SUMIF(CÁLCULO!$AM$15:$AW$21,CRONO!AF$12,CÁLCULO!$AB$15:$AL$21)/(ORÇAMENTO!$X$15-CÁLCULO.TotalAdmLocal)*CRONO!$F34,
                        0),
                 AF33*$S32),
          SUMIF(OFFSET($S34,1,0,$R32-2),($M32+1)&amp;"$",OFFSET(AF34,1,0,$R32-2)))</f>
        <v>0</v>
      </c>
      <c r="AG34" s="429"/>
    </row>
    <row r="35" customFormat="false" ht="12.75" hidden="false" customHeight="false" outlineLevel="0" collapsed="false">
      <c r="A35" s="380" t="str">
        <f aca="false">IF($M35&gt;1,_xlfn.CONCAT($I35," ",$J35),"")</f>
        <v/>
      </c>
      <c r="B35" s="418" t="n">
        <f aca="true">OFFSET(B35,-3,0)+1</f>
        <v>8</v>
      </c>
      <c r="C35" s="418" t="n">
        <f aca="true">IF($R35&lt;&gt;2,0,IF($S35=0,1,IF(F36&gt;0,OFFSET(QCI!$M$13,SUBSTITUTE(F36,".",""),0),OFFSET(ORÇAMENTO!$AA$15,CRONO!$F35,0))/$S35))</f>
        <v>1</v>
      </c>
      <c r="D35" s="418" t="n">
        <f aca="true">IF($R35&lt;&gt;2,0,IF($S35=0,1,IF(F36&gt;0,OFFSET(QCI!$N$13,SUBSTITUTE(F36,".",""),0),OFFSET(ORÇAMENTO!$AB$15,CRONO!$F35,0))/$S35))</f>
        <v>1</v>
      </c>
      <c r="E35" s="421" t="e">
        <f aca="false" t="array" ref="E35:E35">IF(AND($R35=2,ACOMPANHAMENTO="BM"),ROUND(E36,4),E37/$S35)</f>
        <v>#DIV/0!</v>
      </c>
      <c r="F35" s="418" t="e">
        <f aca="true" t="array" ref="F35:F35">IF(B35&lt;=ORÇAMENTO.MáximoListaCrono,MATCH(B35,ORÇAMENTO.ListaCrono,0),NA())</f>
        <v>#N/A</v>
      </c>
      <c r="G35" s="418" t="str">
        <f aca="false">IF(AND($F36&lt;&gt;-1,$S35&gt;0),"F","")</f>
        <v/>
      </c>
      <c r="H35" s="422" t="str">
        <f aca="false" t="array" ref="H35:H35">IF(OR(S35=0,S35=""),"Linha",IF(AND(OR(ACOMPANHAMENTO="PLE",$R35&lt;&gt;2),$F36=0),"Linha",ROUND(1-SUM(U35:AG35),4)))</f>
        <v>Linha</v>
      </c>
      <c r="I35" s="423" t="n">
        <f aca="true">IF($F36=0,OFFSET(ORÇAMENTO!O$15,$F35,0),IF($F36&lt;&gt;-1,OFFSET(QCI!$D$13,$F36,0),""))</f>
        <v>6</v>
      </c>
      <c r="J35" s="424" t="str">
        <f aca="true">IF($F36=0,OFFSET(ORÇAMENTO!R$15,$F35,0),IF($F36&lt;&gt;-1,OFFSET(QCI!$G$13,$F36,0),""))</f>
        <v/>
      </c>
      <c r="K35" s="424"/>
      <c r="L35" s="424"/>
      <c r="M35" s="425" t="n">
        <f aca="true">IF($F36=0,OFFSET(ORÇAMENTO!C$15,$F35,0),1)</f>
        <v>1</v>
      </c>
      <c r="N35" s="426" t="n">
        <f aca="true">IF($F36=-1,0,IF(N$13&lt;=$M35,IF(ISERROR(MATCH(N$13,OFFSET($M35,1,0,ROW($M$68)-ROW($M35)-1),0)),ROW($M$68)-ROW($M35)-1,MATCH(N$13,OFFSET($M35,1,0,ROW($M$68)-ROW($M35)-1),0)-1),0))</f>
        <v>2</v>
      </c>
      <c r="O35" s="426" t="n">
        <f aca="true">IF($F36=-1,0,IF(O$13&lt;=$M35,IF(ISERROR(MATCH(O$13,OFFSET($M35,1,0,ROW($M$68)-ROW($M35)-1),0)),ROW($M$68)-ROW($M35)-1,MATCH(O$13,OFFSET($M35,1,0,ROW($M$68)-ROW($M35)-1),0)-1),0))</f>
        <v>0</v>
      </c>
      <c r="P35" s="426" t="n">
        <f aca="true">IF($F36=-1,0,IF(P$13&lt;=$M35,IF(ISERROR(MATCH(P$13,OFFSET($M35,1,0,ROW($M$68)-ROW($M35)-1),0)),ROW($M$68)-ROW($M35)-1,MATCH(P$13,OFFSET($M35,1,0,ROW($M$68)-ROW($M35)-1),0)-1),0))</f>
        <v>0</v>
      </c>
      <c r="Q35" s="426" t="n">
        <f aca="true">IF($F36=-1,0,IF(Q$13&lt;=$M35,IF(ISERROR(MATCH(Q$13,OFFSET($M35,1,0,ROW($M$68)-ROW($M35)-1),0)),ROW($M$68)-ROW($M35)-1,MATCH(Q$13,OFFSET($M35,1,0,ROW($M$68)-ROW($M35)-1),0)-1),0))</f>
        <v>0</v>
      </c>
      <c r="R35" s="426" t="n">
        <f aca="true">MIN(OFFSET(M35,0,1,,M35))</f>
        <v>2</v>
      </c>
      <c r="S35" s="427" t="n">
        <f aca="true">IF($F36=0,OFFSET(ORÇAMENTO!X$15,$F35,0),IF($F36&lt;&gt;-1,OFFSET(QCI!$O$13,$F36,0),""))</f>
        <v>0</v>
      </c>
      <c r="T35" s="428" t="s">
        <v>870</v>
      </c>
      <c r="U35" s="421" t="e">
        <f aca="false" t="array" ref="U35:U35">IF(AND($R35=2,ACOMPANHAMENTO="BM"),ROUND(U36,4),U37/$S35)</f>
        <v>#DIV/0!</v>
      </c>
      <c r="V35" s="421" t="e">
        <f aca="false" t="array" ref="V35:V35">IF(AND($R35=2,ACOMPANHAMENTO="BM"),ROUND(V36,4),V37/$S35)</f>
        <v>#DIV/0!</v>
      </c>
      <c r="W35" s="421" t="e">
        <f aca="false" t="array" ref="W35:W35">IF(AND($R35=2,ACOMPANHAMENTO="BM"),ROUND(W36,4),W37/$S35)</f>
        <v>#DIV/0!</v>
      </c>
      <c r="X35" s="421" t="e">
        <f aca="false" t="array" ref="X35:X35">IF(AND($R35=2,ACOMPANHAMENTO="BM"),ROUND(X36,4),X37/$S35)</f>
        <v>#DIV/0!</v>
      </c>
      <c r="Y35" s="421" t="e">
        <f aca="false" t="array" ref="Y35:Y35">IF(AND($R35=2,ACOMPANHAMENTO="BM"),ROUND(Y36,4),Y37/$S35)</f>
        <v>#DIV/0!</v>
      </c>
      <c r="Z35" s="421" t="e">
        <f aca="false" t="array" ref="Z35:Z35">IF(AND($R35=2,ACOMPANHAMENTO="BM"),ROUND(Z36,4),Z37/$S35)</f>
        <v>#DIV/0!</v>
      </c>
      <c r="AA35" s="421" t="e">
        <f aca="false" t="array" ref="AA35:AA35">IF(AND($R35=2,ACOMPANHAMENTO="BM"),ROUND(AA36,4),AA37/$S35)</f>
        <v>#DIV/0!</v>
      </c>
      <c r="AB35" s="421" t="e">
        <f aca="false" t="array" ref="AB35:AB35">IF(AND($R35=2,ACOMPANHAMENTO="BM"),ROUND(AB36,4),AB37/$S35)</f>
        <v>#DIV/0!</v>
      </c>
      <c r="AC35" s="421" t="e">
        <f aca="false" t="array" ref="AC35:AC35">IF(AND($R35=2,ACOMPANHAMENTO="BM"),ROUND(AC36,4),AC37/$S35)</f>
        <v>#DIV/0!</v>
      </c>
      <c r="AD35" s="421" t="e">
        <f aca="false" t="array" ref="AD35:AD35">IF(AND($R35=2,ACOMPANHAMENTO="BM"),ROUND(AD36,4),AD37/$S35)</f>
        <v>#DIV/0!</v>
      </c>
      <c r="AE35" s="421" t="e">
        <f aca="false" t="array" ref="AE35:AE35">IF(AND($R35=2,ACOMPANHAMENTO="BM"),ROUND(AE36,4),AE37/$S35)</f>
        <v>#DIV/0!</v>
      </c>
      <c r="AF35" s="421" t="e">
        <f aca="false" t="array" ref="AF35:AF35">IF(AND($R35=2,ACOMPANHAMENTO="BM"),ROUND(AF36,4),AF37/$S35)</f>
        <v>#DIV/0!</v>
      </c>
      <c r="AG35" s="429"/>
    </row>
    <row r="36" customFormat="false" ht="12.75" hidden="true" customHeight="true" outlineLevel="0" collapsed="false">
      <c r="E36" s="430"/>
      <c r="F36" s="418" t="n">
        <f aca="true">IF(ISERROR(F35),IF(1+COUNTIF($M$13:OFFSET(M35,-1,0),1)&lt;=MAX(QCI!$D$13:$D$24),1+COUNTIF($M$13:OFFSET(M35,-1,0),1),-1),0)</f>
        <v>6</v>
      </c>
      <c r="G36" s="418" t="str">
        <f aca="true" t="array" ref="G36:G36">IF(ACOMPANHAMENTO="BM",OFFSET(G36,-1,0),"")</f>
        <v/>
      </c>
      <c r="H36" s="431" t="str">
        <f aca="false" t="array" ref="H36:H36">IF(OR(S35=0,S35=""),"vazia",IF(AND(OR(ACOMPANHAMENTO="PLE",$R35&lt;&gt;2),$F36=0),"calculada","--&gt;"))</f>
        <v>vazia</v>
      </c>
      <c r="I36" s="432"/>
      <c r="J36" s="433" t="str">
        <f aca="false">IF(AND(H35&lt;&gt;0,ISNUMBER(H35)),"PREENCHA ESTA LINHA --&gt;","")</f>
        <v/>
      </c>
      <c r="K36" s="433"/>
      <c r="L36" s="433"/>
      <c r="M36" s="434"/>
      <c r="N36" s="434"/>
      <c r="O36" s="434"/>
      <c r="P36" s="434"/>
      <c r="Q36" s="434"/>
      <c r="R36" s="434"/>
      <c r="S36" s="435"/>
      <c r="T36" s="436"/>
      <c r="U36" s="430"/>
      <c r="V36" s="430"/>
      <c r="W36" s="430"/>
      <c r="X36" s="430"/>
      <c r="Y36" s="430"/>
      <c r="Z36" s="430"/>
      <c r="AA36" s="430"/>
      <c r="AB36" s="430"/>
      <c r="AC36" s="430"/>
      <c r="AD36" s="430"/>
      <c r="AE36" s="430"/>
      <c r="AF36" s="430"/>
      <c r="AG36" s="429"/>
    </row>
    <row r="37" customFormat="false" ht="12.75" hidden="true" customHeight="true" outlineLevel="0" collapsed="false">
      <c r="D37" s="437"/>
      <c r="E37" s="438" t="n">
        <f aca="true" t="array" ref="E37:E37">IF($R35=2,
         IF(AND(ACOMPANHAMENTO="PLE",ISNUMBER($F35)),
                SUMIF((OFFSET(CÁLCULO!$AM$15:$AW$15,$F35,0,OFFSET(ORÇAMENTO!$D$15,CRONO!$F35,0))),CRONO!E$12,OFFSET(CÁLCULO!$AB$15:$AL$15,$F35,0,OFFSET(ORÇAMENTO!$D$15,CRONO!$F35,0)))
                +IF(AND($F37&lt;&gt;"",$F37&lt;&gt;0),
                        SUMIF(CÁLCULO!$AM$15:$AW$21,CRONO!E$12,CÁLCULO!$AB$15:$AL$21)/(ORÇAMENTO!$X$15-CÁLCULO.TotalAdmLocal)*CRONO!$F37,
                        0),
                 E36*$S35),
          SUMIF(OFFSET($S37,1,0,$R35-2),($M35+1)&amp;"$",OFFSET(E37,1,0,$R35-2)))</f>
        <v>0</v>
      </c>
      <c r="F37" s="418" t="str">
        <f aca="true">IF(OR($R35&lt;&gt;2,AUTOEVENTO&lt;&gt;"manual",$F36&gt;0),"",
        IF(Import.TipoArredondamento="Tradicional",
              SUMIF(OFFSET(CÁLCULO!$M$15,CRONO!$F35,0,OFFSET(ORÇAMENTO!$D$15,CRONO!$F35,0)),1,OFFSET(ORÇAMENTO!$X$15,CRONO!$F35,0,OFFSET(ORÇAMENTO!$D$15,CRONO!$F35,0))),
              0))</f>
        <v/>
      </c>
      <c r="H37" s="439"/>
      <c r="S37" s="440" t="str">
        <f aca="false">M35&amp;"$"</f>
        <v>1$</v>
      </c>
      <c r="T37" s="441"/>
      <c r="U37" s="438" t="n">
        <f aca="true" t="array" ref="U37:U37">IF($R35=2,
         IF(AND(ACOMPANHAMENTO="PLE",ISNUMBER($F35)),
                SUMIF((OFFSET(CÁLCULO!$AM$15:$AW$15,$F35,0,OFFSET(ORÇAMENTO!$D$15,CRONO!$F35,0))),CRONO!U$12,OFFSET(CÁLCULO!$AB$15:$AL$15,$F35,0,OFFSET(ORÇAMENTO!$D$15,CRONO!$F35,0)))
                +IF(AND($F37&lt;&gt;"",$F37&lt;&gt;0),
                        SUMIF(CÁLCULO!$AM$15:$AW$21,CRONO!U$12,CÁLCULO!$AB$15:$AL$21)/(ORÇAMENTO!$X$15-CÁLCULO.TotalAdmLocal)*CRONO!$F37,
                        0),
                 U36*$S35),
          SUMIF(OFFSET($S37,1,0,$R35-2),($M35+1)&amp;"$",OFFSET(U37,1,0,$R35-2)))</f>
        <v>0</v>
      </c>
      <c r="V37" s="438" t="n">
        <f aca="true" t="array" ref="V37:V37">IF($R35=2,
         IF(AND(ACOMPANHAMENTO="PLE",ISNUMBER($F35)),
                SUMIF((OFFSET(CÁLCULO!$AM$15:$AW$15,$F35,0,OFFSET(ORÇAMENTO!$D$15,CRONO!$F35,0))),CRONO!V$12,OFFSET(CÁLCULO!$AB$15:$AL$15,$F35,0,OFFSET(ORÇAMENTO!$D$15,CRONO!$F35,0)))
                +IF(AND($F37&lt;&gt;"",$F37&lt;&gt;0),
                        SUMIF(CÁLCULO!$AM$15:$AW$21,CRONO!V$12,CÁLCULO!$AB$15:$AL$21)/(ORÇAMENTO!$X$15-CÁLCULO.TotalAdmLocal)*CRONO!$F37,
                        0),
                 V36*$S35),
          SUMIF(OFFSET($S37,1,0,$R35-2),($M35+1)&amp;"$",OFFSET(V37,1,0,$R35-2)))</f>
        <v>0</v>
      </c>
      <c r="W37" s="438" t="n">
        <f aca="true" t="array" ref="W37:W37">IF($R35=2,
         IF(AND(ACOMPANHAMENTO="PLE",ISNUMBER($F35)),
                SUMIF((OFFSET(CÁLCULO!$AM$15:$AW$15,$F35,0,OFFSET(ORÇAMENTO!$D$15,CRONO!$F35,0))),CRONO!W$12,OFFSET(CÁLCULO!$AB$15:$AL$15,$F35,0,OFFSET(ORÇAMENTO!$D$15,CRONO!$F35,0)))
                +IF(AND($F37&lt;&gt;"",$F37&lt;&gt;0),
                        SUMIF(CÁLCULO!$AM$15:$AW$21,CRONO!W$12,CÁLCULO!$AB$15:$AL$21)/(ORÇAMENTO!$X$15-CÁLCULO.TotalAdmLocal)*CRONO!$F37,
                        0),
                 W36*$S35),
          SUMIF(OFFSET($S37,1,0,$R35-2),($M35+1)&amp;"$",OFFSET(W37,1,0,$R35-2)))</f>
        <v>0</v>
      </c>
      <c r="X37" s="438" t="n">
        <f aca="true" t="array" ref="X37:X37">IF($R35=2,
         IF(AND(ACOMPANHAMENTO="PLE",ISNUMBER($F35)),
                SUMIF((OFFSET(CÁLCULO!$AM$15:$AW$15,$F35,0,OFFSET(ORÇAMENTO!$D$15,CRONO!$F35,0))),CRONO!X$12,OFFSET(CÁLCULO!$AB$15:$AL$15,$F35,0,OFFSET(ORÇAMENTO!$D$15,CRONO!$F35,0)))
                +IF(AND($F37&lt;&gt;"",$F37&lt;&gt;0),
                        SUMIF(CÁLCULO!$AM$15:$AW$21,CRONO!X$12,CÁLCULO!$AB$15:$AL$21)/(ORÇAMENTO!$X$15-CÁLCULO.TotalAdmLocal)*CRONO!$F37,
                        0),
                 X36*$S35),
          SUMIF(OFFSET($S37,1,0,$R35-2),($M35+1)&amp;"$",OFFSET(X37,1,0,$R35-2)))</f>
        <v>0</v>
      </c>
      <c r="Y37" s="438" t="n">
        <f aca="true" t="array" ref="Y37:Y37">IF($R35=2,
         IF(AND(ACOMPANHAMENTO="PLE",ISNUMBER($F35)),
                SUMIF((OFFSET(CÁLCULO!$AM$15:$AW$15,$F35,0,OFFSET(ORÇAMENTO!$D$15,CRONO!$F35,0))),CRONO!Y$12,OFFSET(CÁLCULO!$AB$15:$AL$15,$F35,0,OFFSET(ORÇAMENTO!$D$15,CRONO!$F35,0)))
                +IF(AND($F37&lt;&gt;"",$F37&lt;&gt;0),
                        SUMIF(CÁLCULO!$AM$15:$AW$21,CRONO!Y$12,CÁLCULO!$AB$15:$AL$21)/(ORÇAMENTO!$X$15-CÁLCULO.TotalAdmLocal)*CRONO!$F37,
                        0),
                 Y36*$S35),
          SUMIF(OFFSET($S37,1,0,$R35-2),($M35+1)&amp;"$",OFFSET(Y37,1,0,$R35-2)))</f>
        <v>0</v>
      </c>
      <c r="Z37" s="438" t="n">
        <f aca="true" t="array" ref="Z37:Z37">IF($R35=2,
         IF(AND(ACOMPANHAMENTO="PLE",ISNUMBER($F35)),
                SUMIF((OFFSET(CÁLCULO!$AM$15:$AW$15,$F35,0,OFFSET(ORÇAMENTO!$D$15,CRONO!$F35,0))),CRONO!Z$12,OFFSET(CÁLCULO!$AB$15:$AL$15,$F35,0,OFFSET(ORÇAMENTO!$D$15,CRONO!$F35,0)))
                +IF(AND($F37&lt;&gt;"",$F37&lt;&gt;0),
                        SUMIF(CÁLCULO!$AM$15:$AW$21,CRONO!Z$12,CÁLCULO!$AB$15:$AL$21)/(ORÇAMENTO!$X$15-CÁLCULO.TotalAdmLocal)*CRONO!$F37,
                        0),
                 Z36*$S35),
          SUMIF(OFFSET($S37,1,0,$R35-2),($M35+1)&amp;"$",OFFSET(Z37,1,0,$R35-2)))</f>
        <v>0</v>
      </c>
      <c r="AA37" s="438" t="n">
        <f aca="true" t="array" ref="AA37:AA37">IF($R35=2,
         IF(AND(ACOMPANHAMENTO="PLE",ISNUMBER($F35)),
                SUMIF((OFFSET(CÁLCULO!$AM$15:$AW$15,$F35,0,OFFSET(ORÇAMENTO!$D$15,CRONO!$F35,0))),CRONO!AA$12,OFFSET(CÁLCULO!$AB$15:$AL$15,$F35,0,OFFSET(ORÇAMENTO!$D$15,CRONO!$F35,0)))
                +IF(AND($F37&lt;&gt;"",$F37&lt;&gt;0),
                        SUMIF(CÁLCULO!$AM$15:$AW$21,CRONO!AA$12,CÁLCULO!$AB$15:$AL$21)/(ORÇAMENTO!$X$15-CÁLCULO.TotalAdmLocal)*CRONO!$F37,
                        0),
                 AA36*$S35),
          SUMIF(OFFSET($S37,1,0,$R35-2),($M35+1)&amp;"$",OFFSET(AA37,1,0,$R35-2)))</f>
        <v>0</v>
      </c>
      <c r="AB37" s="438" t="n">
        <f aca="true" t="array" ref="AB37:AB37">IF($R35=2,
         IF(AND(ACOMPANHAMENTO="PLE",ISNUMBER($F35)),
                SUMIF((OFFSET(CÁLCULO!$AM$15:$AW$15,$F35,0,OFFSET(ORÇAMENTO!$D$15,CRONO!$F35,0))),CRONO!AB$12,OFFSET(CÁLCULO!$AB$15:$AL$15,$F35,0,OFFSET(ORÇAMENTO!$D$15,CRONO!$F35,0)))
                +IF(AND($F37&lt;&gt;"",$F37&lt;&gt;0),
                        SUMIF(CÁLCULO!$AM$15:$AW$21,CRONO!AB$12,CÁLCULO!$AB$15:$AL$21)/(ORÇAMENTO!$X$15-CÁLCULO.TotalAdmLocal)*CRONO!$F37,
                        0),
                 AB36*$S35),
          SUMIF(OFFSET($S37,1,0,$R35-2),($M35+1)&amp;"$",OFFSET(AB37,1,0,$R35-2)))</f>
        <v>0</v>
      </c>
      <c r="AC37" s="438" t="n">
        <f aca="true" t="array" ref="AC37:AC37">IF($R35=2,
         IF(AND(ACOMPANHAMENTO="PLE",ISNUMBER($F35)),
                SUMIF((OFFSET(CÁLCULO!$AM$15:$AW$15,$F35,0,OFFSET(ORÇAMENTO!$D$15,CRONO!$F35,0))),CRONO!AC$12,OFFSET(CÁLCULO!$AB$15:$AL$15,$F35,0,OFFSET(ORÇAMENTO!$D$15,CRONO!$F35,0)))
                +IF(AND($F37&lt;&gt;"",$F37&lt;&gt;0),
                        SUMIF(CÁLCULO!$AM$15:$AW$21,CRONO!AC$12,CÁLCULO!$AB$15:$AL$21)/(ORÇAMENTO!$X$15-CÁLCULO.TotalAdmLocal)*CRONO!$F37,
                        0),
                 AC36*$S35),
          SUMIF(OFFSET($S37,1,0,$R35-2),($M35+1)&amp;"$",OFFSET(AC37,1,0,$R35-2)))</f>
        <v>0</v>
      </c>
      <c r="AD37" s="438" t="n">
        <f aca="true" t="array" ref="AD37:AD37">IF($R35=2,
         IF(AND(ACOMPANHAMENTO="PLE",ISNUMBER($F35)),
                SUMIF((OFFSET(CÁLCULO!$AM$15:$AW$15,$F35,0,OFFSET(ORÇAMENTO!$D$15,CRONO!$F35,0))),CRONO!AD$12,OFFSET(CÁLCULO!$AB$15:$AL$15,$F35,0,OFFSET(ORÇAMENTO!$D$15,CRONO!$F35,0)))
                +IF(AND($F37&lt;&gt;"",$F37&lt;&gt;0),
                        SUMIF(CÁLCULO!$AM$15:$AW$21,CRONO!AD$12,CÁLCULO!$AB$15:$AL$21)/(ORÇAMENTO!$X$15-CÁLCULO.TotalAdmLocal)*CRONO!$F37,
                        0),
                 AD36*$S35),
          SUMIF(OFFSET($S37,1,0,$R35-2),($M35+1)&amp;"$",OFFSET(AD37,1,0,$R35-2)))</f>
        <v>0</v>
      </c>
      <c r="AE37" s="438" t="n">
        <f aca="true" t="array" ref="AE37:AE37">IF($R35=2,
         IF(AND(ACOMPANHAMENTO="PLE",ISNUMBER($F35)),
                SUMIF((OFFSET(CÁLCULO!$AM$15:$AW$15,$F35,0,OFFSET(ORÇAMENTO!$D$15,CRONO!$F35,0))),CRONO!AE$12,OFFSET(CÁLCULO!$AB$15:$AL$15,$F35,0,OFFSET(ORÇAMENTO!$D$15,CRONO!$F35,0)))
                +IF(AND($F37&lt;&gt;"",$F37&lt;&gt;0),
                        SUMIF(CÁLCULO!$AM$15:$AW$21,CRONO!AE$12,CÁLCULO!$AB$15:$AL$21)/(ORÇAMENTO!$X$15-CÁLCULO.TotalAdmLocal)*CRONO!$F37,
                        0),
                 AE36*$S35),
          SUMIF(OFFSET($S37,1,0,$R35-2),($M35+1)&amp;"$",OFFSET(AE37,1,0,$R35-2)))</f>
        <v>0</v>
      </c>
      <c r="AF37" s="438" t="n">
        <f aca="true" t="array" ref="AF37:AF37">IF($R35=2,
         IF(AND(ACOMPANHAMENTO="PLE",ISNUMBER($F35)),
                SUMIF((OFFSET(CÁLCULO!$AM$15:$AW$15,$F35,0,OFFSET(ORÇAMENTO!$D$15,CRONO!$F35,0))),CRONO!AF$12,OFFSET(CÁLCULO!$AB$15:$AL$15,$F35,0,OFFSET(ORÇAMENTO!$D$15,CRONO!$F35,0)))
                +IF(AND($F37&lt;&gt;"",$F37&lt;&gt;0),
                        SUMIF(CÁLCULO!$AM$15:$AW$21,CRONO!AF$12,CÁLCULO!$AB$15:$AL$21)/(ORÇAMENTO!$X$15-CÁLCULO.TotalAdmLocal)*CRONO!$F37,
                        0),
                 AF36*$S35),
          SUMIF(OFFSET($S37,1,0,$R35-2),($M35+1)&amp;"$",OFFSET(AF37,1,0,$R35-2)))</f>
        <v>0</v>
      </c>
      <c r="AG37" s="429"/>
    </row>
    <row r="38" customFormat="false" ht="12.75" hidden="false" customHeight="false" outlineLevel="0" collapsed="false">
      <c r="A38" s="380" t="str">
        <f aca="false">IF($M38&gt;1,_xlfn.CONCAT($I38," ",$J38),"")</f>
        <v/>
      </c>
      <c r="B38" s="418" t="n">
        <f aca="true">OFFSET(B38,-3,0)+1</f>
        <v>9</v>
      </c>
      <c r="C38" s="418" t="n">
        <f aca="true">IF($R38&lt;&gt;2,0,IF($S38=0,1,IF(F39&gt;0,OFFSET(QCI!$M$13,SUBSTITUTE(F39,".",""),0),OFFSET(ORÇAMENTO!$AA$15,CRONO!$F38,0))/$S38))</f>
        <v>1</v>
      </c>
      <c r="D38" s="418" t="n">
        <f aca="true">IF($R38&lt;&gt;2,0,IF($S38=0,1,IF(F39&gt;0,OFFSET(QCI!$N$13,SUBSTITUTE(F39,".",""),0),OFFSET(ORÇAMENTO!$AB$15,CRONO!$F38,0))/$S38))</f>
        <v>1</v>
      </c>
      <c r="E38" s="421" t="e">
        <f aca="false" t="array" ref="E38:E38">IF(AND($R38=2,ACOMPANHAMENTO="BM"),ROUND(E39,4),E40/$S38)</f>
        <v>#DIV/0!</v>
      </c>
      <c r="F38" s="418" t="e">
        <f aca="true" t="array" ref="F38:F38">IF(B38&lt;=ORÇAMENTO.MáximoListaCrono,MATCH(B38,ORÇAMENTO.ListaCrono,0),NA())</f>
        <v>#N/A</v>
      </c>
      <c r="G38" s="418" t="str">
        <f aca="false">IF(AND($F39&lt;&gt;-1,$S38&gt;0),"F","")</f>
        <v/>
      </c>
      <c r="H38" s="422" t="str">
        <f aca="false" t="array" ref="H38:H38">IF(OR(S38=0,S38=""),"Linha",IF(AND(OR(ACOMPANHAMENTO="PLE",$R38&lt;&gt;2),$F39=0),"Linha",ROUND(1-SUM(U38:AG38),4)))</f>
        <v>Linha</v>
      </c>
      <c r="I38" s="423" t="n">
        <f aca="true">IF($F39=0,OFFSET(ORÇAMENTO!O$15,$F38,0),IF($F39&lt;&gt;-1,OFFSET(QCI!$D$13,$F39,0),""))</f>
        <v>7</v>
      </c>
      <c r="J38" s="424" t="str">
        <f aca="true">IF($F39=0,OFFSET(ORÇAMENTO!R$15,$F38,0),IF($F39&lt;&gt;-1,OFFSET(QCI!$G$13,$F39,0),""))</f>
        <v/>
      </c>
      <c r="K38" s="424"/>
      <c r="L38" s="424"/>
      <c r="M38" s="425" t="n">
        <f aca="true">IF($F39=0,OFFSET(ORÇAMENTO!C$15,$F38,0),1)</f>
        <v>1</v>
      </c>
      <c r="N38" s="426" t="n">
        <f aca="true">IF($F39=-1,0,IF(N$13&lt;=$M38,IF(ISERROR(MATCH(N$13,OFFSET($M38,1,0,ROW($M$68)-ROW($M38)-1),0)),ROW($M$68)-ROW($M38)-1,MATCH(N$13,OFFSET($M38,1,0,ROW($M$68)-ROW($M38)-1),0)-1),0))</f>
        <v>2</v>
      </c>
      <c r="O38" s="426" t="n">
        <f aca="true">IF($F39=-1,0,IF(O$13&lt;=$M38,IF(ISERROR(MATCH(O$13,OFFSET($M38,1,0,ROW($M$68)-ROW($M38)-1),0)),ROW($M$68)-ROW($M38)-1,MATCH(O$13,OFFSET($M38,1,0,ROW($M$68)-ROW($M38)-1),0)-1),0))</f>
        <v>0</v>
      </c>
      <c r="P38" s="426" t="n">
        <f aca="true">IF($F39=-1,0,IF(P$13&lt;=$M38,IF(ISERROR(MATCH(P$13,OFFSET($M38,1,0,ROW($M$68)-ROW($M38)-1),0)),ROW($M$68)-ROW($M38)-1,MATCH(P$13,OFFSET($M38,1,0,ROW($M$68)-ROW($M38)-1),0)-1),0))</f>
        <v>0</v>
      </c>
      <c r="Q38" s="426" t="n">
        <f aca="true">IF($F39=-1,0,IF(Q$13&lt;=$M38,IF(ISERROR(MATCH(Q$13,OFFSET($M38,1,0,ROW($M$68)-ROW($M38)-1),0)),ROW($M$68)-ROW($M38)-1,MATCH(Q$13,OFFSET($M38,1,0,ROW($M$68)-ROW($M38)-1),0)-1),0))</f>
        <v>0</v>
      </c>
      <c r="R38" s="426" t="n">
        <f aca="true">MIN(OFFSET(M38,0,1,,M38))</f>
        <v>2</v>
      </c>
      <c r="S38" s="427" t="n">
        <f aca="true">IF($F39=0,OFFSET(ORÇAMENTO!X$15,$F38,0),IF($F39&lt;&gt;-1,OFFSET(QCI!$O$13,$F39,0),""))</f>
        <v>0</v>
      </c>
      <c r="T38" s="428" t="s">
        <v>870</v>
      </c>
      <c r="U38" s="421" t="e">
        <f aca="false" t="array" ref="U38:U38">IF(AND($R38=2,ACOMPANHAMENTO="BM"),ROUND(U39,4),U40/$S38)</f>
        <v>#DIV/0!</v>
      </c>
      <c r="V38" s="421" t="e">
        <f aca="false" t="array" ref="V38:V38">IF(AND($R38=2,ACOMPANHAMENTO="BM"),ROUND(V39,4),V40/$S38)</f>
        <v>#DIV/0!</v>
      </c>
      <c r="W38" s="421" t="e">
        <f aca="false" t="array" ref="W38:W38">IF(AND($R38=2,ACOMPANHAMENTO="BM"),ROUND(W39,4),W40/$S38)</f>
        <v>#DIV/0!</v>
      </c>
      <c r="X38" s="421" t="e">
        <f aca="false" t="array" ref="X38:X38">IF(AND($R38=2,ACOMPANHAMENTO="BM"),ROUND(X39,4),X40/$S38)</f>
        <v>#DIV/0!</v>
      </c>
      <c r="Y38" s="421" t="e">
        <f aca="false" t="array" ref="Y38:Y38">IF(AND($R38=2,ACOMPANHAMENTO="BM"),ROUND(Y39,4),Y40/$S38)</f>
        <v>#DIV/0!</v>
      </c>
      <c r="Z38" s="421" t="e">
        <f aca="false" t="array" ref="Z38:Z38">IF(AND($R38=2,ACOMPANHAMENTO="BM"),ROUND(Z39,4),Z40/$S38)</f>
        <v>#DIV/0!</v>
      </c>
      <c r="AA38" s="421" t="e">
        <f aca="false" t="array" ref="AA38:AA38">IF(AND($R38=2,ACOMPANHAMENTO="BM"),ROUND(AA39,4),AA40/$S38)</f>
        <v>#DIV/0!</v>
      </c>
      <c r="AB38" s="421" t="e">
        <f aca="false" t="array" ref="AB38:AB38">IF(AND($R38=2,ACOMPANHAMENTO="BM"),ROUND(AB39,4),AB40/$S38)</f>
        <v>#DIV/0!</v>
      </c>
      <c r="AC38" s="421" t="e">
        <f aca="false" t="array" ref="AC38:AC38">IF(AND($R38=2,ACOMPANHAMENTO="BM"),ROUND(AC39,4),AC40/$S38)</f>
        <v>#DIV/0!</v>
      </c>
      <c r="AD38" s="421" t="e">
        <f aca="false" t="array" ref="AD38:AD38">IF(AND($R38=2,ACOMPANHAMENTO="BM"),ROUND(AD39,4),AD40/$S38)</f>
        <v>#DIV/0!</v>
      </c>
      <c r="AE38" s="421" t="e">
        <f aca="false" t="array" ref="AE38:AE38">IF(AND($R38=2,ACOMPANHAMENTO="BM"),ROUND(AE39,4),AE40/$S38)</f>
        <v>#DIV/0!</v>
      </c>
      <c r="AF38" s="421" t="e">
        <f aca="false" t="array" ref="AF38:AF38">IF(AND($R38=2,ACOMPANHAMENTO="BM"),ROUND(AF39,4),AF40/$S38)</f>
        <v>#DIV/0!</v>
      </c>
      <c r="AG38" s="429"/>
    </row>
    <row r="39" customFormat="false" ht="12.75" hidden="true" customHeight="true" outlineLevel="0" collapsed="false">
      <c r="E39" s="430"/>
      <c r="F39" s="418" t="n">
        <f aca="true">IF(ISERROR(F38),IF(1+COUNTIF($M$13:OFFSET(M38,-1,0),1)&lt;=MAX(QCI!$D$13:$D$24),1+COUNTIF($M$13:OFFSET(M38,-1,0),1),-1),0)</f>
        <v>7</v>
      </c>
      <c r="G39" s="418" t="str">
        <f aca="true" t="array" ref="G39:G39">IF(ACOMPANHAMENTO="BM",OFFSET(G39,-1,0),"")</f>
        <v/>
      </c>
      <c r="H39" s="431" t="str">
        <f aca="false" t="array" ref="H39:H39">IF(OR(S38=0,S38=""),"vazia",IF(AND(OR(ACOMPANHAMENTO="PLE",$R38&lt;&gt;2),$F39=0),"calculada","--&gt;"))</f>
        <v>vazia</v>
      </c>
      <c r="I39" s="432"/>
      <c r="J39" s="433" t="str">
        <f aca="false">IF(AND(H38&lt;&gt;0,ISNUMBER(H38)),"PREENCHA ESTA LINHA --&gt;","")</f>
        <v/>
      </c>
      <c r="K39" s="433"/>
      <c r="L39" s="433"/>
      <c r="M39" s="434"/>
      <c r="N39" s="434"/>
      <c r="O39" s="434"/>
      <c r="P39" s="434"/>
      <c r="Q39" s="434"/>
      <c r="R39" s="434"/>
      <c r="S39" s="435"/>
      <c r="T39" s="436"/>
      <c r="U39" s="430"/>
      <c r="V39" s="430"/>
      <c r="W39" s="430"/>
      <c r="X39" s="430"/>
      <c r="Y39" s="430"/>
      <c r="Z39" s="430"/>
      <c r="AA39" s="430"/>
      <c r="AB39" s="430"/>
      <c r="AC39" s="430"/>
      <c r="AD39" s="430"/>
      <c r="AE39" s="430"/>
      <c r="AF39" s="430"/>
      <c r="AG39" s="429"/>
    </row>
    <row r="40" customFormat="false" ht="12.75" hidden="true" customHeight="true" outlineLevel="0" collapsed="false">
      <c r="D40" s="437"/>
      <c r="E40" s="438" t="n">
        <f aca="true" t="array" ref="E40:E40">IF($R38=2,
         IF(AND(ACOMPANHAMENTO="PLE",ISNUMBER($F38)),
                SUMIF((OFFSET(CÁLCULO!$AM$15:$AW$15,$F38,0,OFFSET(ORÇAMENTO!$D$15,CRONO!$F38,0))),CRONO!E$12,OFFSET(CÁLCULO!$AB$15:$AL$15,$F38,0,OFFSET(ORÇAMENTO!$D$15,CRONO!$F38,0)))
                +IF(AND($F40&lt;&gt;"",$F40&lt;&gt;0),
                        SUMIF(CÁLCULO!$AM$15:$AW$21,CRONO!E$12,CÁLCULO!$AB$15:$AL$21)/(ORÇAMENTO!$X$15-CÁLCULO.TotalAdmLocal)*CRONO!$F40,
                        0),
                 E39*$S38),
          SUMIF(OFFSET($S40,1,0,$R38-2),($M38+1)&amp;"$",OFFSET(E40,1,0,$R38-2)))</f>
        <v>0</v>
      </c>
      <c r="F40" s="418" t="str">
        <f aca="true">IF(OR($R38&lt;&gt;2,AUTOEVENTO&lt;&gt;"manual",$F39&gt;0),"",
        IF(Import.TipoArredondamento="Tradicional",
              SUMIF(OFFSET(CÁLCULO!$M$15,CRONO!$F38,0,OFFSET(ORÇAMENTO!$D$15,CRONO!$F38,0)),1,OFFSET(ORÇAMENTO!$X$15,CRONO!$F38,0,OFFSET(ORÇAMENTO!$D$15,CRONO!$F38,0))),
              0))</f>
        <v/>
      </c>
      <c r="H40" s="439"/>
      <c r="S40" s="440" t="str">
        <f aca="false">M38&amp;"$"</f>
        <v>1$</v>
      </c>
      <c r="T40" s="441"/>
      <c r="U40" s="438" t="n">
        <f aca="true" t="array" ref="U40:U40">IF($R38=2,
         IF(AND(ACOMPANHAMENTO="PLE",ISNUMBER($F38)),
                SUMIF((OFFSET(CÁLCULO!$AM$15:$AW$15,$F38,0,OFFSET(ORÇAMENTO!$D$15,CRONO!$F38,0))),CRONO!U$12,OFFSET(CÁLCULO!$AB$15:$AL$15,$F38,0,OFFSET(ORÇAMENTO!$D$15,CRONO!$F38,0)))
                +IF(AND($F40&lt;&gt;"",$F40&lt;&gt;0),
                        SUMIF(CÁLCULO!$AM$15:$AW$21,CRONO!U$12,CÁLCULO!$AB$15:$AL$21)/(ORÇAMENTO!$X$15-CÁLCULO.TotalAdmLocal)*CRONO!$F40,
                        0),
                 U39*$S38),
          SUMIF(OFFSET($S40,1,0,$R38-2),($M38+1)&amp;"$",OFFSET(U40,1,0,$R38-2)))</f>
        <v>0</v>
      </c>
      <c r="V40" s="438" t="n">
        <f aca="true" t="array" ref="V40:V40">IF($R38=2,
         IF(AND(ACOMPANHAMENTO="PLE",ISNUMBER($F38)),
                SUMIF((OFFSET(CÁLCULO!$AM$15:$AW$15,$F38,0,OFFSET(ORÇAMENTO!$D$15,CRONO!$F38,0))),CRONO!V$12,OFFSET(CÁLCULO!$AB$15:$AL$15,$F38,0,OFFSET(ORÇAMENTO!$D$15,CRONO!$F38,0)))
                +IF(AND($F40&lt;&gt;"",$F40&lt;&gt;0),
                        SUMIF(CÁLCULO!$AM$15:$AW$21,CRONO!V$12,CÁLCULO!$AB$15:$AL$21)/(ORÇAMENTO!$X$15-CÁLCULO.TotalAdmLocal)*CRONO!$F40,
                        0),
                 V39*$S38),
          SUMIF(OFFSET($S40,1,0,$R38-2),($M38+1)&amp;"$",OFFSET(V40,1,0,$R38-2)))</f>
        <v>0</v>
      </c>
      <c r="W40" s="438" t="n">
        <f aca="true" t="array" ref="W40:W40">IF($R38=2,
         IF(AND(ACOMPANHAMENTO="PLE",ISNUMBER($F38)),
                SUMIF((OFFSET(CÁLCULO!$AM$15:$AW$15,$F38,0,OFFSET(ORÇAMENTO!$D$15,CRONO!$F38,0))),CRONO!W$12,OFFSET(CÁLCULO!$AB$15:$AL$15,$F38,0,OFFSET(ORÇAMENTO!$D$15,CRONO!$F38,0)))
                +IF(AND($F40&lt;&gt;"",$F40&lt;&gt;0),
                        SUMIF(CÁLCULO!$AM$15:$AW$21,CRONO!W$12,CÁLCULO!$AB$15:$AL$21)/(ORÇAMENTO!$X$15-CÁLCULO.TotalAdmLocal)*CRONO!$F40,
                        0),
                 W39*$S38),
          SUMIF(OFFSET($S40,1,0,$R38-2),($M38+1)&amp;"$",OFFSET(W40,1,0,$R38-2)))</f>
        <v>0</v>
      </c>
      <c r="X40" s="438" t="n">
        <f aca="true" t="array" ref="X40:X40">IF($R38=2,
         IF(AND(ACOMPANHAMENTO="PLE",ISNUMBER($F38)),
                SUMIF((OFFSET(CÁLCULO!$AM$15:$AW$15,$F38,0,OFFSET(ORÇAMENTO!$D$15,CRONO!$F38,0))),CRONO!X$12,OFFSET(CÁLCULO!$AB$15:$AL$15,$F38,0,OFFSET(ORÇAMENTO!$D$15,CRONO!$F38,0)))
                +IF(AND($F40&lt;&gt;"",$F40&lt;&gt;0),
                        SUMIF(CÁLCULO!$AM$15:$AW$21,CRONO!X$12,CÁLCULO!$AB$15:$AL$21)/(ORÇAMENTO!$X$15-CÁLCULO.TotalAdmLocal)*CRONO!$F40,
                        0),
                 X39*$S38),
          SUMIF(OFFSET($S40,1,0,$R38-2),($M38+1)&amp;"$",OFFSET(X40,1,0,$R38-2)))</f>
        <v>0</v>
      </c>
      <c r="Y40" s="438" t="n">
        <f aca="true" t="array" ref="Y40:Y40">IF($R38=2,
         IF(AND(ACOMPANHAMENTO="PLE",ISNUMBER($F38)),
                SUMIF((OFFSET(CÁLCULO!$AM$15:$AW$15,$F38,0,OFFSET(ORÇAMENTO!$D$15,CRONO!$F38,0))),CRONO!Y$12,OFFSET(CÁLCULO!$AB$15:$AL$15,$F38,0,OFFSET(ORÇAMENTO!$D$15,CRONO!$F38,0)))
                +IF(AND($F40&lt;&gt;"",$F40&lt;&gt;0),
                        SUMIF(CÁLCULO!$AM$15:$AW$21,CRONO!Y$12,CÁLCULO!$AB$15:$AL$21)/(ORÇAMENTO!$X$15-CÁLCULO.TotalAdmLocal)*CRONO!$F40,
                        0),
                 Y39*$S38),
          SUMIF(OFFSET($S40,1,0,$R38-2),($M38+1)&amp;"$",OFFSET(Y40,1,0,$R38-2)))</f>
        <v>0</v>
      </c>
      <c r="Z40" s="438" t="n">
        <f aca="true" t="array" ref="Z40:Z40">IF($R38=2,
         IF(AND(ACOMPANHAMENTO="PLE",ISNUMBER($F38)),
                SUMIF((OFFSET(CÁLCULO!$AM$15:$AW$15,$F38,0,OFFSET(ORÇAMENTO!$D$15,CRONO!$F38,0))),CRONO!Z$12,OFFSET(CÁLCULO!$AB$15:$AL$15,$F38,0,OFFSET(ORÇAMENTO!$D$15,CRONO!$F38,0)))
                +IF(AND($F40&lt;&gt;"",$F40&lt;&gt;0),
                        SUMIF(CÁLCULO!$AM$15:$AW$21,CRONO!Z$12,CÁLCULO!$AB$15:$AL$21)/(ORÇAMENTO!$X$15-CÁLCULO.TotalAdmLocal)*CRONO!$F40,
                        0),
                 Z39*$S38),
          SUMIF(OFFSET($S40,1,0,$R38-2),($M38+1)&amp;"$",OFFSET(Z40,1,0,$R38-2)))</f>
        <v>0</v>
      </c>
      <c r="AA40" s="438" t="n">
        <f aca="true" t="array" ref="AA40:AA40">IF($R38=2,
         IF(AND(ACOMPANHAMENTO="PLE",ISNUMBER($F38)),
                SUMIF((OFFSET(CÁLCULO!$AM$15:$AW$15,$F38,0,OFFSET(ORÇAMENTO!$D$15,CRONO!$F38,0))),CRONO!AA$12,OFFSET(CÁLCULO!$AB$15:$AL$15,$F38,0,OFFSET(ORÇAMENTO!$D$15,CRONO!$F38,0)))
                +IF(AND($F40&lt;&gt;"",$F40&lt;&gt;0),
                        SUMIF(CÁLCULO!$AM$15:$AW$21,CRONO!AA$12,CÁLCULO!$AB$15:$AL$21)/(ORÇAMENTO!$X$15-CÁLCULO.TotalAdmLocal)*CRONO!$F40,
                        0),
                 AA39*$S38),
          SUMIF(OFFSET($S40,1,0,$R38-2),($M38+1)&amp;"$",OFFSET(AA40,1,0,$R38-2)))</f>
        <v>0</v>
      </c>
      <c r="AB40" s="438" t="n">
        <f aca="true" t="array" ref="AB40:AB40">IF($R38=2,
         IF(AND(ACOMPANHAMENTO="PLE",ISNUMBER($F38)),
                SUMIF((OFFSET(CÁLCULO!$AM$15:$AW$15,$F38,0,OFFSET(ORÇAMENTO!$D$15,CRONO!$F38,0))),CRONO!AB$12,OFFSET(CÁLCULO!$AB$15:$AL$15,$F38,0,OFFSET(ORÇAMENTO!$D$15,CRONO!$F38,0)))
                +IF(AND($F40&lt;&gt;"",$F40&lt;&gt;0),
                        SUMIF(CÁLCULO!$AM$15:$AW$21,CRONO!AB$12,CÁLCULO!$AB$15:$AL$21)/(ORÇAMENTO!$X$15-CÁLCULO.TotalAdmLocal)*CRONO!$F40,
                        0),
                 AB39*$S38),
          SUMIF(OFFSET($S40,1,0,$R38-2),($M38+1)&amp;"$",OFFSET(AB40,1,0,$R38-2)))</f>
        <v>0</v>
      </c>
      <c r="AC40" s="438" t="n">
        <f aca="true" t="array" ref="AC40:AC40">IF($R38=2,
         IF(AND(ACOMPANHAMENTO="PLE",ISNUMBER($F38)),
                SUMIF((OFFSET(CÁLCULO!$AM$15:$AW$15,$F38,0,OFFSET(ORÇAMENTO!$D$15,CRONO!$F38,0))),CRONO!AC$12,OFFSET(CÁLCULO!$AB$15:$AL$15,$F38,0,OFFSET(ORÇAMENTO!$D$15,CRONO!$F38,0)))
                +IF(AND($F40&lt;&gt;"",$F40&lt;&gt;0),
                        SUMIF(CÁLCULO!$AM$15:$AW$21,CRONO!AC$12,CÁLCULO!$AB$15:$AL$21)/(ORÇAMENTO!$X$15-CÁLCULO.TotalAdmLocal)*CRONO!$F40,
                        0),
                 AC39*$S38),
          SUMIF(OFFSET($S40,1,0,$R38-2),($M38+1)&amp;"$",OFFSET(AC40,1,0,$R38-2)))</f>
        <v>0</v>
      </c>
      <c r="AD40" s="438" t="n">
        <f aca="true" t="array" ref="AD40:AD40">IF($R38=2,
         IF(AND(ACOMPANHAMENTO="PLE",ISNUMBER($F38)),
                SUMIF((OFFSET(CÁLCULO!$AM$15:$AW$15,$F38,0,OFFSET(ORÇAMENTO!$D$15,CRONO!$F38,0))),CRONO!AD$12,OFFSET(CÁLCULO!$AB$15:$AL$15,$F38,0,OFFSET(ORÇAMENTO!$D$15,CRONO!$F38,0)))
                +IF(AND($F40&lt;&gt;"",$F40&lt;&gt;0),
                        SUMIF(CÁLCULO!$AM$15:$AW$21,CRONO!AD$12,CÁLCULO!$AB$15:$AL$21)/(ORÇAMENTO!$X$15-CÁLCULO.TotalAdmLocal)*CRONO!$F40,
                        0),
                 AD39*$S38),
          SUMIF(OFFSET($S40,1,0,$R38-2),($M38+1)&amp;"$",OFFSET(AD40,1,0,$R38-2)))</f>
        <v>0</v>
      </c>
      <c r="AE40" s="438" t="n">
        <f aca="true" t="array" ref="AE40:AE40">IF($R38=2,
         IF(AND(ACOMPANHAMENTO="PLE",ISNUMBER($F38)),
                SUMIF((OFFSET(CÁLCULO!$AM$15:$AW$15,$F38,0,OFFSET(ORÇAMENTO!$D$15,CRONO!$F38,0))),CRONO!AE$12,OFFSET(CÁLCULO!$AB$15:$AL$15,$F38,0,OFFSET(ORÇAMENTO!$D$15,CRONO!$F38,0)))
                +IF(AND($F40&lt;&gt;"",$F40&lt;&gt;0),
                        SUMIF(CÁLCULO!$AM$15:$AW$21,CRONO!AE$12,CÁLCULO!$AB$15:$AL$21)/(ORÇAMENTO!$X$15-CÁLCULO.TotalAdmLocal)*CRONO!$F40,
                        0),
                 AE39*$S38),
          SUMIF(OFFSET($S40,1,0,$R38-2),($M38+1)&amp;"$",OFFSET(AE40,1,0,$R38-2)))</f>
        <v>0</v>
      </c>
      <c r="AF40" s="438" t="n">
        <f aca="true" t="array" ref="AF40:AF40">IF($R38=2,
         IF(AND(ACOMPANHAMENTO="PLE",ISNUMBER($F38)),
                SUMIF((OFFSET(CÁLCULO!$AM$15:$AW$15,$F38,0,OFFSET(ORÇAMENTO!$D$15,CRONO!$F38,0))),CRONO!AF$12,OFFSET(CÁLCULO!$AB$15:$AL$15,$F38,0,OFFSET(ORÇAMENTO!$D$15,CRONO!$F38,0)))
                +IF(AND($F40&lt;&gt;"",$F40&lt;&gt;0),
                        SUMIF(CÁLCULO!$AM$15:$AW$21,CRONO!AF$12,CÁLCULO!$AB$15:$AL$21)/(ORÇAMENTO!$X$15-CÁLCULO.TotalAdmLocal)*CRONO!$F40,
                        0),
                 AF39*$S38),
          SUMIF(OFFSET($S40,1,0,$R38-2),($M38+1)&amp;"$",OFFSET(AF40,1,0,$R38-2)))</f>
        <v>0</v>
      </c>
      <c r="AG40" s="429"/>
    </row>
    <row r="41" customFormat="false" ht="12.75" hidden="false" customHeight="false" outlineLevel="0" collapsed="false">
      <c r="A41" s="380" t="str">
        <f aca="false">IF($M41&gt;1,_xlfn.CONCAT($I41," ",$J41),"")</f>
        <v/>
      </c>
      <c r="B41" s="418" t="n">
        <f aca="true">OFFSET(B41,-3,0)+1</f>
        <v>10</v>
      </c>
      <c r="C41" s="418" t="n">
        <f aca="true">IF($R41&lt;&gt;2,0,IF($S41=0,1,IF(F42&gt;0,OFFSET(QCI!$M$13,SUBSTITUTE(F42,".",""),0),OFFSET(ORÇAMENTO!$AA$15,CRONO!$F41,0))/$S41))</f>
        <v>1</v>
      </c>
      <c r="D41" s="418" t="n">
        <f aca="true">IF($R41&lt;&gt;2,0,IF($S41=0,1,IF(F42&gt;0,OFFSET(QCI!$N$13,SUBSTITUTE(F42,".",""),0),OFFSET(ORÇAMENTO!$AB$15,CRONO!$F41,0))/$S41))</f>
        <v>1</v>
      </c>
      <c r="E41" s="421" t="e">
        <f aca="false" t="array" ref="E41:E41">IF(AND($R41=2,ACOMPANHAMENTO="BM"),ROUND(E42,4),E43/$S41)</f>
        <v>#DIV/0!</v>
      </c>
      <c r="F41" s="418" t="e">
        <f aca="true" t="array" ref="F41:F41">IF(B41&lt;=ORÇAMENTO.MáximoListaCrono,MATCH(B41,ORÇAMENTO.ListaCrono,0),NA())</f>
        <v>#N/A</v>
      </c>
      <c r="G41" s="418" t="str">
        <f aca="false">IF(AND($F42&lt;&gt;-1,$S41&gt;0),"F","")</f>
        <v/>
      </c>
      <c r="H41" s="422" t="str">
        <f aca="false" t="array" ref="H41:H41">IF(OR(S41=0,S41=""),"Linha",IF(AND(OR(ACOMPANHAMENTO="PLE",$R41&lt;&gt;2),$F42=0),"Linha",ROUND(1-SUM(U41:AG41),4)))</f>
        <v>Linha</v>
      </c>
      <c r="I41" s="423" t="n">
        <f aca="true">IF($F42=0,OFFSET(ORÇAMENTO!O$15,$F41,0),IF($F42&lt;&gt;-1,OFFSET(QCI!$D$13,$F42,0),""))</f>
        <v>8</v>
      </c>
      <c r="J41" s="424" t="str">
        <f aca="true">IF($F42=0,OFFSET(ORÇAMENTO!R$15,$F41,0),IF($F42&lt;&gt;-1,OFFSET(QCI!$G$13,$F42,0),""))</f>
        <v/>
      </c>
      <c r="K41" s="424"/>
      <c r="L41" s="424"/>
      <c r="M41" s="425" t="n">
        <f aca="true">IF($F42=0,OFFSET(ORÇAMENTO!C$15,$F41,0),1)</f>
        <v>1</v>
      </c>
      <c r="N41" s="426" t="n">
        <f aca="true">IF($F42=-1,0,IF(N$13&lt;=$M41,IF(ISERROR(MATCH(N$13,OFFSET($M41,1,0,ROW($M$68)-ROW($M41)-1),0)),ROW($M$68)-ROW($M41)-1,MATCH(N$13,OFFSET($M41,1,0,ROW($M$68)-ROW($M41)-1),0)-1),0))</f>
        <v>2</v>
      </c>
      <c r="O41" s="426" t="n">
        <f aca="true">IF($F42=-1,0,IF(O$13&lt;=$M41,IF(ISERROR(MATCH(O$13,OFFSET($M41,1,0,ROW($M$68)-ROW($M41)-1),0)),ROW($M$68)-ROW($M41)-1,MATCH(O$13,OFFSET($M41,1,0,ROW($M$68)-ROW($M41)-1),0)-1),0))</f>
        <v>0</v>
      </c>
      <c r="P41" s="426" t="n">
        <f aca="true">IF($F42=-1,0,IF(P$13&lt;=$M41,IF(ISERROR(MATCH(P$13,OFFSET($M41,1,0,ROW($M$68)-ROW($M41)-1),0)),ROW($M$68)-ROW($M41)-1,MATCH(P$13,OFFSET($M41,1,0,ROW($M$68)-ROW($M41)-1),0)-1),0))</f>
        <v>0</v>
      </c>
      <c r="Q41" s="426" t="n">
        <f aca="true">IF($F42=-1,0,IF(Q$13&lt;=$M41,IF(ISERROR(MATCH(Q$13,OFFSET($M41,1,0,ROW($M$68)-ROW($M41)-1),0)),ROW($M$68)-ROW($M41)-1,MATCH(Q$13,OFFSET($M41,1,0,ROW($M$68)-ROW($M41)-1),0)-1),0))</f>
        <v>0</v>
      </c>
      <c r="R41" s="426" t="n">
        <f aca="true">MIN(OFFSET(M41,0,1,,M41))</f>
        <v>2</v>
      </c>
      <c r="S41" s="427" t="n">
        <f aca="true">IF($F42=0,OFFSET(ORÇAMENTO!X$15,$F41,0),IF($F42&lt;&gt;-1,OFFSET(QCI!$O$13,$F42,0),""))</f>
        <v>0</v>
      </c>
      <c r="T41" s="428" t="s">
        <v>870</v>
      </c>
      <c r="U41" s="421" t="e">
        <f aca="false" t="array" ref="U41:U41">IF(AND($R41=2,ACOMPANHAMENTO="BM"),ROUND(U42,4),U43/$S41)</f>
        <v>#DIV/0!</v>
      </c>
      <c r="V41" s="421" t="e">
        <f aca="false" t="array" ref="V41:V41">IF(AND($R41=2,ACOMPANHAMENTO="BM"),ROUND(V42,4),V43/$S41)</f>
        <v>#DIV/0!</v>
      </c>
      <c r="W41" s="421" t="e">
        <f aca="false" t="array" ref="W41:W41">IF(AND($R41=2,ACOMPANHAMENTO="BM"),ROUND(W42,4),W43/$S41)</f>
        <v>#DIV/0!</v>
      </c>
      <c r="X41" s="421" t="e">
        <f aca="false" t="array" ref="X41:X41">IF(AND($R41=2,ACOMPANHAMENTO="BM"),ROUND(X42,4),X43/$S41)</f>
        <v>#DIV/0!</v>
      </c>
      <c r="Y41" s="421" t="e">
        <f aca="false" t="array" ref="Y41:Y41">IF(AND($R41=2,ACOMPANHAMENTO="BM"),ROUND(Y42,4),Y43/$S41)</f>
        <v>#DIV/0!</v>
      </c>
      <c r="Z41" s="421" t="e">
        <f aca="false" t="array" ref="Z41:Z41">IF(AND($R41=2,ACOMPANHAMENTO="BM"),ROUND(Z42,4),Z43/$S41)</f>
        <v>#DIV/0!</v>
      </c>
      <c r="AA41" s="421" t="e">
        <f aca="false" t="array" ref="AA41:AA41">IF(AND($R41=2,ACOMPANHAMENTO="BM"),ROUND(AA42,4),AA43/$S41)</f>
        <v>#DIV/0!</v>
      </c>
      <c r="AB41" s="421" t="e">
        <f aca="false" t="array" ref="AB41:AB41">IF(AND($R41=2,ACOMPANHAMENTO="BM"),ROUND(AB42,4),AB43/$S41)</f>
        <v>#DIV/0!</v>
      </c>
      <c r="AC41" s="421" t="e">
        <f aca="false" t="array" ref="AC41:AC41">IF(AND($R41=2,ACOMPANHAMENTO="BM"),ROUND(AC42,4),AC43/$S41)</f>
        <v>#DIV/0!</v>
      </c>
      <c r="AD41" s="421" t="e">
        <f aca="false" t="array" ref="AD41:AD41">IF(AND($R41=2,ACOMPANHAMENTO="BM"),ROUND(AD42,4),AD43/$S41)</f>
        <v>#DIV/0!</v>
      </c>
      <c r="AE41" s="421" t="e">
        <f aca="false" t="array" ref="AE41:AE41">IF(AND($R41=2,ACOMPANHAMENTO="BM"),ROUND(AE42,4),AE43/$S41)</f>
        <v>#DIV/0!</v>
      </c>
      <c r="AF41" s="421" t="e">
        <f aca="false" t="array" ref="AF41:AF41">IF(AND($R41=2,ACOMPANHAMENTO="BM"),ROUND(AF42,4),AF43/$S41)</f>
        <v>#DIV/0!</v>
      </c>
      <c r="AG41" s="429"/>
    </row>
    <row r="42" customFormat="false" ht="12.75" hidden="true" customHeight="true" outlineLevel="0" collapsed="false">
      <c r="E42" s="430"/>
      <c r="F42" s="418" t="n">
        <f aca="true">IF(ISERROR(F41),IF(1+COUNTIF($M$13:OFFSET(M41,-1,0),1)&lt;=MAX(QCI!$D$13:$D$24),1+COUNTIF($M$13:OFFSET(M41,-1,0),1),-1),0)</f>
        <v>8</v>
      </c>
      <c r="G42" s="418" t="str">
        <f aca="true" t="array" ref="G42:G42">IF(ACOMPANHAMENTO="BM",OFFSET(G42,-1,0),"")</f>
        <v/>
      </c>
      <c r="H42" s="431" t="str">
        <f aca="false" t="array" ref="H42:H42">IF(OR(S41=0,S41=""),"vazia",IF(AND(OR(ACOMPANHAMENTO="PLE",$R41&lt;&gt;2),$F42=0),"calculada","--&gt;"))</f>
        <v>vazia</v>
      </c>
      <c r="I42" s="432"/>
      <c r="J42" s="433" t="str">
        <f aca="false">IF(AND(H41&lt;&gt;0,ISNUMBER(H41)),"PREENCHA ESTA LINHA --&gt;","")</f>
        <v/>
      </c>
      <c r="K42" s="433"/>
      <c r="L42" s="433"/>
      <c r="M42" s="434"/>
      <c r="N42" s="434"/>
      <c r="O42" s="434"/>
      <c r="P42" s="434"/>
      <c r="Q42" s="434"/>
      <c r="R42" s="434"/>
      <c r="S42" s="435"/>
      <c r="T42" s="436"/>
      <c r="U42" s="430"/>
      <c r="V42" s="430"/>
      <c r="W42" s="430"/>
      <c r="X42" s="430"/>
      <c r="Y42" s="430"/>
      <c r="Z42" s="430"/>
      <c r="AA42" s="430"/>
      <c r="AB42" s="430"/>
      <c r="AC42" s="430"/>
      <c r="AD42" s="430"/>
      <c r="AE42" s="430"/>
      <c r="AF42" s="430"/>
      <c r="AG42" s="429"/>
    </row>
    <row r="43" customFormat="false" ht="12.75" hidden="true" customHeight="true" outlineLevel="0" collapsed="false">
      <c r="D43" s="437"/>
      <c r="E43" s="438" t="n">
        <f aca="true" t="array" ref="E43:E43">IF($R41=2,
         IF(AND(ACOMPANHAMENTO="PLE",ISNUMBER($F41)),
                SUMIF((OFFSET(CÁLCULO!$AM$15:$AW$15,$F41,0,OFFSET(ORÇAMENTO!$D$15,CRONO!$F41,0))),CRONO!E$12,OFFSET(CÁLCULO!$AB$15:$AL$15,$F41,0,OFFSET(ORÇAMENTO!$D$15,CRONO!$F41,0)))
                +IF(AND($F43&lt;&gt;"",$F43&lt;&gt;0),
                        SUMIF(CÁLCULO!$AM$15:$AW$21,CRONO!E$12,CÁLCULO!$AB$15:$AL$21)/(ORÇAMENTO!$X$15-CÁLCULO.TotalAdmLocal)*CRONO!$F43,
                        0),
                 E42*$S41),
          SUMIF(OFFSET($S43,1,0,$R41-2),($M41+1)&amp;"$",OFFSET(E43,1,0,$R41-2)))</f>
        <v>0</v>
      </c>
      <c r="F43" s="418" t="str">
        <f aca="true">IF(OR($R41&lt;&gt;2,AUTOEVENTO&lt;&gt;"manual",$F42&gt;0),"",
        IF(Import.TipoArredondamento="Tradicional",
              SUMIF(OFFSET(CÁLCULO!$M$15,CRONO!$F41,0,OFFSET(ORÇAMENTO!$D$15,CRONO!$F41,0)),1,OFFSET(ORÇAMENTO!$X$15,CRONO!$F41,0,OFFSET(ORÇAMENTO!$D$15,CRONO!$F41,0))),
              0))</f>
        <v/>
      </c>
      <c r="H43" s="439"/>
      <c r="S43" s="440" t="str">
        <f aca="false">M41&amp;"$"</f>
        <v>1$</v>
      </c>
      <c r="T43" s="441"/>
      <c r="U43" s="438" t="n">
        <f aca="true" t="array" ref="U43:U43">IF($R41=2,
         IF(AND(ACOMPANHAMENTO="PLE",ISNUMBER($F41)),
                SUMIF((OFFSET(CÁLCULO!$AM$15:$AW$15,$F41,0,OFFSET(ORÇAMENTO!$D$15,CRONO!$F41,0))),CRONO!U$12,OFFSET(CÁLCULO!$AB$15:$AL$15,$F41,0,OFFSET(ORÇAMENTO!$D$15,CRONO!$F41,0)))
                +IF(AND($F43&lt;&gt;"",$F43&lt;&gt;0),
                        SUMIF(CÁLCULO!$AM$15:$AW$21,CRONO!U$12,CÁLCULO!$AB$15:$AL$21)/(ORÇAMENTO!$X$15-CÁLCULO.TotalAdmLocal)*CRONO!$F43,
                        0),
                 U42*$S41),
          SUMIF(OFFSET($S43,1,0,$R41-2),($M41+1)&amp;"$",OFFSET(U43,1,0,$R41-2)))</f>
        <v>0</v>
      </c>
      <c r="V43" s="438" t="n">
        <f aca="true" t="array" ref="V43:V43">IF($R41=2,
         IF(AND(ACOMPANHAMENTO="PLE",ISNUMBER($F41)),
                SUMIF((OFFSET(CÁLCULO!$AM$15:$AW$15,$F41,0,OFFSET(ORÇAMENTO!$D$15,CRONO!$F41,0))),CRONO!V$12,OFFSET(CÁLCULO!$AB$15:$AL$15,$F41,0,OFFSET(ORÇAMENTO!$D$15,CRONO!$F41,0)))
                +IF(AND($F43&lt;&gt;"",$F43&lt;&gt;0),
                        SUMIF(CÁLCULO!$AM$15:$AW$21,CRONO!V$12,CÁLCULO!$AB$15:$AL$21)/(ORÇAMENTO!$X$15-CÁLCULO.TotalAdmLocal)*CRONO!$F43,
                        0),
                 V42*$S41),
          SUMIF(OFFSET($S43,1,0,$R41-2),($M41+1)&amp;"$",OFFSET(V43,1,0,$R41-2)))</f>
        <v>0</v>
      </c>
      <c r="W43" s="438" t="n">
        <f aca="true" t="array" ref="W43:W43">IF($R41=2,
         IF(AND(ACOMPANHAMENTO="PLE",ISNUMBER($F41)),
                SUMIF((OFFSET(CÁLCULO!$AM$15:$AW$15,$F41,0,OFFSET(ORÇAMENTO!$D$15,CRONO!$F41,0))),CRONO!W$12,OFFSET(CÁLCULO!$AB$15:$AL$15,$F41,0,OFFSET(ORÇAMENTO!$D$15,CRONO!$F41,0)))
                +IF(AND($F43&lt;&gt;"",$F43&lt;&gt;0),
                        SUMIF(CÁLCULO!$AM$15:$AW$21,CRONO!W$12,CÁLCULO!$AB$15:$AL$21)/(ORÇAMENTO!$X$15-CÁLCULO.TotalAdmLocal)*CRONO!$F43,
                        0),
                 W42*$S41),
          SUMIF(OFFSET($S43,1,0,$R41-2),($M41+1)&amp;"$",OFFSET(W43,1,0,$R41-2)))</f>
        <v>0</v>
      </c>
      <c r="X43" s="438" t="n">
        <f aca="true" t="array" ref="X43:X43">IF($R41=2,
         IF(AND(ACOMPANHAMENTO="PLE",ISNUMBER($F41)),
                SUMIF((OFFSET(CÁLCULO!$AM$15:$AW$15,$F41,0,OFFSET(ORÇAMENTO!$D$15,CRONO!$F41,0))),CRONO!X$12,OFFSET(CÁLCULO!$AB$15:$AL$15,$F41,0,OFFSET(ORÇAMENTO!$D$15,CRONO!$F41,0)))
                +IF(AND($F43&lt;&gt;"",$F43&lt;&gt;0),
                        SUMIF(CÁLCULO!$AM$15:$AW$21,CRONO!X$12,CÁLCULO!$AB$15:$AL$21)/(ORÇAMENTO!$X$15-CÁLCULO.TotalAdmLocal)*CRONO!$F43,
                        0),
                 X42*$S41),
          SUMIF(OFFSET($S43,1,0,$R41-2),($M41+1)&amp;"$",OFFSET(X43,1,0,$R41-2)))</f>
        <v>0</v>
      </c>
      <c r="Y43" s="438" t="n">
        <f aca="true" t="array" ref="Y43:Y43">IF($R41=2,
         IF(AND(ACOMPANHAMENTO="PLE",ISNUMBER($F41)),
                SUMIF((OFFSET(CÁLCULO!$AM$15:$AW$15,$F41,0,OFFSET(ORÇAMENTO!$D$15,CRONO!$F41,0))),CRONO!Y$12,OFFSET(CÁLCULO!$AB$15:$AL$15,$F41,0,OFFSET(ORÇAMENTO!$D$15,CRONO!$F41,0)))
                +IF(AND($F43&lt;&gt;"",$F43&lt;&gt;0),
                        SUMIF(CÁLCULO!$AM$15:$AW$21,CRONO!Y$12,CÁLCULO!$AB$15:$AL$21)/(ORÇAMENTO!$X$15-CÁLCULO.TotalAdmLocal)*CRONO!$F43,
                        0),
                 Y42*$S41),
          SUMIF(OFFSET($S43,1,0,$R41-2),($M41+1)&amp;"$",OFFSET(Y43,1,0,$R41-2)))</f>
        <v>0</v>
      </c>
      <c r="Z43" s="438" t="n">
        <f aca="true" t="array" ref="Z43:Z43">IF($R41=2,
         IF(AND(ACOMPANHAMENTO="PLE",ISNUMBER($F41)),
                SUMIF((OFFSET(CÁLCULO!$AM$15:$AW$15,$F41,0,OFFSET(ORÇAMENTO!$D$15,CRONO!$F41,0))),CRONO!Z$12,OFFSET(CÁLCULO!$AB$15:$AL$15,$F41,0,OFFSET(ORÇAMENTO!$D$15,CRONO!$F41,0)))
                +IF(AND($F43&lt;&gt;"",$F43&lt;&gt;0),
                        SUMIF(CÁLCULO!$AM$15:$AW$21,CRONO!Z$12,CÁLCULO!$AB$15:$AL$21)/(ORÇAMENTO!$X$15-CÁLCULO.TotalAdmLocal)*CRONO!$F43,
                        0),
                 Z42*$S41),
          SUMIF(OFFSET($S43,1,0,$R41-2),($M41+1)&amp;"$",OFFSET(Z43,1,0,$R41-2)))</f>
        <v>0</v>
      </c>
      <c r="AA43" s="438" t="n">
        <f aca="true" t="array" ref="AA43:AA43">IF($R41=2,
         IF(AND(ACOMPANHAMENTO="PLE",ISNUMBER($F41)),
                SUMIF((OFFSET(CÁLCULO!$AM$15:$AW$15,$F41,0,OFFSET(ORÇAMENTO!$D$15,CRONO!$F41,0))),CRONO!AA$12,OFFSET(CÁLCULO!$AB$15:$AL$15,$F41,0,OFFSET(ORÇAMENTO!$D$15,CRONO!$F41,0)))
                +IF(AND($F43&lt;&gt;"",$F43&lt;&gt;0),
                        SUMIF(CÁLCULO!$AM$15:$AW$21,CRONO!AA$12,CÁLCULO!$AB$15:$AL$21)/(ORÇAMENTO!$X$15-CÁLCULO.TotalAdmLocal)*CRONO!$F43,
                        0),
                 AA42*$S41),
          SUMIF(OFFSET($S43,1,0,$R41-2),($M41+1)&amp;"$",OFFSET(AA43,1,0,$R41-2)))</f>
        <v>0</v>
      </c>
      <c r="AB43" s="438" t="n">
        <f aca="true" t="array" ref="AB43:AB43">IF($R41=2,
         IF(AND(ACOMPANHAMENTO="PLE",ISNUMBER($F41)),
                SUMIF((OFFSET(CÁLCULO!$AM$15:$AW$15,$F41,0,OFFSET(ORÇAMENTO!$D$15,CRONO!$F41,0))),CRONO!AB$12,OFFSET(CÁLCULO!$AB$15:$AL$15,$F41,0,OFFSET(ORÇAMENTO!$D$15,CRONO!$F41,0)))
                +IF(AND($F43&lt;&gt;"",$F43&lt;&gt;0),
                        SUMIF(CÁLCULO!$AM$15:$AW$21,CRONO!AB$12,CÁLCULO!$AB$15:$AL$21)/(ORÇAMENTO!$X$15-CÁLCULO.TotalAdmLocal)*CRONO!$F43,
                        0),
                 AB42*$S41),
          SUMIF(OFFSET($S43,1,0,$R41-2),($M41+1)&amp;"$",OFFSET(AB43,1,0,$R41-2)))</f>
        <v>0</v>
      </c>
      <c r="AC43" s="438" t="n">
        <f aca="true" t="array" ref="AC43:AC43">IF($R41=2,
         IF(AND(ACOMPANHAMENTO="PLE",ISNUMBER($F41)),
                SUMIF((OFFSET(CÁLCULO!$AM$15:$AW$15,$F41,0,OFFSET(ORÇAMENTO!$D$15,CRONO!$F41,0))),CRONO!AC$12,OFFSET(CÁLCULO!$AB$15:$AL$15,$F41,0,OFFSET(ORÇAMENTO!$D$15,CRONO!$F41,0)))
                +IF(AND($F43&lt;&gt;"",$F43&lt;&gt;0),
                        SUMIF(CÁLCULO!$AM$15:$AW$21,CRONO!AC$12,CÁLCULO!$AB$15:$AL$21)/(ORÇAMENTO!$X$15-CÁLCULO.TotalAdmLocal)*CRONO!$F43,
                        0),
                 AC42*$S41),
          SUMIF(OFFSET($S43,1,0,$R41-2),($M41+1)&amp;"$",OFFSET(AC43,1,0,$R41-2)))</f>
        <v>0</v>
      </c>
      <c r="AD43" s="438" t="n">
        <f aca="true" t="array" ref="AD43:AD43">IF($R41=2,
         IF(AND(ACOMPANHAMENTO="PLE",ISNUMBER($F41)),
                SUMIF((OFFSET(CÁLCULO!$AM$15:$AW$15,$F41,0,OFFSET(ORÇAMENTO!$D$15,CRONO!$F41,0))),CRONO!AD$12,OFFSET(CÁLCULO!$AB$15:$AL$15,$F41,0,OFFSET(ORÇAMENTO!$D$15,CRONO!$F41,0)))
                +IF(AND($F43&lt;&gt;"",$F43&lt;&gt;0),
                        SUMIF(CÁLCULO!$AM$15:$AW$21,CRONO!AD$12,CÁLCULO!$AB$15:$AL$21)/(ORÇAMENTO!$X$15-CÁLCULO.TotalAdmLocal)*CRONO!$F43,
                        0),
                 AD42*$S41),
          SUMIF(OFFSET($S43,1,0,$R41-2),($M41+1)&amp;"$",OFFSET(AD43,1,0,$R41-2)))</f>
        <v>0</v>
      </c>
      <c r="AE43" s="438" t="n">
        <f aca="true" t="array" ref="AE43:AE43">IF($R41=2,
         IF(AND(ACOMPANHAMENTO="PLE",ISNUMBER($F41)),
                SUMIF((OFFSET(CÁLCULO!$AM$15:$AW$15,$F41,0,OFFSET(ORÇAMENTO!$D$15,CRONO!$F41,0))),CRONO!AE$12,OFFSET(CÁLCULO!$AB$15:$AL$15,$F41,0,OFFSET(ORÇAMENTO!$D$15,CRONO!$F41,0)))
                +IF(AND($F43&lt;&gt;"",$F43&lt;&gt;0),
                        SUMIF(CÁLCULO!$AM$15:$AW$21,CRONO!AE$12,CÁLCULO!$AB$15:$AL$21)/(ORÇAMENTO!$X$15-CÁLCULO.TotalAdmLocal)*CRONO!$F43,
                        0),
                 AE42*$S41),
          SUMIF(OFFSET($S43,1,0,$R41-2),($M41+1)&amp;"$",OFFSET(AE43,1,0,$R41-2)))</f>
        <v>0</v>
      </c>
      <c r="AF43" s="438" t="n">
        <f aca="true" t="array" ref="AF43:AF43">IF($R41=2,
         IF(AND(ACOMPANHAMENTO="PLE",ISNUMBER($F41)),
                SUMIF((OFFSET(CÁLCULO!$AM$15:$AW$15,$F41,0,OFFSET(ORÇAMENTO!$D$15,CRONO!$F41,0))),CRONO!AF$12,OFFSET(CÁLCULO!$AB$15:$AL$15,$F41,0,OFFSET(ORÇAMENTO!$D$15,CRONO!$F41,0)))
                +IF(AND($F43&lt;&gt;"",$F43&lt;&gt;0),
                        SUMIF(CÁLCULO!$AM$15:$AW$21,CRONO!AF$12,CÁLCULO!$AB$15:$AL$21)/(ORÇAMENTO!$X$15-CÁLCULO.TotalAdmLocal)*CRONO!$F43,
                        0),
                 AF42*$S41),
          SUMIF(OFFSET($S43,1,0,$R41-2),($M41+1)&amp;"$",OFFSET(AF43,1,0,$R41-2)))</f>
        <v>0</v>
      </c>
      <c r="AG43" s="429"/>
    </row>
    <row r="44" customFormat="false" ht="12.75" hidden="false" customHeight="false" outlineLevel="0" collapsed="false">
      <c r="A44" s="380" t="str">
        <f aca="false">IF($M44&gt;1,_xlfn.CONCAT($I44," ",$J44),"")</f>
        <v/>
      </c>
      <c r="B44" s="418" t="n">
        <f aca="true">OFFSET(B44,-3,0)+1</f>
        <v>11</v>
      </c>
      <c r="C44" s="418" t="n">
        <f aca="true">IF($R44&lt;&gt;2,0,IF($S44=0,1,IF(F45&gt;0,OFFSET(QCI!$M$13,SUBSTITUTE(F45,".",""),0),OFFSET(ORÇAMENTO!$AA$15,CRONO!$F44,0))/$S44))</f>
        <v>1</v>
      </c>
      <c r="D44" s="418" t="n">
        <f aca="true">IF($R44&lt;&gt;2,0,IF($S44=0,1,IF(F45&gt;0,OFFSET(QCI!$N$13,SUBSTITUTE(F45,".",""),0),OFFSET(ORÇAMENTO!$AB$15,CRONO!$F44,0))/$S44))</f>
        <v>1</v>
      </c>
      <c r="E44" s="421" t="e">
        <f aca="false" t="array" ref="E44:E44">IF(AND($R44=2,ACOMPANHAMENTO="BM"),ROUND(E45,4),E46/$S44)</f>
        <v>#DIV/0!</v>
      </c>
      <c r="F44" s="418" t="e">
        <f aca="true" t="array" ref="F44:F44">IF(B44&lt;=ORÇAMENTO.MáximoListaCrono,MATCH(B44,ORÇAMENTO.ListaCrono,0),NA())</f>
        <v>#N/A</v>
      </c>
      <c r="G44" s="418" t="str">
        <f aca="false">IF(AND($F45&lt;&gt;-1,$S44&gt;0),"F","")</f>
        <v/>
      </c>
      <c r="H44" s="422" t="str">
        <f aca="false" t="array" ref="H44:H44">IF(OR(S44=0,S44=""),"Linha",IF(AND(OR(ACOMPANHAMENTO="PLE",$R44&lt;&gt;2),$F45=0),"Linha",ROUND(1-SUM(U44:AG44),4)))</f>
        <v>Linha</v>
      </c>
      <c r="I44" s="423" t="n">
        <f aca="true">IF($F45=0,OFFSET(ORÇAMENTO!O$15,$F44,0),IF($F45&lt;&gt;-1,OFFSET(QCI!$D$13,$F45,0),""))</f>
        <v>9</v>
      </c>
      <c r="J44" s="424" t="str">
        <f aca="true">IF($F45=0,OFFSET(ORÇAMENTO!R$15,$F44,0),IF($F45&lt;&gt;-1,OFFSET(QCI!$G$13,$F45,0),""))</f>
        <v/>
      </c>
      <c r="K44" s="424"/>
      <c r="L44" s="424"/>
      <c r="M44" s="425" t="n">
        <f aca="true">IF($F45=0,OFFSET(ORÇAMENTO!C$15,$F44,0),1)</f>
        <v>1</v>
      </c>
      <c r="N44" s="426" t="n">
        <f aca="true">IF($F45=-1,0,IF(N$13&lt;=$M44,IF(ISERROR(MATCH(N$13,OFFSET($M44,1,0,ROW($M$68)-ROW($M44)-1),0)),ROW($M$68)-ROW($M44)-1,MATCH(N$13,OFFSET($M44,1,0,ROW($M$68)-ROW($M44)-1),0)-1),0))</f>
        <v>2</v>
      </c>
      <c r="O44" s="426" t="n">
        <f aca="true">IF($F45=-1,0,IF(O$13&lt;=$M44,IF(ISERROR(MATCH(O$13,OFFSET($M44,1,0,ROW($M$68)-ROW($M44)-1),0)),ROW($M$68)-ROW($M44)-1,MATCH(O$13,OFFSET($M44,1,0,ROW($M$68)-ROW($M44)-1),0)-1),0))</f>
        <v>0</v>
      </c>
      <c r="P44" s="426" t="n">
        <f aca="true">IF($F45=-1,0,IF(P$13&lt;=$M44,IF(ISERROR(MATCH(P$13,OFFSET($M44,1,0,ROW($M$68)-ROW($M44)-1),0)),ROW($M$68)-ROW($M44)-1,MATCH(P$13,OFFSET($M44,1,0,ROW($M$68)-ROW($M44)-1),0)-1),0))</f>
        <v>0</v>
      </c>
      <c r="Q44" s="426" t="n">
        <f aca="true">IF($F45=-1,0,IF(Q$13&lt;=$M44,IF(ISERROR(MATCH(Q$13,OFFSET($M44,1,0,ROW($M$68)-ROW($M44)-1),0)),ROW($M$68)-ROW($M44)-1,MATCH(Q$13,OFFSET($M44,1,0,ROW($M$68)-ROW($M44)-1),0)-1),0))</f>
        <v>0</v>
      </c>
      <c r="R44" s="426" t="n">
        <f aca="true">MIN(OFFSET(M44,0,1,,M44))</f>
        <v>2</v>
      </c>
      <c r="S44" s="427" t="n">
        <f aca="true">IF($F45=0,OFFSET(ORÇAMENTO!X$15,$F44,0),IF($F45&lt;&gt;-1,OFFSET(QCI!$O$13,$F45,0),""))</f>
        <v>0</v>
      </c>
      <c r="T44" s="428" t="s">
        <v>870</v>
      </c>
      <c r="U44" s="421" t="e">
        <f aca="false" t="array" ref="U44:U44">IF(AND($R44=2,ACOMPANHAMENTO="BM"),ROUND(U45,4),U46/$S44)</f>
        <v>#DIV/0!</v>
      </c>
      <c r="V44" s="421" t="e">
        <f aca="false" t="array" ref="V44:V44">IF(AND($R44=2,ACOMPANHAMENTO="BM"),ROUND(V45,4),V46/$S44)</f>
        <v>#DIV/0!</v>
      </c>
      <c r="W44" s="421" t="e">
        <f aca="false" t="array" ref="W44:W44">IF(AND($R44=2,ACOMPANHAMENTO="BM"),ROUND(W45,4),W46/$S44)</f>
        <v>#DIV/0!</v>
      </c>
      <c r="X44" s="421" t="e">
        <f aca="false" t="array" ref="X44:X44">IF(AND($R44=2,ACOMPANHAMENTO="BM"),ROUND(X45,4),X46/$S44)</f>
        <v>#DIV/0!</v>
      </c>
      <c r="Y44" s="421" t="e">
        <f aca="false" t="array" ref="Y44:Y44">IF(AND($R44=2,ACOMPANHAMENTO="BM"),ROUND(Y45,4),Y46/$S44)</f>
        <v>#DIV/0!</v>
      </c>
      <c r="Z44" s="421" t="e">
        <f aca="false" t="array" ref="Z44:Z44">IF(AND($R44=2,ACOMPANHAMENTO="BM"),ROUND(Z45,4),Z46/$S44)</f>
        <v>#DIV/0!</v>
      </c>
      <c r="AA44" s="421" t="e">
        <f aca="false" t="array" ref="AA44:AA44">IF(AND($R44=2,ACOMPANHAMENTO="BM"),ROUND(AA45,4),AA46/$S44)</f>
        <v>#DIV/0!</v>
      </c>
      <c r="AB44" s="421" t="e">
        <f aca="false" t="array" ref="AB44:AB44">IF(AND($R44=2,ACOMPANHAMENTO="BM"),ROUND(AB45,4),AB46/$S44)</f>
        <v>#DIV/0!</v>
      </c>
      <c r="AC44" s="421" t="e">
        <f aca="false" t="array" ref="AC44:AC44">IF(AND($R44=2,ACOMPANHAMENTO="BM"),ROUND(AC45,4),AC46/$S44)</f>
        <v>#DIV/0!</v>
      </c>
      <c r="AD44" s="421" t="e">
        <f aca="false" t="array" ref="AD44:AD44">IF(AND($R44=2,ACOMPANHAMENTO="BM"),ROUND(AD45,4),AD46/$S44)</f>
        <v>#DIV/0!</v>
      </c>
      <c r="AE44" s="421" t="e">
        <f aca="false" t="array" ref="AE44:AE44">IF(AND($R44=2,ACOMPANHAMENTO="BM"),ROUND(AE45,4),AE46/$S44)</f>
        <v>#DIV/0!</v>
      </c>
      <c r="AF44" s="421" t="e">
        <f aca="false" t="array" ref="AF44:AF44">IF(AND($R44=2,ACOMPANHAMENTO="BM"),ROUND(AF45,4),AF46/$S44)</f>
        <v>#DIV/0!</v>
      </c>
      <c r="AG44" s="429"/>
    </row>
    <row r="45" customFormat="false" ht="12.75" hidden="true" customHeight="true" outlineLevel="0" collapsed="false">
      <c r="E45" s="430"/>
      <c r="F45" s="418" t="n">
        <f aca="true">IF(ISERROR(F44),IF(1+COUNTIF($M$13:OFFSET(M44,-1,0),1)&lt;=MAX(QCI!$D$13:$D$24),1+COUNTIF($M$13:OFFSET(M44,-1,0),1),-1),0)</f>
        <v>9</v>
      </c>
      <c r="G45" s="418" t="str">
        <f aca="true" t="array" ref="G45:G45">IF(ACOMPANHAMENTO="BM",OFFSET(G45,-1,0),"")</f>
        <v/>
      </c>
      <c r="H45" s="431" t="str">
        <f aca="false" t="array" ref="H45:H45">IF(OR(S44=0,S44=""),"vazia",IF(AND(OR(ACOMPANHAMENTO="PLE",$R44&lt;&gt;2),$F45=0),"calculada","--&gt;"))</f>
        <v>vazia</v>
      </c>
      <c r="I45" s="432"/>
      <c r="J45" s="433" t="str">
        <f aca="false">IF(AND(H44&lt;&gt;0,ISNUMBER(H44)),"PREENCHA ESTA LINHA --&gt;","")</f>
        <v/>
      </c>
      <c r="K45" s="433"/>
      <c r="L45" s="433"/>
      <c r="M45" s="434"/>
      <c r="N45" s="434"/>
      <c r="O45" s="434"/>
      <c r="P45" s="434"/>
      <c r="Q45" s="434"/>
      <c r="R45" s="434"/>
      <c r="S45" s="435"/>
      <c r="T45" s="436"/>
      <c r="U45" s="430"/>
      <c r="V45" s="430"/>
      <c r="W45" s="430"/>
      <c r="X45" s="430"/>
      <c r="Y45" s="430"/>
      <c r="Z45" s="430"/>
      <c r="AA45" s="430"/>
      <c r="AB45" s="430"/>
      <c r="AC45" s="430"/>
      <c r="AD45" s="430"/>
      <c r="AE45" s="430"/>
      <c r="AF45" s="430"/>
      <c r="AG45" s="429"/>
    </row>
    <row r="46" customFormat="false" ht="12.75" hidden="true" customHeight="true" outlineLevel="0" collapsed="false">
      <c r="D46" s="437"/>
      <c r="E46" s="438" t="n">
        <f aca="true" t="array" ref="E46:E46">IF($R44=2,
         IF(AND(ACOMPANHAMENTO="PLE",ISNUMBER($F44)),
                SUMIF((OFFSET(CÁLCULO!$AM$15:$AW$15,$F44,0,OFFSET(ORÇAMENTO!$D$15,CRONO!$F44,0))),CRONO!E$12,OFFSET(CÁLCULO!$AB$15:$AL$15,$F44,0,OFFSET(ORÇAMENTO!$D$15,CRONO!$F44,0)))
                +IF(AND($F46&lt;&gt;"",$F46&lt;&gt;0),
                        SUMIF(CÁLCULO!$AM$15:$AW$21,CRONO!E$12,CÁLCULO!$AB$15:$AL$21)/(ORÇAMENTO!$X$15-CÁLCULO.TotalAdmLocal)*CRONO!$F46,
                        0),
                 E45*$S44),
          SUMIF(OFFSET($S46,1,0,$R44-2),($M44+1)&amp;"$",OFFSET(E46,1,0,$R44-2)))</f>
        <v>0</v>
      </c>
      <c r="F46" s="418" t="str">
        <f aca="true">IF(OR($R44&lt;&gt;2,AUTOEVENTO&lt;&gt;"manual",$F45&gt;0),"",
        IF(Import.TipoArredondamento="Tradicional",
              SUMIF(OFFSET(CÁLCULO!$M$15,CRONO!$F44,0,OFFSET(ORÇAMENTO!$D$15,CRONO!$F44,0)),1,OFFSET(ORÇAMENTO!$X$15,CRONO!$F44,0,OFFSET(ORÇAMENTO!$D$15,CRONO!$F44,0))),
              0))</f>
        <v/>
      </c>
      <c r="H46" s="439"/>
      <c r="S46" s="440" t="str">
        <f aca="false">M44&amp;"$"</f>
        <v>1$</v>
      </c>
      <c r="T46" s="441"/>
      <c r="U46" s="438" t="n">
        <f aca="true" t="array" ref="U46:U46">IF($R44=2,
         IF(AND(ACOMPANHAMENTO="PLE",ISNUMBER($F44)),
                SUMIF((OFFSET(CÁLCULO!$AM$15:$AW$15,$F44,0,OFFSET(ORÇAMENTO!$D$15,CRONO!$F44,0))),CRONO!U$12,OFFSET(CÁLCULO!$AB$15:$AL$15,$F44,0,OFFSET(ORÇAMENTO!$D$15,CRONO!$F44,0)))
                +IF(AND($F46&lt;&gt;"",$F46&lt;&gt;0),
                        SUMIF(CÁLCULO!$AM$15:$AW$21,CRONO!U$12,CÁLCULO!$AB$15:$AL$21)/(ORÇAMENTO!$X$15-CÁLCULO.TotalAdmLocal)*CRONO!$F46,
                        0),
                 U45*$S44),
          SUMIF(OFFSET($S46,1,0,$R44-2),($M44+1)&amp;"$",OFFSET(U46,1,0,$R44-2)))</f>
        <v>0</v>
      </c>
      <c r="V46" s="438" t="n">
        <f aca="true" t="array" ref="V46:V46">IF($R44=2,
         IF(AND(ACOMPANHAMENTO="PLE",ISNUMBER($F44)),
                SUMIF((OFFSET(CÁLCULO!$AM$15:$AW$15,$F44,0,OFFSET(ORÇAMENTO!$D$15,CRONO!$F44,0))),CRONO!V$12,OFFSET(CÁLCULO!$AB$15:$AL$15,$F44,0,OFFSET(ORÇAMENTO!$D$15,CRONO!$F44,0)))
                +IF(AND($F46&lt;&gt;"",$F46&lt;&gt;0),
                        SUMIF(CÁLCULO!$AM$15:$AW$21,CRONO!V$12,CÁLCULO!$AB$15:$AL$21)/(ORÇAMENTO!$X$15-CÁLCULO.TotalAdmLocal)*CRONO!$F46,
                        0),
                 V45*$S44),
          SUMIF(OFFSET($S46,1,0,$R44-2),($M44+1)&amp;"$",OFFSET(V46,1,0,$R44-2)))</f>
        <v>0</v>
      </c>
      <c r="W46" s="438" t="n">
        <f aca="true" t="array" ref="W46:W46">IF($R44=2,
         IF(AND(ACOMPANHAMENTO="PLE",ISNUMBER($F44)),
                SUMIF((OFFSET(CÁLCULO!$AM$15:$AW$15,$F44,0,OFFSET(ORÇAMENTO!$D$15,CRONO!$F44,0))),CRONO!W$12,OFFSET(CÁLCULO!$AB$15:$AL$15,$F44,0,OFFSET(ORÇAMENTO!$D$15,CRONO!$F44,0)))
                +IF(AND($F46&lt;&gt;"",$F46&lt;&gt;0),
                        SUMIF(CÁLCULO!$AM$15:$AW$21,CRONO!W$12,CÁLCULO!$AB$15:$AL$21)/(ORÇAMENTO!$X$15-CÁLCULO.TotalAdmLocal)*CRONO!$F46,
                        0),
                 W45*$S44),
          SUMIF(OFFSET($S46,1,0,$R44-2),($M44+1)&amp;"$",OFFSET(W46,1,0,$R44-2)))</f>
        <v>0</v>
      </c>
      <c r="X46" s="438" t="n">
        <f aca="true" t="array" ref="X46:X46">IF($R44=2,
         IF(AND(ACOMPANHAMENTO="PLE",ISNUMBER($F44)),
                SUMIF((OFFSET(CÁLCULO!$AM$15:$AW$15,$F44,0,OFFSET(ORÇAMENTO!$D$15,CRONO!$F44,0))),CRONO!X$12,OFFSET(CÁLCULO!$AB$15:$AL$15,$F44,0,OFFSET(ORÇAMENTO!$D$15,CRONO!$F44,0)))
                +IF(AND($F46&lt;&gt;"",$F46&lt;&gt;0),
                        SUMIF(CÁLCULO!$AM$15:$AW$21,CRONO!X$12,CÁLCULO!$AB$15:$AL$21)/(ORÇAMENTO!$X$15-CÁLCULO.TotalAdmLocal)*CRONO!$F46,
                        0),
                 X45*$S44),
          SUMIF(OFFSET($S46,1,0,$R44-2),($M44+1)&amp;"$",OFFSET(X46,1,0,$R44-2)))</f>
        <v>0</v>
      </c>
      <c r="Y46" s="438" t="n">
        <f aca="true" t="array" ref="Y46:Y46">IF($R44=2,
         IF(AND(ACOMPANHAMENTO="PLE",ISNUMBER($F44)),
                SUMIF((OFFSET(CÁLCULO!$AM$15:$AW$15,$F44,0,OFFSET(ORÇAMENTO!$D$15,CRONO!$F44,0))),CRONO!Y$12,OFFSET(CÁLCULO!$AB$15:$AL$15,$F44,0,OFFSET(ORÇAMENTO!$D$15,CRONO!$F44,0)))
                +IF(AND($F46&lt;&gt;"",$F46&lt;&gt;0),
                        SUMIF(CÁLCULO!$AM$15:$AW$21,CRONO!Y$12,CÁLCULO!$AB$15:$AL$21)/(ORÇAMENTO!$X$15-CÁLCULO.TotalAdmLocal)*CRONO!$F46,
                        0),
                 Y45*$S44),
          SUMIF(OFFSET($S46,1,0,$R44-2),($M44+1)&amp;"$",OFFSET(Y46,1,0,$R44-2)))</f>
        <v>0</v>
      </c>
      <c r="Z46" s="438" t="n">
        <f aca="true" t="array" ref="Z46:Z46">IF($R44=2,
         IF(AND(ACOMPANHAMENTO="PLE",ISNUMBER($F44)),
                SUMIF((OFFSET(CÁLCULO!$AM$15:$AW$15,$F44,0,OFFSET(ORÇAMENTO!$D$15,CRONO!$F44,0))),CRONO!Z$12,OFFSET(CÁLCULO!$AB$15:$AL$15,$F44,0,OFFSET(ORÇAMENTO!$D$15,CRONO!$F44,0)))
                +IF(AND($F46&lt;&gt;"",$F46&lt;&gt;0),
                        SUMIF(CÁLCULO!$AM$15:$AW$21,CRONO!Z$12,CÁLCULO!$AB$15:$AL$21)/(ORÇAMENTO!$X$15-CÁLCULO.TotalAdmLocal)*CRONO!$F46,
                        0),
                 Z45*$S44),
          SUMIF(OFFSET($S46,1,0,$R44-2),($M44+1)&amp;"$",OFFSET(Z46,1,0,$R44-2)))</f>
        <v>0</v>
      </c>
      <c r="AA46" s="438" t="n">
        <f aca="true" t="array" ref="AA46:AA46">IF($R44=2,
         IF(AND(ACOMPANHAMENTO="PLE",ISNUMBER($F44)),
                SUMIF((OFFSET(CÁLCULO!$AM$15:$AW$15,$F44,0,OFFSET(ORÇAMENTO!$D$15,CRONO!$F44,0))),CRONO!AA$12,OFFSET(CÁLCULO!$AB$15:$AL$15,$F44,0,OFFSET(ORÇAMENTO!$D$15,CRONO!$F44,0)))
                +IF(AND($F46&lt;&gt;"",$F46&lt;&gt;0),
                        SUMIF(CÁLCULO!$AM$15:$AW$21,CRONO!AA$12,CÁLCULO!$AB$15:$AL$21)/(ORÇAMENTO!$X$15-CÁLCULO.TotalAdmLocal)*CRONO!$F46,
                        0),
                 AA45*$S44),
          SUMIF(OFFSET($S46,1,0,$R44-2),($M44+1)&amp;"$",OFFSET(AA46,1,0,$R44-2)))</f>
        <v>0</v>
      </c>
      <c r="AB46" s="438" t="n">
        <f aca="true" t="array" ref="AB46:AB46">IF($R44=2,
         IF(AND(ACOMPANHAMENTO="PLE",ISNUMBER($F44)),
                SUMIF((OFFSET(CÁLCULO!$AM$15:$AW$15,$F44,0,OFFSET(ORÇAMENTO!$D$15,CRONO!$F44,0))),CRONO!AB$12,OFFSET(CÁLCULO!$AB$15:$AL$15,$F44,0,OFFSET(ORÇAMENTO!$D$15,CRONO!$F44,0)))
                +IF(AND($F46&lt;&gt;"",$F46&lt;&gt;0),
                        SUMIF(CÁLCULO!$AM$15:$AW$21,CRONO!AB$12,CÁLCULO!$AB$15:$AL$21)/(ORÇAMENTO!$X$15-CÁLCULO.TotalAdmLocal)*CRONO!$F46,
                        0),
                 AB45*$S44),
          SUMIF(OFFSET($S46,1,0,$R44-2),($M44+1)&amp;"$",OFFSET(AB46,1,0,$R44-2)))</f>
        <v>0</v>
      </c>
      <c r="AC46" s="438" t="n">
        <f aca="true" t="array" ref="AC46:AC46">IF($R44=2,
         IF(AND(ACOMPANHAMENTO="PLE",ISNUMBER($F44)),
                SUMIF((OFFSET(CÁLCULO!$AM$15:$AW$15,$F44,0,OFFSET(ORÇAMENTO!$D$15,CRONO!$F44,0))),CRONO!AC$12,OFFSET(CÁLCULO!$AB$15:$AL$15,$F44,0,OFFSET(ORÇAMENTO!$D$15,CRONO!$F44,0)))
                +IF(AND($F46&lt;&gt;"",$F46&lt;&gt;0),
                        SUMIF(CÁLCULO!$AM$15:$AW$21,CRONO!AC$12,CÁLCULO!$AB$15:$AL$21)/(ORÇAMENTO!$X$15-CÁLCULO.TotalAdmLocal)*CRONO!$F46,
                        0),
                 AC45*$S44),
          SUMIF(OFFSET($S46,1,0,$R44-2),($M44+1)&amp;"$",OFFSET(AC46,1,0,$R44-2)))</f>
        <v>0</v>
      </c>
      <c r="AD46" s="438" t="n">
        <f aca="true" t="array" ref="AD46:AD46">IF($R44=2,
         IF(AND(ACOMPANHAMENTO="PLE",ISNUMBER($F44)),
                SUMIF((OFFSET(CÁLCULO!$AM$15:$AW$15,$F44,0,OFFSET(ORÇAMENTO!$D$15,CRONO!$F44,0))),CRONO!AD$12,OFFSET(CÁLCULO!$AB$15:$AL$15,$F44,0,OFFSET(ORÇAMENTO!$D$15,CRONO!$F44,0)))
                +IF(AND($F46&lt;&gt;"",$F46&lt;&gt;0),
                        SUMIF(CÁLCULO!$AM$15:$AW$21,CRONO!AD$12,CÁLCULO!$AB$15:$AL$21)/(ORÇAMENTO!$X$15-CÁLCULO.TotalAdmLocal)*CRONO!$F46,
                        0),
                 AD45*$S44),
          SUMIF(OFFSET($S46,1,0,$R44-2),($M44+1)&amp;"$",OFFSET(AD46,1,0,$R44-2)))</f>
        <v>0</v>
      </c>
      <c r="AE46" s="438" t="n">
        <f aca="true" t="array" ref="AE46:AE46">IF($R44=2,
         IF(AND(ACOMPANHAMENTO="PLE",ISNUMBER($F44)),
                SUMIF((OFFSET(CÁLCULO!$AM$15:$AW$15,$F44,0,OFFSET(ORÇAMENTO!$D$15,CRONO!$F44,0))),CRONO!AE$12,OFFSET(CÁLCULO!$AB$15:$AL$15,$F44,0,OFFSET(ORÇAMENTO!$D$15,CRONO!$F44,0)))
                +IF(AND($F46&lt;&gt;"",$F46&lt;&gt;0),
                        SUMIF(CÁLCULO!$AM$15:$AW$21,CRONO!AE$12,CÁLCULO!$AB$15:$AL$21)/(ORÇAMENTO!$X$15-CÁLCULO.TotalAdmLocal)*CRONO!$F46,
                        0),
                 AE45*$S44),
          SUMIF(OFFSET($S46,1,0,$R44-2),($M44+1)&amp;"$",OFFSET(AE46,1,0,$R44-2)))</f>
        <v>0</v>
      </c>
      <c r="AF46" s="438" t="n">
        <f aca="true" t="array" ref="AF46:AF46">IF($R44=2,
         IF(AND(ACOMPANHAMENTO="PLE",ISNUMBER($F44)),
                SUMIF((OFFSET(CÁLCULO!$AM$15:$AW$15,$F44,0,OFFSET(ORÇAMENTO!$D$15,CRONO!$F44,0))),CRONO!AF$12,OFFSET(CÁLCULO!$AB$15:$AL$15,$F44,0,OFFSET(ORÇAMENTO!$D$15,CRONO!$F44,0)))
                +IF(AND($F46&lt;&gt;"",$F46&lt;&gt;0),
                        SUMIF(CÁLCULO!$AM$15:$AW$21,CRONO!AF$12,CÁLCULO!$AB$15:$AL$21)/(ORÇAMENTO!$X$15-CÁLCULO.TotalAdmLocal)*CRONO!$F46,
                        0),
                 AF45*$S44),
          SUMIF(OFFSET($S46,1,0,$R44-2),($M44+1)&amp;"$",OFFSET(AF46,1,0,$R44-2)))</f>
        <v>0</v>
      </c>
      <c r="AG46" s="429"/>
    </row>
    <row r="47" customFormat="false" ht="12.75" hidden="false" customHeight="false" outlineLevel="0" collapsed="false">
      <c r="A47" s="380" t="str">
        <f aca="false">IF($M47&gt;1,_xlfn.CONCAT($I47," ",$J47),"")</f>
        <v/>
      </c>
      <c r="B47" s="418" t="n">
        <f aca="true">OFFSET(B47,-3,0)+1</f>
        <v>12</v>
      </c>
      <c r="C47" s="418" t="n">
        <f aca="true">IF($R47&lt;&gt;2,0,IF($S47=0,1,IF(F48&gt;0,OFFSET(QCI!$M$13,SUBSTITUTE(F48,".",""),0),OFFSET(ORÇAMENTO!$AA$15,CRONO!$F47,0))/$S47))</f>
        <v>1</v>
      </c>
      <c r="D47" s="418" t="n">
        <f aca="true">IF($R47&lt;&gt;2,0,IF($S47=0,1,IF(F48&gt;0,OFFSET(QCI!$N$13,SUBSTITUTE(F48,".",""),0),OFFSET(ORÇAMENTO!$AB$15,CRONO!$F47,0))/$S47))</f>
        <v>1</v>
      </c>
      <c r="E47" s="421" t="e">
        <f aca="false" t="array" ref="E47:E47">IF(AND($R47=2,ACOMPANHAMENTO="BM"),ROUND(E48,4),E49/$S47)</f>
        <v>#DIV/0!</v>
      </c>
      <c r="F47" s="418" t="e">
        <f aca="true" t="array" ref="F47:F47">IF(B47&lt;=ORÇAMENTO.MáximoListaCrono,MATCH(B47,ORÇAMENTO.ListaCrono,0),NA())</f>
        <v>#N/A</v>
      </c>
      <c r="G47" s="418" t="str">
        <f aca="false">IF(AND($F48&lt;&gt;-1,$S47&gt;0),"F","")</f>
        <v/>
      </c>
      <c r="H47" s="422" t="str">
        <f aca="false" t="array" ref="H47:H47">IF(OR(S47=0,S47=""),"Linha",IF(AND(OR(ACOMPANHAMENTO="PLE",$R47&lt;&gt;2),$F48=0),"Linha",ROUND(1-SUM(U47:AG47),4)))</f>
        <v>Linha</v>
      </c>
      <c r="I47" s="423" t="n">
        <f aca="true">IF($F48=0,OFFSET(ORÇAMENTO!O$15,$F47,0),IF($F48&lt;&gt;-1,OFFSET(QCI!$D$13,$F48,0),""))</f>
        <v>10</v>
      </c>
      <c r="J47" s="424" t="str">
        <f aca="true">IF($F48=0,OFFSET(ORÇAMENTO!R$15,$F47,0),IF($F48&lt;&gt;-1,OFFSET(QCI!$G$13,$F48,0),""))</f>
        <v/>
      </c>
      <c r="K47" s="424"/>
      <c r="L47" s="424"/>
      <c r="M47" s="425" t="n">
        <f aca="true">IF($F48=0,OFFSET(ORÇAMENTO!C$15,$F47,0),1)</f>
        <v>1</v>
      </c>
      <c r="N47" s="426" t="n">
        <f aca="true">IF($F48=-1,0,IF(N$13&lt;=$M47,IF(ISERROR(MATCH(N$13,OFFSET($M47,1,0,ROW($M$68)-ROW($M47)-1),0)),ROW($M$68)-ROW($M47)-1,MATCH(N$13,OFFSET($M47,1,0,ROW($M$68)-ROW($M47)-1),0)-1),0))</f>
        <v>2</v>
      </c>
      <c r="O47" s="426" t="n">
        <f aca="true">IF($F48=-1,0,IF(O$13&lt;=$M47,IF(ISERROR(MATCH(O$13,OFFSET($M47,1,0,ROW($M$68)-ROW($M47)-1),0)),ROW($M$68)-ROW($M47)-1,MATCH(O$13,OFFSET($M47,1,0,ROW($M$68)-ROW($M47)-1),0)-1),0))</f>
        <v>0</v>
      </c>
      <c r="P47" s="426" t="n">
        <f aca="true">IF($F48=-1,0,IF(P$13&lt;=$M47,IF(ISERROR(MATCH(P$13,OFFSET($M47,1,0,ROW($M$68)-ROW($M47)-1),0)),ROW($M$68)-ROW($M47)-1,MATCH(P$13,OFFSET($M47,1,0,ROW($M$68)-ROW($M47)-1),0)-1),0))</f>
        <v>0</v>
      </c>
      <c r="Q47" s="426" t="n">
        <f aca="true">IF($F48=-1,0,IF(Q$13&lt;=$M47,IF(ISERROR(MATCH(Q$13,OFFSET($M47,1,0,ROW($M$68)-ROW($M47)-1),0)),ROW($M$68)-ROW($M47)-1,MATCH(Q$13,OFFSET($M47,1,0,ROW($M$68)-ROW($M47)-1),0)-1),0))</f>
        <v>0</v>
      </c>
      <c r="R47" s="426" t="n">
        <f aca="true">MIN(OFFSET(M47,0,1,,M47))</f>
        <v>2</v>
      </c>
      <c r="S47" s="427" t="n">
        <f aca="true">IF($F48=0,OFFSET(ORÇAMENTO!X$15,$F47,0),IF($F48&lt;&gt;-1,OFFSET(QCI!$O$13,$F48,0),""))</f>
        <v>0</v>
      </c>
      <c r="T47" s="428" t="s">
        <v>870</v>
      </c>
      <c r="U47" s="421" t="e">
        <f aca="false" t="array" ref="U47:U47">IF(AND($R47=2,ACOMPANHAMENTO="BM"),ROUND(U48,4),U49/$S47)</f>
        <v>#DIV/0!</v>
      </c>
      <c r="V47" s="421" t="e">
        <f aca="false" t="array" ref="V47:V47">IF(AND($R47=2,ACOMPANHAMENTO="BM"),ROUND(V48,4),V49/$S47)</f>
        <v>#DIV/0!</v>
      </c>
      <c r="W47" s="421" t="e">
        <f aca="false" t="array" ref="W47:W47">IF(AND($R47=2,ACOMPANHAMENTO="BM"),ROUND(W48,4),W49/$S47)</f>
        <v>#DIV/0!</v>
      </c>
      <c r="X47" s="421" t="e">
        <f aca="false" t="array" ref="X47:X47">IF(AND($R47=2,ACOMPANHAMENTO="BM"),ROUND(X48,4),X49/$S47)</f>
        <v>#DIV/0!</v>
      </c>
      <c r="Y47" s="421" t="e">
        <f aca="false" t="array" ref="Y47:Y47">IF(AND($R47=2,ACOMPANHAMENTO="BM"),ROUND(Y48,4),Y49/$S47)</f>
        <v>#DIV/0!</v>
      </c>
      <c r="Z47" s="421" t="e">
        <f aca="false" t="array" ref="Z47:Z47">IF(AND($R47=2,ACOMPANHAMENTO="BM"),ROUND(Z48,4),Z49/$S47)</f>
        <v>#DIV/0!</v>
      </c>
      <c r="AA47" s="421" t="e">
        <f aca="false" t="array" ref="AA47:AA47">IF(AND($R47=2,ACOMPANHAMENTO="BM"),ROUND(AA48,4),AA49/$S47)</f>
        <v>#DIV/0!</v>
      </c>
      <c r="AB47" s="421" t="e">
        <f aca="false" t="array" ref="AB47:AB47">IF(AND($R47=2,ACOMPANHAMENTO="BM"),ROUND(AB48,4),AB49/$S47)</f>
        <v>#DIV/0!</v>
      </c>
      <c r="AC47" s="421" t="e">
        <f aca="false" t="array" ref="AC47:AC47">IF(AND($R47=2,ACOMPANHAMENTO="BM"),ROUND(AC48,4),AC49/$S47)</f>
        <v>#DIV/0!</v>
      </c>
      <c r="AD47" s="421" t="e">
        <f aca="false" t="array" ref="AD47:AD47">IF(AND($R47=2,ACOMPANHAMENTO="BM"),ROUND(AD48,4),AD49/$S47)</f>
        <v>#DIV/0!</v>
      </c>
      <c r="AE47" s="421" t="e">
        <f aca="false" t="array" ref="AE47:AE47">IF(AND($R47=2,ACOMPANHAMENTO="BM"),ROUND(AE48,4),AE49/$S47)</f>
        <v>#DIV/0!</v>
      </c>
      <c r="AF47" s="421" t="e">
        <f aca="false" t="array" ref="AF47:AF47">IF(AND($R47=2,ACOMPANHAMENTO="BM"),ROUND(AF48,4),AF49/$S47)</f>
        <v>#DIV/0!</v>
      </c>
      <c r="AG47" s="429"/>
    </row>
    <row r="48" customFormat="false" ht="12.75" hidden="true" customHeight="true" outlineLevel="0" collapsed="false">
      <c r="E48" s="430"/>
      <c r="F48" s="418" t="n">
        <f aca="true">IF(ISERROR(F47),IF(1+COUNTIF($M$13:OFFSET(M47,-1,0),1)&lt;=MAX(QCI!$D$13:$D$24),1+COUNTIF($M$13:OFFSET(M47,-1,0),1),-1),0)</f>
        <v>10</v>
      </c>
      <c r="G48" s="418" t="str">
        <f aca="true" t="array" ref="G48:G48">IF(ACOMPANHAMENTO="BM",OFFSET(G48,-1,0),"")</f>
        <v/>
      </c>
      <c r="H48" s="431" t="str">
        <f aca="false" t="array" ref="H48:H48">IF(OR(S47=0,S47=""),"vazia",IF(AND(OR(ACOMPANHAMENTO="PLE",$R47&lt;&gt;2),$F48=0),"calculada","--&gt;"))</f>
        <v>vazia</v>
      </c>
      <c r="I48" s="432"/>
      <c r="J48" s="433" t="str">
        <f aca="false">IF(AND(H47&lt;&gt;0,ISNUMBER(H47)),"PREENCHA ESTA LINHA --&gt;","")</f>
        <v/>
      </c>
      <c r="K48" s="433"/>
      <c r="L48" s="433"/>
      <c r="M48" s="434"/>
      <c r="N48" s="434"/>
      <c r="O48" s="434"/>
      <c r="P48" s="434"/>
      <c r="Q48" s="434"/>
      <c r="R48" s="434"/>
      <c r="S48" s="435"/>
      <c r="T48" s="436"/>
      <c r="U48" s="430"/>
      <c r="V48" s="430"/>
      <c r="W48" s="430"/>
      <c r="X48" s="430"/>
      <c r="Y48" s="430"/>
      <c r="Z48" s="430"/>
      <c r="AA48" s="430"/>
      <c r="AB48" s="430"/>
      <c r="AC48" s="430"/>
      <c r="AD48" s="430"/>
      <c r="AE48" s="430"/>
      <c r="AF48" s="430"/>
      <c r="AG48" s="429"/>
    </row>
    <row r="49" customFormat="false" ht="12.75" hidden="true" customHeight="true" outlineLevel="0" collapsed="false">
      <c r="D49" s="437"/>
      <c r="E49" s="438" t="n">
        <f aca="true" t="array" ref="E49:E49">IF($R47=2,
         IF(AND(ACOMPANHAMENTO="PLE",ISNUMBER($F47)),
                SUMIF((OFFSET(CÁLCULO!$AM$15:$AW$15,$F47,0,OFFSET(ORÇAMENTO!$D$15,CRONO!$F47,0))),CRONO!E$12,OFFSET(CÁLCULO!$AB$15:$AL$15,$F47,0,OFFSET(ORÇAMENTO!$D$15,CRONO!$F47,0)))
                +IF(AND($F49&lt;&gt;"",$F49&lt;&gt;0),
                        SUMIF(CÁLCULO!$AM$15:$AW$21,CRONO!E$12,CÁLCULO!$AB$15:$AL$21)/(ORÇAMENTO!$X$15-CÁLCULO.TotalAdmLocal)*CRONO!$F49,
                        0),
                 E48*$S47),
          SUMIF(OFFSET($S49,1,0,$R47-2),($M47+1)&amp;"$",OFFSET(E49,1,0,$R47-2)))</f>
        <v>0</v>
      </c>
      <c r="F49" s="418" t="str">
        <f aca="true">IF(OR($R47&lt;&gt;2,AUTOEVENTO&lt;&gt;"manual",$F48&gt;0),"",
        IF(Import.TipoArredondamento="Tradicional",
              SUMIF(OFFSET(CÁLCULO!$M$15,CRONO!$F47,0,OFFSET(ORÇAMENTO!$D$15,CRONO!$F47,0)),1,OFFSET(ORÇAMENTO!$X$15,CRONO!$F47,0,OFFSET(ORÇAMENTO!$D$15,CRONO!$F47,0))),
              0))</f>
        <v/>
      </c>
      <c r="H49" s="439"/>
      <c r="S49" s="440" t="str">
        <f aca="false">M47&amp;"$"</f>
        <v>1$</v>
      </c>
      <c r="T49" s="441"/>
      <c r="U49" s="438" t="n">
        <f aca="true" t="array" ref="U49:U49">IF($R47=2,
         IF(AND(ACOMPANHAMENTO="PLE",ISNUMBER($F47)),
                SUMIF((OFFSET(CÁLCULO!$AM$15:$AW$15,$F47,0,OFFSET(ORÇAMENTO!$D$15,CRONO!$F47,0))),CRONO!U$12,OFFSET(CÁLCULO!$AB$15:$AL$15,$F47,0,OFFSET(ORÇAMENTO!$D$15,CRONO!$F47,0)))
                +IF(AND($F49&lt;&gt;"",$F49&lt;&gt;0),
                        SUMIF(CÁLCULO!$AM$15:$AW$21,CRONO!U$12,CÁLCULO!$AB$15:$AL$21)/(ORÇAMENTO!$X$15-CÁLCULO.TotalAdmLocal)*CRONO!$F49,
                        0),
                 U48*$S47),
          SUMIF(OFFSET($S49,1,0,$R47-2),($M47+1)&amp;"$",OFFSET(U49,1,0,$R47-2)))</f>
        <v>0</v>
      </c>
      <c r="V49" s="438" t="n">
        <f aca="true" t="array" ref="V49:V49">IF($R47=2,
         IF(AND(ACOMPANHAMENTO="PLE",ISNUMBER($F47)),
                SUMIF((OFFSET(CÁLCULO!$AM$15:$AW$15,$F47,0,OFFSET(ORÇAMENTO!$D$15,CRONO!$F47,0))),CRONO!V$12,OFFSET(CÁLCULO!$AB$15:$AL$15,$F47,0,OFFSET(ORÇAMENTO!$D$15,CRONO!$F47,0)))
                +IF(AND($F49&lt;&gt;"",$F49&lt;&gt;0),
                        SUMIF(CÁLCULO!$AM$15:$AW$21,CRONO!V$12,CÁLCULO!$AB$15:$AL$21)/(ORÇAMENTO!$X$15-CÁLCULO.TotalAdmLocal)*CRONO!$F49,
                        0),
                 V48*$S47),
          SUMIF(OFFSET($S49,1,0,$R47-2),($M47+1)&amp;"$",OFFSET(V49,1,0,$R47-2)))</f>
        <v>0</v>
      </c>
      <c r="W49" s="438" t="n">
        <f aca="true" t="array" ref="W49:W49">IF($R47=2,
         IF(AND(ACOMPANHAMENTO="PLE",ISNUMBER($F47)),
                SUMIF((OFFSET(CÁLCULO!$AM$15:$AW$15,$F47,0,OFFSET(ORÇAMENTO!$D$15,CRONO!$F47,0))),CRONO!W$12,OFFSET(CÁLCULO!$AB$15:$AL$15,$F47,0,OFFSET(ORÇAMENTO!$D$15,CRONO!$F47,0)))
                +IF(AND($F49&lt;&gt;"",$F49&lt;&gt;0),
                        SUMIF(CÁLCULO!$AM$15:$AW$21,CRONO!W$12,CÁLCULO!$AB$15:$AL$21)/(ORÇAMENTO!$X$15-CÁLCULO.TotalAdmLocal)*CRONO!$F49,
                        0),
                 W48*$S47),
          SUMIF(OFFSET($S49,1,0,$R47-2),($M47+1)&amp;"$",OFFSET(W49,1,0,$R47-2)))</f>
        <v>0</v>
      </c>
      <c r="X49" s="438" t="n">
        <f aca="true" t="array" ref="X49:X49">IF($R47=2,
         IF(AND(ACOMPANHAMENTO="PLE",ISNUMBER($F47)),
                SUMIF((OFFSET(CÁLCULO!$AM$15:$AW$15,$F47,0,OFFSET(ORÇAMENTO!$D$15,CRONO!$F47,0))),CRONO!X$12,OFFSET(CÁLCULO!$AB$15:$AL$15,$F47,0,OFFSET(ORÇAMENTO!$D$15,CRONO!$F47,0)))
                +IF(AND($F49&lt;&gt;"",$F49&lt;&gt;0),
                        SUMIF(CÁLCULO!$AM$15:$AW$21,CRONO!X$12,CÁLCULO!$AB$15:$AL$21)/(ORÇAMENTO!$X$15-CÁLCULO.TotalAdmLocal)*CRONO!$F49,
                        0),
                 X48*$S47),
          SUMIF(OFFSET($S49,1,0,$R47-2),($M47+1)&amp;"$",OFFSET(X49,1,0,$R47-2)))</f>
        <v>0</v>
      </c>
      <c r="Y49" s="438" t="n">
        <f aca="true" t="array" ref="Y49:Y49">IF($R47=2,
         IF(AND(ACOMPANHAMENTO="PLE",ISNUMBER($F47)),
                SUMIF((OFFSET(CÁLCULO!$AM$15:$AW$15,$F47,0,OFFSET(ORÇAMENTO!$D$15,CRONO!$F47,0))),CRONO!Y$12,OFFSET(CÁLCULO!$AB$15:$AL$15,$F47,0,OFFSET(ORÇAMENTO!$D$15,CRONO!$F47,0)))
                +IF(AND($F49&lt;&gt;"",$F49&lt;&gt;0),
                        SUMIF(CÁLCULO!$AM$15:$AW$21,CRONO!Y$12,CÁLCULO!$AB$15:$AL$21)/(ORÇAMENTO!$X$15-CÁLCULO.TotalAdmLocal)*CRONO!$F49,
                        0),
                 Y48*$S47),
          SUMIF(OFFSET($S49,1,0,$R47-2),($M47+1)&amp;"$",OFFSET(Y49,1,0,$R47-2)))</f>
        <v>0</v>
      </c>
      <c r="Z49" s="438" t="n">
        <f aca="true" t="array" ref="Z49:Z49">IF($R47=2,
         IF(AND(ACOMPANHAMENTO="PLE",ISNUMBER($F47)),
                SUMIF((OFFSET(CÁLCULO!$AM$15:$AW$15,$F47,0,OFFSET(ORÇAMENTO!$D$15,CRONO!$F47,0))),CRONO!Z$12,OFFSET(CÁLCULO!$AB$15:$AL$15,$F47,0,OFFSET(ORÇAMENTO!$D$15,CRONO!$F47,0)))
                +IF(AND($F49&lt;&gt;"",$F49&lt;&gt;0),
                        SUMIF(CÁLCULO!$AM$15:$AW$21,CRONO!Z$12,CÁLCULO!$AB$15:$AL$21)/(ORÇAMENTO!$X$15-CÁLCULO.TotalAdmLocal)*CRONO!$F49,
                        0),
                 Z48*$S47),
          SUMIF(OFFSET($S49,1,0,$R47-2),($M47+1)&amp;"$",OFFSET(Z49,1,0,$R47-2)))</f>
        <v>0</v>
      </c>
      <c r="AA49" s="438" t="n">
        <f aca="true" t="array" ref="AA49:AA49">IF($R47=2,
         IF(AND(ACOMPANHAMENTO="PLE",ISNUMBER($F47)),
                SUMIF((OFFSET(CÁLCULO!$AM$15:$AW$15,$F47,0,OFFSET(ORÇAMENTO!$D$15,CRONO!$F47,0))),CRONO!AA$12,OFFSET(CÁLCULO!$AB$15:$AL$15,$F47,0,OFFSET(ORÇAMENTO!$D$15,CRONO!$F47,0)))
                +IF(AND($F49&lt;&gt;"",$F49&lt;&gt;0),
                        SUMIF(CÁLCULO!$AM$15:$AW$21,CRONO!AA$12,CÁLCULO!$AB$15:$AL$21)/(ORÇAMENTO!$X$15-CÁLCULO.TotalAdmLocal)*CRONO!$F49,
                        0),
                 AA48*$S47),
          SUMIF(OFFSET($S49,1,0,$R47-2),($M47+1)&amp;"$",OFFSET(AA49,1,0,$R47-2)))</f>
        <v>0</v>
      </c>
      <c r="AB49" s="438" t="n">
        <f aca="true" t="array" ref="AB49:AB49">IF($R47=2,
         IF(AND(ACOMPANHAMENTO="PLE",ISNUMBER($F47)),
                SUMIF((OFFSET(CÁLCULO!$AM$15:$AW$15,$F47,0,OFFSET(ORÇAMENTO!$D$15,CRONO!$F47,0))),CRONO!AB$12,OFFSET(CÁLCULO!$AB$15:$AL$15,$F47,0,OFFSET(ORÇAMENTO!$D$15,CRONO!$F47,0)))
                +IF(AND($F49&lt;&gt;"",$F49&lt;&gt;0),
                        SUMIF(CÁLCULO!$AM$15:$AW$21,CRONO!AB$12,CÁLCULO!$AB$15:$AL$21)/(ORÇAMENTO!$X$15-CÁLCULO.TotalAdmLocal)*CRONO!$F49,
                        0),
                 AB48*$S47),
          SUMIF(OFFSET($S49,1,0,$R47-2),($M47+1)&amp;"$",OFFSET(AB49,1,0,$R47-2)))</f>
        <v>0</v>
      </c>
      <c r="AC49" s="438" t="n">
        <f aca="true" t="array" ref="AC49:AC49">IF($R47=2,
         IF(AND(ACOMPANHAMENTO="PLE",ISNUMBER($F47)),
                SUMIF((OFFSET(CÁLCULO!$AM$15:$AW$15,$F47,0,OFFSET(ORÇAMENTO!$D$15,CRONO!$F47,0))),CRONO!AC$12,OFFSET(CÁLCULO!$AB$15:$AL$15,$F47,0,OFFSET(ORÇAMENTO!$D$15,CRONO!$F47,0)))
                +IF(AND($F49&lt;&gt;"",$F49&lt;&gt;0),
                        SUMIF(CÁLCULO!$AM$15:$AW$21,CRONO!AC$12,CÁLCULO!$AB$15:$AL$21)/(ORÇAMENTO!$X$15-CÁLCULO.TotalAdmLocal)*CRONO!$F49,
                        0),
                 AC48*$S47),
          SUMIF(OFFSET($S49,1,0,$R47-2),($M47+1)&amp;"$",OFFSET(AC49,1,0,$R47-2)))</f>
        <v>0</v>
      </c>
      <c r="AD49" s="438" t="n">
        <f aca="true" t="array" ref="AD49:AD49">IF($R47=2,
         IF(AND(ACOMPANHAMENTO="PLE",ISNUMBER($F47)),
                SUMIF((OFFSET(CÁLCULO!$AM$15:$AW$15,$F47,0,OFFSET(ORÇAMENTO!$D$15,CRONO!$F47,0))),CRONO!AD$12,OFFSET(CÁLCULO!$AB$15:$AL$15,$F47,0,OFFSET(ORÇAMENTO!$D$15,CRONO!$F47,0)))
                +IF(AND($F49&lt;&gt;"",$F49&lt;&gt;0),
                        SUMIF(CÁLCULO!$AM$15:$AW$21,CRONO!AD$12,CÁLCULO!$AB$15:$AL$21)/(ORÇAMENTO!$X$15-CÁLCULO.TotalAdmLocal)*CRONO!$F49,
                        0),
                 AD48*$S47),
          SUMIF(OFFSET($S49,1,0,$R47-2),($M47+1)&amp;"$",OFFSET(AD49,1,0,$R47-2)))</f>
        <v>0</v>
      </c>
      <c r="AE49" s="438" t="n">
        <f aca="true" t="array" ref="AE49:AE49">IF($R47=2,
         IF(AND(ACOMPANHAMENTO="PLE",ISNUMBER($F47)),
                SUMIF((OFFSET(CÁLCULO!$AM$15:$AW$15,$F47,0,OFFSET(ORÇAMENTO!$D$15,CRONO!$F47,0))),CRONO!AE$12,OFFSET(CÁLCULO!$AB$15:$AL$15,$F47,0,OFFSET(ORÇAMENTO!$D$15,CRONO!$F47,0)))
                +IF(AND($F49&lt;&gt;"",$F49&lt;&gt;0),
                        SUMIF(CÁLCULO!$AM$15:$AW$21,CRONO!AE$12,CÁLCULO!$AB$15:$AL$21)/(ORÇAMENTO!$X$15-CÁLCULO.TotalAdmLocal)*CRONO!$F49,
                        0),
                 AE48*$S47),
          SUMIF(OFFSET($S49,1,0,$R47-2),($M47+1)&amp;"$",OFFSET(AE49,1,0,$R47-2)))</f>
        <v>0</v>
      </c>
      <c r="AF49" s="438" t="n">
        <f aca="true" t="array" ref="AF49:AF49">IF($R47=2,
         IF(AND(ACOMPANHAMENTO="PLE",ISNUMBER($F47)),
                SUMIF((OFFSET(CÁLCULO!$AM$15:$AW$15,$F47,0,OFFSET(ORÇAMENTO!$D$15,CRONO!$F47,0))),CRONO!AF$12,OFFSET(CÁLCULO!$AB$15:$AL$15,$F47,0,OFFSET(ORÇAMENTO!$D$15,CRONO!$F47,0)))
                +IF(AND($F49&lt;&gt;"",$F49&lt;&gt;0),
                        SUMIF(CÁLCULO!$AM$15:$AW$21,CRONO!AF$12,CÁLCULO!$AB$15:$AL$21)/(ORÇAMENTO!$X$15-CÁLCULO.TotalAdmLocal)*CRONO!$F49,
                        0),
                 AF48*$S47),
          SUMIF(OFFSET($S49,1,0,$R47-2),($M47+1)&amp;"$",OFFSET(AF49,1,0,$R47-2)))</f>
        <v>0</v>
      </c>
      <c r="AG49" s="429"/>
    </row>
    <row r="50" customFormat="false" ht="12.75" hidden="false" customHeight="false" outlineLevel="0" collapsed="false">
      <c r="A50" s="380" t="str">
        <f aca="false">IF($M50&gt;1,_xlfn.CONCAT($I50," ",$J50),"")</f>
        <v/>
      </c>
      <c r="B50" s="418" t="n">
        <f aca="true">OFFSET(B50,-3,0)+1</f>
        <v>13</v>
      </c>
      <c r="C50" s="418" t="n">
        <f aca="true">IF($R50&lt;&gt;2,0,IF($S50=0,1,IF(F51&gt;0,OFFSET(QCI!$M$13,SUBSTITUTE(F51,".",""),0),OFFSET(ORÇAMENTO!$AA$15,CRONO!$F50,0))/$S50))</f>
        <v>0</v>
      </c>
      <c r="D50" s="418" t="n">
        <f aca="true">IF($R50&lt;&gt;2,0,IF($S50=0,1,IF(F51&gt;0,OFFSET(QCI!$N$13,SUBSTITUTE(F51,".",""),0),OFFSET(ORÇAMENTO!$AB$15,CRONO!$F50,0))/$S50))</f>
        <v>0</v>
      </c>
      <c r="E50" s="421" t="e">
        <f aca="false" t="array" ref="E50:E50">IF(AND($R50=2,ACOMPANHAMENTO="BM"),ROUND(E51,4),E52/$S50)</f>
        <v>#VALUE!</v>
      </c>
      <c r="F50" s="418" t="e">
        <f aca="true" t="array" ref="F50:F50">IF(B50&lt;=ORÇAMENTO.MáximoListaCrono,MATCH(B50,ORÇAMENTO.ListaCrono,0),NA())</f>
        <v>#N/A</v>
      </c>
      <c r="G50" s="418" t="str">
        <f aca="false">IF(AND($F51&lt;&gt;-1,$S50&gt;0),"F","")</f>
        <v/>
      </c>
      <c r="H50" s="422" t="str">
        <f aca="false" t="array" ref="H50:H50">IF(OR(S50=0,S50=""),"Linha",IF(AND(OR(ACOMPANHAMENTO="PLE",$R50&lt;&gt;2),$F51=0),"Linha",ROUND(1-SUM(U50:AG50),4)))</f>
        <v>Linha</v>
      </c>
      <c r="I50" s="423" t="str">
        <f aca="true">IF($F51=0,OFFSET(ORÇAMENTO!O$15,$F50,0),IF($F51&lt;&gt;-1,OFFSET(QCI!$D$13,$F51,0),""))</f>
        <v/>
      </c>
      <c r="J50" s="424" t="str">
        <f aca="true">IF($F51=0,OFFSET(ORÇAMENTO!R$15,$F50,0),IF($F51&lt;&gt;-1,OFFSET(QCI!$G$13,$F51,0),""))</f>
        <v/>
      </c>
      <c r="K50" s="424"/>
      <c r="L50" s="424"/>
      <c r="M50" s="425" t="n">
        <f aca="true">IF($F51=0,OFFSET(ORÇAMENTO!C$15,$F50,0),1)</f>
        <v>1</v>
      </c>
      <c r="N50" s="426" t="n">
        <f aca="true">IF($F51=-1,0,IF(N$13&lt;=$M50,IF(ISERROR(MATCH(N$13,OFFSET($M50,1,0,ROW($M$68)-ROW($M50)-1),0)),ROW($M$68)-ROW($M50)-1,MATCH(N$13,OFFSET($M50,1,0,ROW($M$68)-ROW($M50)-1),0)-1),0))</f>
        <v>0</v>
      </c>
      <c r="O50" s="426" t="n">
        <f aca="true">IF($F51=-1,0,IF(O$13&lt;=$M50,IF(ISERROR(MATCH(O$13,OFFSET($M50,1,0,ROW($M$68)-ROW($M50)-1),0)),ROW($M$68)-ROW($M50)-1,MATCH(O$13,OFFSET($M50,1,0,ROW($M$68)-ROW($M50)-1),0)-1),0))</f>
        <v>0</v>
      </c>
      <c r="P50" s="426" t="n">
        <f aca="true">IF($F51=-1,0,IF(P$13&lt;=$M50,IF(ISERROR(MATCH(P$13,OFFSET($M50,1,0,ROW($M$68)-ROW($M50)-1),0)),ROW($M$68)-ROW($M50)-1,MATCH(P$13,OFFSET($M50,1,0,ROW($M$68)-ROW($M50)-1),0)-1),0))</f>
        <v>0</v>
      </c>
      <c r="Q50" s="426" t="n">
        <f aca="true">IF($F51=-1,0,IF(Q$13&lt;=$M50,IF(ISERROR(MATCH(Q$13,OFFSET($M50,1,0,ROW($M$68)-ROW($M50)-1),0)),ROW($M$68)-ROW($M50)-1,MATCH(Q$13,OFFSET($M50,1,0,ROW($M$68)-ROW($M50)-1),0)-1),0))</f>
        <v>0</v>
      </c>
      <c r="R50" s="426" t="n">
        <f aca="true">MIN(OFFSET(M50,0,1,,M50))</f>
        <v>0</v>
      </c>
      <c r="S50" s="427" t="str">
        <f aca="true">IF($F51=0,OFFSET(ORÇAMENTO!X$15,$F50,0),IF($F51&lt;&gt;-1,OFFSET(QCI!$O$13,$F51,0),""))</f>
        <v/>
      </c>
      <c r="T50" s="428" t="s">
        <v>870</v>
      </c>
      <c r="U50" s="421" t="e">
        <f aca="false" t="array" ref="U50:U50">IF(AND($R50=2,ACOMPANHAMENTO="BM"),ROUND(U51,4),U52/$S50)</f>
        <v>#VALUE!</v>
      </c>
      <c r="V50" s="421" t="e">
        <f aca="false" t="array" ref="V50:V50">IF(AND($R50=2,ACOMPANHAMENTO="BM"),ROUND(V51,4),V52/$S50)</f>
        <v>#VALUE!</v>
      </c>
      <c r="W50" s="421" t="e">
        <f aca="false" t="array" ref="W50:W50">IF(AND($R50=2,ACOMPANHAMENTO="BM"),ROUND(W51,4),W52/$S50)</f>
        <v>#VALUE!</v>
      </c>
      <c r="X50" s="421" t="e">
        <f aca="false" t="array" ref="X50:X50">IF(AND($R50=2,ACOMPANHAMENTO="BM"),ROUND(X51,4),X52/$S50)</f>
        <v>#VALUE!</v>
      </c>
      <c r="Y50" s="421" t="e">
        <f aca="false" t="array" ref="Y50:Y50">IF(AND($R50=2,ACOMPANHAMENTO="BM"),ROUND(Y51,4),Y52/$S50)</f>
        <v>#VALUE!</v>
      </c>
      <c r="Z50" s="421" t="e">
        <f aca="false" t="array" ref="Z50:Z50">IF(AND($R50=2,ACOMPANHAMENTO="BM"),ROUND(Z51,4),Z52/$S50)</f>
        <v>#VALUE!</v>
      </c>
      <c r="AA50" s="421" t="e">
        <f aca="false" t="array" ref="AA50:AA50">IF(AND($R50=2,ACOMPANHAMENTO="BM"),ROUND(AA51,4),AA52/$S50)</f>
        <v>#VALUE!</v>
      </c>
      <c r="AB50" s="421" t="e">
        <f aca="false" t="array" ref="AB50:AB50">IF(AND($R50=2,ACOMPANHAMENTO="BM"),ROUND(AB51,4),AB52/$S50)</f>
        <v>#VALUE!</v>
      </c>
      <c r="AC50" s="421" t="e">
        <f aca="false" t="array" ref="AC50:AC50">IF(AND($R50=2,ACOMPANHAMENTO="BM"),ROUND(AC51,4),AC52/$S50)</f>
        <v>#VALUE!</v>
      </c>
      <c r="AD50" s="421" t="e">
        <f aca="false" t="array" ref="AD50:AD50">IF(AND($R50=2,ACOMPANHAMENTO="BM"),ROUND(AD51,4),AD52/$S50)</f>
        <v>#VALUE!</v>
      </c>
      <c r="AE50" s="421" t="e">
        <f aca="false" t="array" ref="AE50:AE50">IF(AND($R50=2,ACOMPANHAMENTO="BM"),ROUND(AE51,4),AE52/$S50)</f>
        <v>#VALUE!</v>
      </c>
      <c r="AF50" s="421" t="e">
        <f aca="false" t="array" ref="AF50:AF50">IF(AND($R50=2,ACOMPANHAMENTO="BM"),ROUND(AF51,4),AF52/$S50)</f>
        <v>#VALUE!</v>
      </c>
      <c r="AG50" s="429"/>
    </row>
    <row r="51" customFormat="false" ht="12.75" hidden="true" customHeight="true" outlineLevel="0" collapsed="false">
      <c r="E51" s="430"/>
      <c r="F51" s="418" t="n">
        <f aca="true">IF(ISERROR(F50),IF(1+COUNTIF($M$13:OFFSET(M50,-1,0),1)&lt;=MAX(QCI!$D$13:$D$24),1+COUNTIF($M$13:OFFSET(M50,-1,0),1),-1),0)</f>
        <v>-1</v>
      </c>
      <c r="G51" s="418" t="str">
        <f aca="true" t="array" ref="G51:G51">IF(ACOMPANHAMENTO="BM",OFFSET(G51,-1,0),"")</f>
        <v/>
      </c>
      <c r="H51" s="431" t="str">
        <f aca="false" t="array" ref="H51:H51">IF(OR(S50=0,S50=""),"vazia",IF(AND(OR(ACOMPANHAMENTO="PLE",$R50&lt;&gt;2),$F51=0),"calculada","--&gt;"))</f>
        <v>vazia</v>
      </c>
      <c r="I51" s="432"/>
      <c r="J51" s="433" t="str">
        <f aca="false">IF(AND(H50&lt;&gt;0,ISNUMBER(H50)),"PREENCHA ESTA LINHA --&gt;","")</f>
        <v/>
      </c>
      <c r="K51" s="433"/>
      <c r="L51" s="433"/>
      <c r="M51" s="434"/>
      <c r="N51" s="434"/>
      <c r="O51" s="434"/>
      <c r="P51" s="434"/>
      <c r="Q51" s="434"/>
      <c r="R51" s="434"/>
      <c r="S51" s="435"/>
      <c r="T51" s="436"/>
      <c r="U51" s="430"/>
      <c r="V51" s="430"/>
      <c r="W51" s="430"/>
      <c r="X51" s="430"/>
      <c r="Y51" s="430"/>
      <c r="Z51" s="430"/>
      <c r="AA51" s="430"/>
      <c r="AB51" s="430"/>
      <c r="AC51" s="430"/>
      <c r="AD51" s="430"/>
      <c r="AE51" s="430"/>
      <c r="AF51" s="430"/>
      <c r="AG51" s="429"/>
    </row>
    <row r="52" customFormat="false" ht="12.75" hidden="true" customHeight="true" outlineLevel="0" collapsed="false">
      <c r="D52" s="437"/>
      <c r="E52" s="438" t="e">
        <f aca="true" t="array" ref="E52:E52">IF($R50=2,
         IF(AND(ACOMPANHAMENTO="PLE",ISNUMBER($F50)),
                SUMIF((OFFSET(CÁLCULO!$AM$15:$AW$15,$F50,0,OFFSET(ORÇAMENTO!$D$15,CRONO!$F50,0))),CRONO!E$12,OFFSET(CÁLCULO!$AB$15:$AL$15,$F50,0,OFFSET(ORÇAMENTO!$D$15,CRONO!$F50,0)))
                +IF(AND($F52&lt;&gt;"",$F52&lt;&gt;0),
                        SUMIF(CÁLCULO!$AM$15:$AW$21,CRONO!E$12,CÁLCULO!$AB$15:$AL$21)/(ORÇAMENTO!$X$15-CÁLCULO.TotalAdmLocal)*CRONO!$F52,
                        0),
                 E51*$S50),
          SUMIF(OFFSET($S52,1,0,$R50-2),($M50+1)&amp;"$",OFFSET(E52,1,0,$R50-2)))</f>
        <v>#VALUE!</v>
      </c>
      <c r="F52" s="418" t="str">
        <f aca="true">IF(OR($R50&lt;&gt;2,AUTOEVENTO&lt;&gt;"manual",$F51&gt;0),"",
        IF(Import.TipoArredondamento="Tradicional",
              SUMIF(OFFSET(CÁLCULO!$M$15,CRONO!$F50,0,OFFSET(ORÇAMENTO!$D$15,CRONO!$F50,0)),1,OFFSET(ORÇAMENTO!$X$15,CRONO!$F50,0,OFFSET(ORÇAMENTO!$D$15,CRONO!$F50,0))),
              0))</f>
        <v/>
      </c>
      <c r="H52" s="439"/>
      <c r="S52" s="440" t="str">
        <f aca="false">M50&amp;"$"</f>
        <v>1$</v>
      </c>
      <c r="T52" s="441"/>
      <c r="U52" s="438" t="e">
        <f aca="true" t="array" ref="U52:U52">IF($R50=2,
         IF(AND(ACOMPANHAMENTO="PLE",ISNUMBER($F50)),
                SUMIF((OFFSET(CÁLCULO!$AM$15:$AW$15,$F50,0,OFFSET(ORÇAMENTO!$D$15,CRONO!$F50,0))),CRONO!U$12,OFFSET(CÁLCULO!$AB$15:$AL$15,$F50,0,OFFSET(ORÇAMENTO!$D$15,CRONO!$F50,0)))
                +IF(AND($F52&lt;&gt;"",$F52&lt;&gt;0),
                        SUMIF(CÁLCULO!$AM$15:$AW$21,CRONO!U$12,CÁLCULO!$AB$15:$AL$21)/(ORÇAMENTO!$X$15-CÁLCULO.TotalAdmLocal)*CRONO!$F52,
                        0),
                 U51*$S50),
          SUMIF(OFFSET($S52,1,0,$R50-2),($M50+1)&amp;"$",OFFSET(U52,1,0,$R50-2)))</f>
        <v>#VALUE!</v>
      </c>
      <c r="V52" s="438" t="e">
        <f aca="true" t="array" ref="V52:V52">IF($R50=2,
         IF(AND(ACOMPANHAMENTO="PLE",ISNUMBER($F50)),
                SUMIF((OFFSET(CÁLCULO!$AM$15:$AW$15,$F50,0,OFFSET(ORÇAMENTO!$D$15,CRONO!$F50,0))),CRONO!V$12,OFFSET(CÁLCULO!$AB$15:$AL$15,$F50,0,OFFSET(ORÇAMENTO!$D$15,CRONO!$F50,0)))
                +IF(AND($F52&lt;&gt;"",$F52&lt;&gt;0),
                        SUMIF(CÁLCULO!$AM$15:$AW$21,CRONO!V$12,CÁLCULO!$AB$15:$AL$21)/(ORÇAMENTO!$X$15-CÁLCULO.TotalAdmLocal)*CRONO!$F52,
                        0),
                 V51*$S50),
          SUMIF(OFFSET($S52,1,0,$R50-2),($M50+1)&amp;"$",OFFSET(V52,1,0,$R50-2)))</f>
        <v>#VALUE!</v>
      </c>
      <c r="W52" s="438" t="e">
        <f aca="true" t="array" ref="W52:W52">IF($R50=2,
         IF(AND(ACOMPANHAMENTO="PLE",ISNUMBER($F50)),
                SUMIF((OFFSET(CÁLCULO!$AM$15:$AW$15,$F50,0,OFFSET(ORÇAMENTO!$D$15,CRONO!$F50,0))),CRONO!W$12,OFFSET(CÁLCULO!$AB$15:$AL$15,$F50,0,OFFSET(ORÇAMENTO!$D$15,CRONO!$F50,0)))
                +IF(AND($F52&lt;&gt;"",$F52&lt;&gt;0),
                        SUMIF(CÁLCULO!$AM$15:$AW$21,CRONO!W$12,CÁLCULO!$AB$15:$AL$21)/(ORÇAMENTO!$X$15-CÁLCULO.TotalAdmLocal)*CRONO!$F52,
                        0),
                 W51*$S50),
          SUMIF(OFFSET($S52,1,0,$R50-2),($M50+1)&amp;"$",OFFSET(W52,1,0,$R50-2)))</f>
        <v>#VALUE!</v>
      </c>
      <c r="X52" s="438" t="e">
        <f aca="true" t="array" ref="X52:X52">IF($R50=2,
         IF(AND(ACOMPANHAMENTO="PLE",ISNUMBER($F50)),
                SUMIF((OFFSET(CÁLCULO!$AM$15:$AW$15,$F50,0,OFFSET(ORÇAMENTO!$D$15,CRONO!$F50,0))),CRONO!X$12,OFFSET(CÁLCULO!$AB$15:$AL$15,$F50,0,OFFSET(ORÇAMENTO!$D$15,CRONO!$F50,0)))
                +IF(AND($F52&lt;&gt;"",$F52&lt;&gt;0),
                        SUMIF(CÁLCULO!$AM$15:$AW$21,CRONO!X$12,CÁLCULO!$AB$15:$AL$21)/(ORÇAMENTO!$X$15-CÁLCULO.TotalAdmLocal)*CRONO!$F52,
                        0),
                 X51*$S50),
          SUMIF(OFFSET($S52,1,0,$R50-2),($M50+1)&amp;"$",OFFSET(X52,1,0,$R50-2)))</f>
        <v>#VALUE!</v>
      </c>
      <c r="Y52" s="438" t="e">
        <f aca="true" t="array" ref="Y52:Y52">IF($R50=2,
         IF(AND(ACOMPANHAMENTO="PLE",ISNUMBER($F50)),
                SUMIF((OFFSET(CÁLCULO!$AM$15:$AW$15,$F50,0,OFFSET(ORÇAMENTO!$D$15,CRONO!$F50,0))),CRONO!Y$12,OFFSET(CÁLCULO!$AB$15:$AL$15,$F50,0,OFFSET(ORÇAMENTO!$D$15,CRONO!$F50,0)))
                +IF(AND($F52&lt;&gt;"",$F52&lt;&gt;0),
                        SUMIF(CÁLCULO!$AM$15:$AW$21,CRONO!Y$12,CÁLCULO!$AB$15:$AL$21)/(ORÇAMENTO!$X$15-CÁLCULO.TotalAdmLocal)*CRONO!$F52,
                        0),
                 Y51*$S50),
          SUMIF(OFFSET($S52,1,0,$R50-2),($M50+1)&amp;"$",OFFSET(Y52,1,0,$R50-2)))</f>
        <v>#VALUE!</v>
      </c>
      <c r="Z52" s="438" t="e">
        <f aca="true" t="array" ref="Z52:Z52">IF($R50=2,
         IF(AND(ACOMPANHAMENTO="PLE",ISNUMBER($F50)),
                SUMIF((OFFSET(CÁLCULO!$AM$15:$AW$15,$F50,0,OFFSET(ORÇAMENTO!$D$15,CRONO!$F50,0))),CRONO!Z$12,OFFSET(CÁLCULO!$AB$15:$AL$15,$F50,0,OFFSET(ORÇAMENTO!$D$15,CRONO!$F50,0)))
                +IF(AND($F52&lt;&gt;"",$F52&lt;&gt;0),
                        SUMIF(CÁLCULO!$AM$15:$AW$21,CRONO!Z$12,CÁLCULO!$AB$15:$AL$21)/(ORÇAMENTO!$X$15-CÁLCULO.TotalAdmLocal)*CRONO!$F52,
                        0),
                 Z51*$S50),
          SUMIF(OFFSET($S52,1,0,$R50-2),($M50+1)&amp;"$",OFFSET(Z52,1,0,$R50-2)))</f>
        <v>#VALUE!</v>
      </c>
      <c r="AA52" s="438" t="e">
        <f aca="true" t="array" ref="AA52:AA52">IF($R50=2,
         IF(AND(ACOMPANHAMENTO="PLE",ISNUMBER($F50)),
                SUMIF((OFFSET(CÁLCULO!$AM$15:$AW$15,$F50,0,OFFSET(ORÇAMENTO!$D$15,CRONO!$F50,0))),CRONO!AA$12,OFFSET(CÁLCULO!$AB$15:$AL$15,$F50,0,OFFSET(ORÇAMENTO!$D$15,CRONO!$F50,0)))
                +IF(AND($F52&lt;&gt;"",$F52&lt;&gt;0),
                        SUMIF(CÁLCULO!$AM$15:$AW$21,CRONO!AA$12,CÁLCULO!$AB$15:$AL$21)/(ORÇAMENTO!$X$15-CÁLCULO.TotalAdmLocal)*CRONO!$F52,
                        0),
                 AA51*$S50),
          SUMIF(OFFSET($S52,1,0,$R50-2),($M50+1)&amp;"$",OFFSET(AA52,1,0,$R50-2)))</f>
        <v>#VALUE!</v>
      </c>
      <c r="AB52" s="438" t="e">
        <f aca="true" t="array" ref="AB52:AB52">IF($R50=2,
         IF(AND(ACOMPANHAMENTO="PLE",ISNUMBER($F50)),
                SUMIF((OFFSET(CÁLCULO!$AM$15:$AW$15,$F50,0,OFFSET(ORÇAMENTO!$D$15,CRONO!$F50,0))),CRONO!AB$12,OFFSET(CÁLCULO!$AB$15:$AL$15,$F50,0,OFFSET(ORÇAMENTO!$D$15,CRONO!$F50,0)))
                +IF(AND($F52&lt;&gt;"",$F52&lt;&gt;0),
                        SUMIF(CÁLCULO!$AM$15:$AW$21,CRONO!AB$12,CÁLCULO!$AB$15:$AL$21)/(ORÇAMENTO!$X$15-CÁLCULO.TotalAdmLocal)*CRONO!$F52,
                        0),
                 AB51*$S50),
          SUMIF(OFFSET($S52,1,0,$R50-2),($M50+1)&amp;"$",OFFSET(AB52,1,0,$R50-2)))</f>
        <v>#VALUE!</v>
      </c>
      <c r="AC52" s="438" t="e">
        <f aca="true" t="array" ref="AC52:AC52">IF($R50=2,
         IF(AND(ACOMPANHAMENTO="PLE",ISNUMBER($F50)),
                SUMIF((OFFSET(CÁLCULO!$AM$15:$AW$15,$F50,0,OFFSET(ORÇAMENTO!$D$15,CRONO!$F50,0))),CRONO!AC$12,OFFSET(CÁLCULO!$AB$15:$AL$15,$F50,0,OFFSET(ORÇAMENTO!$D$15,CRONO!$F50,0)))
                +IF(AND($F52&lt;&gt;"",$F52&lt;&gt;0),
                        SUMIF(CÁLCULO!$AM$15:$AW$21,CRONO!AC$12,CÁLCULO!$AB$15:$AL$21)/(ORÇAMENTO!$X$15-CÁLCULO.TotalAdmLocal)*CRONO!$F52,
                        0),
                 AC51*$S50),
          SUMIF(OFFSET($S52,1,0,$R50-2),($M50+1)&amp;"$",OFFSET(AC52,1,0,$R50-2)))</f>
        <v>#VALUE!</v>
      </c>
      <c r="AD52" s="438" t="e">
        <f aca="true" t="array" ref="AD52:AD52">IF($R50=2,
         IF(AND(ACOMPANHAMENTO="PLE",ISNUMBER($F50)),
                SUMIF((OFFSET(CÁLCULO!$AM$15:$AW$15,$F50,0,OFFSET(ORÇAMENTO!$D$15,CRONO!$F50,0))),CRONO!AD$12,OFFSET(CÁLCULO!$AB$15:$AL$15,$F50,0,OFFSET(ORÇAMENTO!$D$15,CRONO!$F50,0)))
                +IF(AND($F52&lt;&gt;"",$F52&lt;&gt;0),
                        SUMIF(CÁLCULO!$AM$15:$AW$21,CRONO!AD$12,CÁLCULO!$AB$15:$AL$21)/(ORÇAMENTO!$X$15-CÁLCULO.TotalAdmLocal)*CRONO!$F52,
                        0),
                 AD51*$S50),
          SUMIF(OFFSET($S52,1,0,$R50-2),($M50+1)&amp;"$",OFFSET(AD52,1,0,$R50-2)))</f>
        <v>#VALUE!</v>
      </c>
      <c r="AE52" s="438" t="e">
        <f aca="true" t="array" ref="AE52:AE52">IF($R50=2,
         IF(AND(ACOMPANHAMENTO="PLE",ISNUMBER($F50)),
                SUMIF((OFFSET(CÁLCULO!$AM$15:$AW$15,$F50,0,OFFSET(ORÇAMENTO!$D$15,CRONO!$F50,0))),CRONO!AE$12,OFFSET(CÁLCULO!$AB$15:$AL$15,$F50,0,OFFSET(ORÇAMENTO!$D$15,CRONO!$F50,0)))
                +IF(AND($F52&lt;&gt;"",$F52&lt;&gt;0),
                        SUMIF(CÁLCULO!$AM$15:$AW$21,CRONO!AE$12,CÁLCULO!$AB$15:$AL$21)/(ORÇAMENTO!$X$15-CÁLCULO.TotalAdmLocal)*CRONO!$F52,
                        0),
                 AE51*$S50),
          SUMIF(OFFSET($S52,1,0,$R50-2),($M50+1)&amp;"$",OFFSET(AE52,1,0,$R50-2)))</f>
        <v>#VALUE!</v>
      </c>
      <c r="AF52" s="438" t="e">
        <f aca="true" t="array" ref="AF52:AF52">IF($R50=2,
         IF(AND(ACOMPANHAMENTO="PLE",ISNUMBER($F50)),
                SUMIF((OFFSET(CÁLCULO!$AM$15:$AW$15,$F50,0,OFFSET(ORÇAMENTO!$D$15,CRONO!$F50,0))),CRONO!AF$12,OFFSET(CÁLCULO!$AB$15:$AL$15,$F50,0,OFFSET(ORÇAMENTO!$D$15,CRONO!$F50,0)))
                +IF(AND($F52&lt;&gt;"",$F52&lt;&gt;0),
                        SUMIF(CÁLCULO!$AM$15:$AW$21,CRONO!AF$12,CÁLCULO!$AB$15:$AL$21)/(ORÇAMENTO!$X$15-CÁLCULO.TotalAdmLocal)*CRONO!$F52,
                        0),
                 AF51*$S50),
          SUMIF(OFFSET($S52,1,0,$R50-2),($M50+1)&amp;"$",OFFSET(AF52,1,0,$R50-2)))</f>
        <v>#VALUE!</v>
      </c>
      <c r="AG52" s="429"/>
    </row>
    <row r="53" customFormat="false" ht="12.75" hidden="false" customHeight="false" outlineLevel="0" collapsed="false">
      <c r="A53" s="380" t="str">
        <f aca="false">IF($M53&gt;1,_xlfn.CONCAT($I53," ",$J53),"")</f>
        <v/>
      </c>
      <c r="B53" s="418" t="n">
        <f aca="true">OFFSET(B53,-3,0)+1</f>
        <v>14</v>
      </c>
      <c r="C53" s="418" t="n">
        <f aca="true">IF($R53&lt;&gt;2,0,IF($S53=0,1,IF(F54&gt;0,OFFSET(QCI!$M$13,SUBSTITUTE(F54,".",""),0),OFFSET(ORÇAMENTO!$AA$15,CRONO!$F53,0))/$S53))</f>
        <v>0</v>
      </c>
      <c r="D53" s="418" t="n">
        <f aca="true">IF($R53&lt;&gt;2,0,IF($S53=0,1,IF(F54&gt;0,OFFSET(QCI!$N$13,SUBSTITUTE(F54,".",""),0),OFFSET(ORÇAMENTO!$AB$15,CRONO!$F53,0))/$S53))</f>
        <v>0</v>
      </c>
      <c r="E53" s="421" t="e">
        <f aca="false" t="array" ref="E53:E53">IF(AND($R53=2,ACOMPANHAMENTO="BM"),ROUND(E54,4),E55/$S53)</f>
        <v>#VALUE!</v>
      </c>
      <c r="F53" s="418" t="e">
        <f aca="true" t="array" ref="F53:F53">IF(B53&lt;=ORÇAMENTO.MáximoListaCrono,MATCH(B53,ORÇAMENTO.ListaCrono,0),NA())</f>
        <v>#N/A</v>
      </c>
      <c r="G53" s="418" t="str">
        <f aca="false">IF(AND($F54&lt;&gt;-1,$S53&gt;0),"F","")</f>
        <v/>
      </c>
      <c r="H53" s="422" t="str">
        <f aca="false" t="array" ref="H53:H53">IF(OR(S53=0,S53=""),"Linha",IF(AND(OR(ACOMPANHAMENTO="PLE",$R53&lt;&gt;2),$F54=0),"Linha",ROUND(1-SUM(U53:AG53),4)))</f>
        <v>Linha</v>
      </c>
      <c r="I53" s="423" t="str">
        <f aca="true">IF($F54=0,OFFSET(ORÇAMENTO!O$15,$F53,0),IF($F54&lt;&gt;-1,OFFSET(QCI!$D$13,$F54,0),""))</f>
        <v/>
      </c>
      <c r="J53" s="424" t="str">
        <f aca="true">IF($F54=0,OFFSET(ORÇAMENTO!R$15,$F53,0),IF($F54&lt;&gt;-1,OFFSET(QCI!$G$13,$F54,0),""))</f>
        <v/>
      </c>
      <c r="K53" s="424"/>
      <c r="L53" s="424"/>
      <c r="M53" s="425" t="n">
        <f aca="true">IF($F54=0,OFFSET(ORÇAMENTO!C$15,$F53,0),1)</f>
        <v>1</v>
      </c>
      <c r="N53" s="426" t="n">
        <f aca="true">IF($F54=-1,0,IF(N$13&lt;=$M53,IF(ISERROR(MATCH(N$13,OFFSET($M53,1,0,ROW($M$68)-ROW($M53)-1),0)),ROW($M$68)-ROW($M53)-1,MATCH(N$13,OFFSET($M53,1,0,ROW($M$68)-ROW($M53)-1),0)-1),0))</f>
        <v>0</v>
      </c>
      <c r="O53" s="426" t="n">
        <f aca="true">IF($F54=-1,0,IF(O$13&lt;=$M53,IF(ISERROR(MATCH(O$13,OFFSET($M53,1,0,ROW($M$68)-ROW($M53)-1),0)),ROW($M$68)-ROW($M53)-1,MATCH(O$13,OFFSET($M53,1,0,ROW($M$68)-ROW($M53)-1),0)-1),0))</f>
        <v>0</v>
      </c>
      <c r="P53" s="426" t="n">
        <f aca="true">IF($F54=-1,0,IF(P$13&lt;=$M53,IF(ISERROR(MATCH(P$13,OFFSET($M53,1,0,ROW($M$68)-ROW($M53)-1),0)),ROW($M$68)-ROW($M53)-1,MATCH(P$13,OFFSET($M53,1,0,ROW($M$68)-ROW($M53)-1),0)-1),0))</f>
        <v>0</v>
      </c>
      <c r="Q53" s="426" t="n">
        <f aca="true">IF($F54=-1,0,IF(Q$13&lt;=$M53,IF(ISERROR(MATCH(Q$13,OFFSET($M53,1,0,ROW($M$68)-ROW($M53)-1),0)),ROW($M$68)-ROW($M53)-1,MATCH(Q$13,OFFSET($M53,1,0,ROW($M$68)-ROW($M53)-1),0)-1),0))</f>
        <v>0</v>
      </c>
      <c r="R53" s="426" t="n">
        <f aca="true">MIN(OFFSET(M53,0,1,,M53))</f>
        <v>0</v>
      </c>
      <c r="S53" s="427" t="str">
        <f aca="true">IF($F54=0,OFFSET(ORÇAMENTO!X$15,$F53,0),IF($F54&lt;&gt;-1,OFFSET(QCI!$O$13,$F54,0),""))</f>
        <v/>
      </c>
      <c r="T53" s="428" t="s">
        <v>870</v>
      </c>
      <c r="U53" s="421" t="e">
        <f aca="false" t="array" ref="U53:U53">IF(AND($R53=2,ACOMPANHAMENTO="BM"),ROUND(U54,4),U55/$S53)</f>
        <v>#VALUE!</v>
      </c>
      <c r="V53" s="421" t="e">
        <f aca="false" t="array" ref="V53:V53">IF(AND($R53=2,ACOMPANHAMENTO="BM"),ROUND(V54,4),V55/$S53)</f>
        <v>#VALUE!</v>
      </c>
      <c r="W53" s="421" t="e">
        <f aca="false" t="array" ref="W53:W53">IF(AND($R53=2,ACOMPANHAMENTO="BM"),ROUND(W54,4),W55/$S53)</f>
        <v>#VALUE!</v>
      </c>
      <c r="X53" s="421" t="e">
        <f aca="false" t="array" ref="X53:X53">IF(AND($R53=2,ACOMPANHAMENTO="BM"),ROUND(X54,4),X55/$S53)</f>
        <v>#VALUE!</v>
      </c>
      <c r="Y53" s="421" t="e">
        <f aca="false" t="array" ref="Y53:Y53">IF(AND($R53=2,ACOMPANHAMENTO="BM"),ROUND(Y54,4),Y55/$S53)</f>
        <v>#VALUE!</v>
      </c>
      <c r="Z53" s="421" t="e">
        <f aca="false" t="array" ref="Z53:Z53">IF(AND($R53=2,ACOMPANHAMENTO="BM"),ROUND(Z54,4),Z55/$S53)</f>
        <v>#VALUE!</v>
      </c>
      <c r="AA53" s="421" t="e">
        <f aca="false" t="array" ref="AA53:AA53">IF(AND($R53=2,ACOMPANHAMENTO="BM"),ROUND(AA54,4),AA55/$S53)</f>
        <v>#VALUE!</v>
      </c>
      <c r="AB53" s="421" t="e">
        <f aca="false" t="array" ref="AB53:AB53">IF(AND($R53=2,ACOMPANHAMENTO="BM"),ROUND(AB54,4),AB55/$S53)</f>
        <v>#VALUE!</v>
      </c>
      <c r="AC53" s="421" t="e">
        <f aca="false" t="array" ref="AC53:AC53">IF(AND($R53=2,ACOMPANHAMENTO="BM"),ROUND(AC54,4),AC55/$S53)</f>
        <v>#VALUE!</v>
      </c>
      <c r="AD53" s="421" t="e">
        <f aca="false" t="array" ref="AD53:AD53">IF(AND($R53=2,ACOMPANHAMENTO="BM"),ROUND(AD54,4),AD55/$S53)</f>
        <v>#VALUE!</v>
      </c>
      <c r="AE53" s="421" t="e">
        <f aca="false" t="array" ref="AE53:AE53">IF(AND($R53=2,ACOMPANHAMENTO="BM"),ROUND(AE54,4),AE55/$S53)</f>
        <v>#VALUE!</v>
      </c>
      <c r="AF53" s="421" t="e">
        <f aca="false" t="array" ref="AF53:AF53">IF(AND($R53=2,ACOMPANHAMENTO="BM"),ROUND(AF54,4),AF55/$S53)</f>
        <v>#VALUE!</v>
      </c>
      <c r="AG53" s="429"/>
    </row>
    <row r="54" customFormat="false" ht="12.75" hidden="true" customHeight="true" outlineLevel="0" collapsed="false">
      <c r="E54" s="430"/>
      <c r="F54" s="418" t="n">
        <f aca="true">IF(ISERROR(F53),IF(1+COUNTIF($M$13:OFFSET(M53,-1,0),1)&lt;=MAX(QCI!$D$13:$D$24),1+COUNTIF($M$13:OFFSET(M53,-1,0),1),-1),0)</f>
        <v>-1</v>
      </c>
      <c r="G54" s="418" t="str">
        <f aca="true" t="array" ref="G54:G54">IF(ACOMPANHAMENTO="BM",OFFSET(G54,-1,0),"")</f>
        <v/>
      </c>
      <c r="H54" s="431" t="str">
        <f aca="false" t="array" ref="H54:H54">IF(OR(S53=0,S53=""),"vazia",IF(AND(OR(ACOMPANHAMENTO="PLE",$R53&lt;&gt;2),$F54=0),"calculada","--&gt;"))</f>
        <v>vazia</v>
      </c>
      <c r="I54" s="432"/>
      <c r="J54" s="433" t="str">
        <f aca="false">IF(AND(H53&lt;&gt;0,ISNUMBER(H53)),"PREENCHA ESTA LINHA --&gt;","")</f>
        <v/>
      </c>
      <c r="K54" s="433"/>
      <c r="L54" s="433"/>
      <c r="M54" s="434"/>
      <c r="N54" s="434"/>
      <c r="O54" s="434"/>
      <c r="P54" s="434"/>
      <c r="Q54" s="434"/>
      <c r="R54" s="434"/>
      <c r="S54" s="435"/>
      <c r="T54" s="436"/>
      <c r="U54" s="430"/>
      <c r="V54" s="430"/>
      <c r="W54" s="430"/>
      <c r="X54" s="430"/>
      <c r="Y54" s="430"/>
      <c r="Z54" s="430"/>
      <c r="AA54" s="430"/>
      <c r="AB54" s="430"/>
      <c r="AC54" s="430"/>
      <c r="AD54" s="430"/>
      <c r="AE54" s="430"/>
      <c r="AF54" s="430"/>
      <c r="AG54" s="429"/>
    </row>
    <row r="55" customFormat="false" ht="12.75" hidden="true" customHeight="true" outlineLevel="0" collapsed="false">
      <c r="D55" s="437"/>
      <c r="E55" s="438" t="e">
        <f aca="true" t="array" ref="E55:E55">IF($R53=2,
         IF(AND(ACOMPANHAMENTO="PLE",ISNUMBER($F53)),
                SUMIF((OFFSET(CÁLCULO!$AM$15:$AW$15,$F53,0,OFFSET(ORÇAMENTO!$D$15,CRONO!$F53,0))),CRONO!E$12,OFFSET(CÁLCULO!$AB$15:$AL$15,$F53,0,OFFSET(ORÇAMENTO!$D$15,CRONO!$F53,0)))
                +IF(AND($F55&lt;&gt;"",$F55&lt;&gt;0),
                        SUMIF(CÁLCULO!$AM$15:$AW$21,CRONO!E$12,CÁLCULO!$AB$15:$AL$21)/(ORÇAMENTO!$X$15-CÁLCULO.TotalAdmLocal)*CRONO!$F55,
                        0),
                 E54*$S53),
          SUMIF(OFFSET($S55,1,0,$R53-2),($M53+1)&amp;"$",OFFSET(E55,1,0,$R53-2)))</f>
        <v>#VALUE!</v>
      </c>
      <c r="F55" s="418" t="str">
        <f aca="true">IF(OR($R53&lt;&gt;2,AUTOEVENTO&lt;&gt;"manual",$F54&gt;0),"",
        IF(Import.TipoArredondamento="Tradicional",
              SUMIF(OFFSET(CÁLCULO!$M$15,CRONO!$F53,0,OFFSET(ORÇAMENTO!$D$15,CRONO!$F53,0)),1,OFFSET(ORÇAMENTO!$X$15,CRONO!$F53,0,OFFSET(ORÇAMENTO!$D$15,CRONO!$F53,0))),
              0))</f>
        <v/>
      </c>
      <c r="H55" s="439"/>
      <c r="S55" s="440" t="str">
        <f aca="false">M53&amp;"$"</f>
        <v>1$</v>
      </c>
      <c r="T55" s="441"/>
      <c r="U55" s="438" t="e">
        <f aca="true" t="array" ref="U55:U55">IF($R53=2,
         IF(AND(ACOMPANHAMENTO="PLE",ISNUMBER($F53)),
                SUMIF((OFFSET(CÁLCULO!$AM$15:$AW$15,$F53,0,OFFSET(ORÇAMENTO!$D$15,CRONO!$F53,0))),CRONO!U$12,OFFSET(CÁLCULO!$AB$15:$AL$15,$F53,0,OFFSET(ORÇAMENTO!$D$15,CRONO!$F53,0)))
                +IF(AND($F55&lt;&gt;"",$F55&lt;&gt;0),
                        SUMIF(CÁLCULO!$AM$15:$AW$21,CRONO!U$12,CÁLCULO!$AB$15:$AL$21)/(ORÇAMENTO!$X$15-CÁLCULO.TotalAdmLocal)*CRONO!$F55,
                        0),
                 U54*$S53),
          SUMIF(OFFSET($S55,1,0,$R53-2),($M53+1)&amp;"$",OFFSET(U55,1,0,$R53-2)))</f>
        <v>#VALUE!</v>
      </c>
      <c r="V55" s="438" t="e">
        <f aca="true" t="array" ref="V55:V55">IF($R53=2,
         IF(AND(ACOMPANHAMENTO="PLE",ISNUMBER($F53)),
                SUMIF((OFFSET(CÁLCULO!$AM$15:$AW$15,$F53,0,OFFSET(ORÇAMENTO!$D$15,CRONO!$F53,0))),CRONO!V$12,OFFSET(CÁLCULO!$AB$15:$AL$15,$F53,0,OFFSET(ORÇAMENTO!$D$15,CRONO!$F53,0)))
                +IF(AND($F55&lt;&gt;"",$F55&lt;&gt;0),
                        SUMIF(CÁLCULO!$AM$15:$AW$21,CRONO!V$12,CÁLCULO!$AB$15:$AL$21)/(ORÇAMENTO!$X$15-CÁLCULO.TotalAdmLocal)*CRONO!$F55,
                        0),
                 V54*$S53),
          SUMIF(OFFSET($S55,1,0,$R53-2),($M53+1)&amp;"$",OFFSET(V55,1,0,$R53-2)))</f>
        <v>#VALUE!</v>
      </c>
      <c r="W55" s="438" t="e">
        <f aca="true" t="array" ref="W55:W55">IF($R53=2,
         IF(AND(ACOMPANHAMENTO="PLE",ISNUMBER($F53)),
                SUMIF((OFFSET(CÁLCULO!$AM$15:$AW$15,$F53,0,OFFSET(ORÇAMENTO!$D$15,CRONO!$F53,0))),CRONO!W$12,OFFSET(CÁLCULO!$AB$15:$AL$15,$F53,0,OFFSET(ORÇAMENTO!$D$15,CRONO!$F53,0)))
                +IF(AND($F55&lt;&gt;"",$F55&lt;&gt;0),
                        SUMIF(CÁLCULO!$AM$15:$AW$21,CRONO!W$12,CÁLCULO!$AB$15:$AL$21)/(ORÇAMENTO!$X$15-CÁLCULO.TotalAdmLocal)*CRONO!$F55,
                        0),
                 W54*$S53),
          SUMIF(OFFSET($S55,1,0,$R53-2),($M53+1)&amp;"$",OFFSET(W55,1,0,$R53-2)))</f>
        <v>#VALUE!</v>
      </c>
      <c r="X55" s="438" t="e">
        <f aca="true" t="array" ref="X55:X55">IF($R53=2,
         IF(AND(ACOMPANHAMENTO="PLE",ISNUMBER($F53)),
                SUMIF((OFFSET(CÁLCULO!$AM$15:$AW$15,$F53,0,OFFSET(ORÇAMENTO!$D$15,CRONO!$F53,0))),CRONO!X$12,OFFSET(CÁLCULO!$AB$15:$AL$15,$F53,0,OFFSET(ORÇAMENTO!$D$15,CRONO!$F53,0)))
                +IF(AND($F55&lt;&gt;"",$F55&lt;&gt;0),
                        SUMIF(CÁLCULO!$AM$15:$AW$21,CRONO!X$12,CÁLCULO!$AB$15:$AL$21)/(ORÇAMENTO!$X$15-CÁLCULO.TotalAdmLocal)*CRONO!$F55,
                        0),
                 X54*$S53),
          SUMIF(OFFSET($S55,1,0,$R53-2),($M53+1)&amp;"$",OFFSET(X55,1,0,$R53-2)))</f>
        <v>#VALUE!</v>
      </c>
      <c r="Y55" s="438" t="e">
        <f aca="true" t="array" ref="Y55:Y55">IF($R53=2,
         IF(AND(ACOMPANHAMENTO="PLE",ISNUMBER($F53)),
                SUMIF((OFFSET(CÁLCULO!$AM$15:$AW$15,$F53,0,OFFSET(ORÇAMENTO!$D$15,CRONO!$F53,0))),CRONO!Y$12,OFFSET(CÁLCULO!$AB$15:$AL$15,$F53,0,OFFSET(ORÇAMENTO!$D$15,CRONO!$F53,0)))
                +IF(AND($F55&lt;&gt;"",$F55&lt;&gt;0),
                        SUMIF(CÁLCULO!$AM$15:$AW$21,CRONO!Y$12,CÁLCULO!$AB$15:$AL$21)/(ORÇAMENTO!$X$15-CÁLCULO.TotalAdmLocal)*CRONO!$F55,
                        0),
                 Y54*$S53),
          SUMIF(OFFSET($S55,1,0,$R53-2),($M53+1)&amp;"$",OFFSET(Y55,1,0,$R53-2)))</f>
        <v>#VALUE!</v>
      </c>
      <c r="Z55" s="438" t="e">
        <f aca="true" t="array" ref="Z55:Z55">IF($R53=2,
         IF(AND(ACOMPANHAMENTO="PLE",ISNUMBER($F53)),
                SUMIF((OFFSET(CÁLCULO!$AM$15:$AW$15,$F53,0,OFFSET(ORÇAMENTO!$D$15,CRONO!$F53,0))),CRONO!Z$12,OFFSET(CÁLCULO!$AB$15:$AL$15,$F53,0,OFFSET(ORÇAMENTO!$D$15,CRONO!$F53,0)))
                +IF(AND($F55&lt;&gt;"",$F55&lt;&gt;0),
                        SUMIF(CÁLCULO!$AM$15:$AW$21,CRONO!Z$12,CÁLCULO!$AB$15:$AL$21)/(ORÇAMENTO!$X$15-CÁLCULO.TotalAdmLocal)*CRONO!$F55,
                        0),
                 Z54*$S53),
          SUMIF(OFFSET($S55,1,0,$R53-2),($M53+1)&amp;"$",OFFSET(Z55,1,0,$R53-2)))</f>
        <v>#VALUE!</v>
      </c>
      <c r="AA55" s="438" t="e">
        <f aca="true" t="array" ref="AA55:AA55">IF($R53=2,
         IF(AND(ACOMPANHAMENTO="PLE",ISNUMBER($F53)),
                SUMIF((OFFSET(CÁLCULO!$AM$15:$AW$15,$F53,0,OFFSET(ORÇAMENTO!$D$15,CRONO!$F53,0))),CRONO!AA$12,OFFSET(CÁLCULO!$AB$15:$AL$15,$F53,0,OFFSET(ORÇAMENTO!$D$15,CRONO!$F53,0)))
                +IF(AND($F55&lt;&gt;"",$F55&lt;&gt;0),
                        SUMIF(CÁLCULO!$AM$15:$AW$21,CRONO!AA$12,CÁLCULO!$AB$15:$AL$21)/(ORÇAMENTO!$X$15-CÁLCULO.TotalAdmLocal)*CRONO!$F55,
                        0),
                 AA54*$S53),
          SUMIF(OFFSET($S55,1,0,$R53-2),($M53+1)&amp;"$",OFFSET(AA55,1,0,$R53-2)))</f>
        <v>#VALUE!</v>
      </c>
      <c r="AB55" s="438" t="e">
        <f aca="true" t="array" ref="AB55:AB55">IF($R53=2,
         IF(AND(ACOMPANHAMENTO="PLE",ISNUMBER($F53)),
                SUMIF((OFFSET(CÁLCULO!$AM$15:$AW$15,$F53,0,OFFSET(ORÇAMENTO!$D$15,CRONO!$F53,0))),CRONO!AB$12,OFFSET(CÁLCULO!$AB$15:$AL$15,$F53,0,OFFSET(ORÇAMENTO!$D$15,CRONO!$F53,0)))
                +IF(AND($F55&lt;&gt;"",$F55&lt;&gt;0),
                        SUMIF(CÁLCULO!$AM$15:$AW$21,CRONO!AB$12,CÁLCULO!$AB$15:$AL$21)/(ORÇAMENTO!$X$15-CÁLCULO.TotalAdmLocal)*CRONO!$F55,
                        0),
                 AB54*$S53),
          SUMIF(OFFSET($S55,1,0,$R53-2),($M53+1)&amp;"$",OFFSET(AB55,1,0,$R53-2)))</f>
        <v>#VALUE!</v>
      </c>
      <c r="AC55" s="438" t="e">
        <f aca="true" t="array" ref="AC55:AC55">IF($R53=2,
         IF(AND(ACOMPANHAMENTO="PLE",ISNUMBER($F53)),
                SUMIF((OFFSET(CÁLCULO!$AM$15:$AW$15,$F53,0,OFFSET(ORÇAMENTO!$D$15,CRONO!$F53,0))),CRONO!AC$12,OFFSET(CÁLCULO!$AB$15:$AL$15,$F53,0,OFFSET(ORÇAMENTO!$D$15,CRONO!$F53,0)))
                +IF(AND($F55&lt;&gt;"",$F55&lt;&gt;0),
                        SUMIF(CÁLCULO!$AM$15:$AW$21,CRONO!AC$12,CÁLCULO!$AB$15:$AL$21)/(ORÇAMENTO!$X$15-CÁLCULO.TotalAdmLocal)*CRONO!$F55,
                        0),
                 AC54*$S53),
          SUMIF(OFFSET($S55,1,0,$R53-2),($M53+1)&amp;"$",OFFSET(AC55,1,0,$R53-2)))</f>
        <v>#VALUE!</v>
      </c>
      <c r="AD55" s="438" t="e">
        <f aca="true" t="array" ref="AD55:AD55">IF($R53=2,
         IF(AND(ACOMPANHAMENTO="PLE",ISNUMBER($F53)),
                SUMIF((OFFSET(CÁLCULO!$AM$15:$AW$15,$F53,0,OFFSET(ORÇAMENTO!$D$15,CRONO!$F53,0))),CRONO!AD$12,OFFSET(CÁLCULO!$AB$15:$AL$15,$F53,0,OFFSET(ORÇAMENTO!$D$15,CRONO!$F53,0)))
                +IF(AND($F55&lt;&gt;"",$F55&lt;&gt;0),
                        SUMIF(CÁLCULO!$AM$15:$AW$21,CRONO!AD$12,CÁLCULO!$AB$15:$AL$21)/(ORÇAMENTO!$X$15-CÁLCULO.TotalAdmLocal)*CRONO!$F55,
                        0),
                 AD54*$S53),
          SUMIF(OFFSET($S55,1,0,$R53-2),($M53+1)&amp;"$",OFFSET(AD55,1,0,$R53-2)))</f>
        <v>#VALUE!</v>
      </c>
      <c r="AE55" s="438" t="e">
        <f aca="true" t="array" ref="AE55:AE55">IF($R53=2,
         IF(AND(ACOMPANHAMENTO="PLE",ISNUMBER($F53)),
                SUMIF((OFFSET(CÁLCULO!$AM$15:$AW$15,$F53,0,OFFSET(ORÇAMENTO!$D$15,CRONO!$F53,0))),CRONO!AE$12,OFFSET(CÁLCULO!$AB$15:$AL$15,$F53,0,OFFSET(ORÇAMENTO!$D$15,CRONO!$F53,0)))
                +IF(AND($F55&lt;&gt;"",$F55&lt;&gt;0),
                        SUMIF(CÁLCULO!$AM$15:$AW$21,CRONO!AE$12,CÁLCULO!$AB$15:$AL$21)/(ORÇAMENTO!$X$15-CÁLCULO.TotalAdmLocal)*CRONO!$F55,
                        0),
                 AE54*$S53),
          SUMIF(OFFSET($S55,1,0,$R53-2),($M53+1)&amp;"$",OFFSET(AE55,1,0,$R53-2)))</f>
        <v>#VALUE!</v>
      </c>
      <c r="AF55" s="438" t="e">
        <f aca="true" t="array" ref="AF55:AF55">IF($R53=2,
         IF(AND(ACOMPANHAMENTO="PLE",ISNUMBER($F53)),
                SUMIF((OFFSET(CÁLCULO!$AM$15:$AW$15,$F53,0,OFFSET(ORÇAMENTO!$D$15,CRONO!$F53,0))),CRONO!AF$12,OFFSET(CÁLCULO!$AB$15:$AL$15,$F53,0,OFFSET(ORÇAMENTO!$D$15,CRONO!$F53,0)))
                +IF(AND($F55&lt;&gt;"",$F55&lt;&gt;0),
                        SUMIF(CÁLCULO!$AM$15:$AW$21,CRONO!AF$12,CÁLCULO!$AB$15:$AL$21)/(ORÇAMENTO!$X$15-CÁLCULO.TotalAdmLocal)*CRONO!$F55,
                        0),
                 AF54*$S53),
          SUMIF(OFFSET($S55,1,0,$R53-2),($M53+1)&amp;"$",OFFSET(AF55,1,0,$R53-2)))</f>
        <v>#VALUE!</v>
      </c>
      <c r="AG55" s="429"/>
    </row>
    <row r="56" customFormat="false" ht="12.75" hidden="false" customHeight="false" outlineLevel="0" collapsed="false">
      <c r="A56" s="380" t="str">
        <f aca="false">IF($M56&gt;1,_xlfn.CONCAT($I56," ",$J56),"")</f>
        <v/>
      </c>
      <c r="B56" s="418" t="n">
        <f aca="true">OFFSET(B56,-3,0)+1</f>
        <v>15</v>
      </c>
      <c r="C56" s="418" t="n">
        <f aca="true">IF($R56&lt;&gt;2,0,IF($S56=0,1,IF(F57&gt;0,OFFSET(QCI!$M$13,SUBSTITUTE(F57,".",""),0),OFFSET(ORÇAMENTO!$AA$15,CRONO!$F56,0))/$S56))</f>
        <v>0</v>
      </c>
      <c r="D56" s="418" t="n">
        <f aca="true">IF($R56&lt;&gt;2,0,IF($S56=0,1,IF(F57&gt;0,OFFSET(QCI!$N$13,SUBSTITUTE(F57,".",""),0),OFFSET(ORÇAMENTO!$AB$15,CRONO!$F56,0))/$S56))</f>
        <v>0</v>
      </c>
      <c r="E56" s="421" t="e">
        <f aca="false" t="array" ref="E56:E56">IF(AND($R56=2,ACOMPANHAMENTO="BM"),ROUND(E57,4),E58/$S56)</f>
        <v>#VALUE!</v>
      </c>
      <c r="F56" s="418" t="e">
        <f aca="true" t="array" ref="F56:F56">IF(B56&lt;=ORÇAMENTO.MáximoListaCrono,MATCH(B56,ORÇAMENTO.ListaCrono,0),NA())</f>
        <v>#N/A</v>
      </c>
      <c r="G56" s="418" t="str">
        <f aca="false">IF(AND($F57&lt;&gt;-1,$S56&gt;0),"F","")</f>
        <v/>
      </c>
      <c r="H56" s="422" t="str">
        <f aca="false" t="array" ref="H56:H56">IF(OR(S56=0,S56=""),"Linha",IF(AND(OR(ACOMPANHAMENTO="PLE",$R56&lt;&gt;2),$F57=0),"Linha",ROUND(1-SUM(U56:AG56),4)))</f>
        <v>Linha</v>
      </c>
      <c r="I56" s="423" t="str">
        <f aca="true">IF($F57=0,OFFSET(ORÇAMENTO!O$15,$F56,0),IF($F57&lt;&gt;-1,OFFSET(QCI!$D$13,$F57,0),""))</f>
        <v/>
      </c>
      <c r="J56" s="424" t="str">
        <f aca="true">IF($F57=0,OFFSET(ORÇAMENTO!R$15,$F56,0),IF($F57&lt;&gt;-1,OFFSET(QCI!$G$13,$F57,0),""))</f>
        <v/>
      </c>
      <c r="K56" s="424"/>
      <c r="L56" s="424"/>
      <c r="M56" s="425" t="n">
        <f aca="true">IF($F57=0,OFFSET(ORÇAMENTO!C$15,$F56,0),1)</f>
        <v>1</v>
      </c>
      <c r="N56" s="426" t="n">
        <f aca="true">IF($F57=-1,0,IF(N$13&lt;=$M56,IF(ISERROR(MATCH(N$13,OFFSET($M56,1,0,ROW($M$68)-ROW($M56)-1),0)),ROW($M$68)-ROW($M56)-1,MATCH(N$13,OFFSET($M56,1,0,ROW($M$68)-ROW($M56)-1),0)-1),0))</f>
        <v>0</v>
      </c>
      <c r="O56" s="426" t="n">
        <f aca="true">IF($F57=-1,0,IF(O$13&lt;=$M56,IF(ISERROR(MATCH(O$13,OFFSET($M56,1,0,ROW($M$68)-ROW($M56)-1),0)),ROW($M$68)-ROW($M56)-1,MATCH(O$13,OFFSET($M56,1,0,ROW($M$68)-ROW($M56)-1),0)-1),0))</f>
        <v>0</v>
      </c>
      <c r="P56" s="426" t="n">
        <f aca="true">IF($F57=-1,0,IF(P$13&lt;=$M56,IF(ISERROR(MATCH(P$13,OFFSET($M56,1,0,ROW($M$68)-ROW($M56)-1),0)),ROW($M$68)-ROW($M56)-1,MATCH(P$13,OFFSET($M56,1,0,ROW($M$68)-ROW($M56)-1),0)-1),0))</f>
        <v>0</v>
      </c>
      <c r="Q56" s="426" t="n">
        <f aca="true">IF($F57=-1,0,IF(Q$13&lt;=$M56,IF(ISERROR(MATCH(Q$13,OFFSET($M56,1,0,ROW($M$68)-ROW($M56)-1),0)),ROW($M$68)-ROW($M56)-1,MATCH(Q$13,OFFSET($M56,1,0,ROW($M$68)-ROW($M56)-1),0)-1),0))</f>
        <v>0</v>
      </c>
      <c r="R56" s="426" t="n">
        <f aca="true">MIN(OFFSET(M56,0,1,,M56))</f>
        <v>0</v>
      </c>
      <c r="S56" s="427" t="str">
        <f aca="true">IF($F57=0,OFFSET(ORÇAMENTO!X$15,$F56,0),IF($F57&lt;&gt;-1,OFFSET(QCI!$O$13,$F57,0),""))</f>
        <v/>
      </c>
      <c r="T56" s="428" t="s">
        <v>870</v>
      </c>
      <c r="U56" s="421" t="e">
        <f aca="false" t="array" ref="U56:U56">IF(AND($R56=2,ACOMPANHAMENTO="BM"),ROUND(U57,4),U58/$S56)</f>
        <v>#VALUE!</v>
      </c>
      <c r="V56" s="421" t="e">
        <f aca="false" t="array" ref="V56:V56">IF(AND($R56=2,ACOMPANHAMENTO="BM"),ROUND(V57,4),V58/$S56)</f>
        <v>#VALUE!</v>
      </c>
      <c r="W56" s="421" t="e">
        <f aca="false" t="array" ref="W56:W56">IF(AND($R56=2,ACOMPANHAMENTO="BM"),ROUND(W57,4),W58/$S56)</f>
        <v>#VALUE!</v>
      </c>
      <c r="X56" s="421" t="e">
        <f aca="false" t="array" ref="X56:X56">IF(AND($R56=2,ACOMPANHAMENTO="BM"),ROUND(X57,4),X58/$S56)</f>
        <v>#VALUE!</v>
      </c>
      <c r="Y56" s="421" t="e">
        <f aca="false" t="array" ref="Y56:Y56">IF(AND($R56=2,ACOMPANHAMENTO="BM"),ROUND(Y57,4),Y58/$S56)</f>
        <v>#VALUE!</v>
      </c>
      <c r="Z56" s="421" t="e">
        <f aca="false" t="array" ref="Z56:Z56">IF(AND($R56=2,ACOMPANHAMENTO="BM"),ROUND(Z57,4),Z58/$S56)</f>
        <v>#VALUE!</v>
      </c>
      <c r="AA56" s="421" t="e">
        <f aca="false" t="array" ref="AA56:AA56">IF(AND($R56=2,ACOMPANHAMENTO="BM"),ROUND(AA57,4),AA58/$S56)</f>
        <v>#VALUE!</v>
      </c>
      <c r="AB56" s="421" t="e">
        <f aca="false" t="array" ref="AB56:AB56">IF(AND($R56=2,ACOMPANHAMENTO="BM"),ROUND(AB57,4),AB58/$S56)</f>
        <v>#VALUE!</v>
      </c>
      <c r="AC56" s="421" t="e">
        <f aca="false" t="array" ref="AC56:AC56">IF(AND($R56=2,ACOMPANHAMENTO="BM"),ROUND(AC57,4),AC58/$S56)</f>
        <v>#VALUE!</v>
      </c>
      <c r="AD56" s="421" t="e">
        <f aca="false" t="array" ref="AD56:AD56">IF(AND($R56=2,ACOMPANHAMENTO="BM"),ROUND(AD57,4),AD58/$S56)</f>
        <v>#VALUE!</v>
      </c>
      <c r="AE56" s="421" t="e">
        <f aca="false" t="array" ref="AE56:AE56">IF(AND($R56=2,ACOMPANHAMENTO="BM"),ROUND(AE57,4),AE58/$S56)</f>
        <v>#VALUE!</v>
      </c>
      <c r="AF56" s="421" t="e">
        <f aca="false" t="array" ref="AF56:AF56">IF(AND($R56=2,ACOMPANHAMENTO="BM"),ROUND(AF57,4),AF58/$S56)</f>
        <v>#VALUE!</v>
      </c>
      <c r="AG56" s="429"/>
    </row>
    <row r="57" customFormat="false" ht="12.75" hidden="true" customHeight="true" outlineLevel="0" collapsed="false">
      <c r="E57" s="430"/>
      <c r="F57" s="418" t="n">
        <f aca="true">IF(ISERROR(F56),IF(1+COUNTIF($M$13:OFFSET(M56,-1,0),1)&lt;=MAX(QCI!$D$13:$D$24),1+COUNTIF($M$13:OFFSET(M56,-1,0),1),-1),0)</f>
        <v>-1</v>
      </c>
      <c r="G57" s="418" t="str">
        <f aca="true" t="array" ref="G57:G57">IF(ACOMPANHAMENTO="BM",OFFSET(G57,-1,0),"")</f>
        <v/>
      </c>
      <c r="H57" s="431" t="str">
        <f aca="false" t="array" ref="H57:H57">IF(OR(S56=0,S56=""),"vazia",IF(AND(OR(ACOMPANHAMENTO="PLE",$R56&lt;&gt;2),$F57=0),"calculada","--&gt;"))</f>
        <v>vazia</v>
      </c>
      <c r="I57" s="432"/>
      <c r="J57" s="433" t="str">
        <f aca="false">IF(AND(H56&lt;&gt;0,ISNUMBER(H56)),"PREENCHA ESTA LINHA --&gt;","")</f>
        <v/>
      </c>
      <c r="K57" s="433"/>
      <c r="L57" s="433"/>
      <c r="M57" s="434"/>
      <c r="N57" s="434"/>
      <c r="O57" s="434"/>
      <c r="P57" s="434"/>
      <c r="Q57" s="434"/>
      <c r="R57" s="434"/>
      <c r="S57" s="435"/>
      <c r="T57" s="436"/>
      <c r="U57" s="430"/>
      <c r="V57" s="430"/>
      <c r="W57" s="430"/>
      <c r="X57" s="430"/>
      <c r="Y57" s="430"/>
      <c r="Z57" s="430"/>
      <c r="AA57" s="430"/>
      <c r="AB57" s="430"/>
      <c r="AC57" s="430"/>
      <c r="AD57" s="430"/>
      <c r="AE57" s="430"/>
      <c r="AF57" s="430"/>
      <c r="AG57" s="429"/>
    </row>
    <row r="58" customFormat="false" ht="12.75" hidden="true" customHeight="true" outlineLevel="0" collapsed="false">
      <c r="D58" s="437"/>
      <c r="E58" s="438" t="e">
        <f aca="true" t="array" ref="E58:E58">IF($R56=2,
         IF(AND(ACOMPANHAMENTO="PLE",ISNUMBER($F56)),
                SUMIF((OFFSET(CÁLCULO!$AM$15:$AW$15,$F56,0,OFFSET(ORÇAMENTO!$D$15,CRONO!$F56,0))),CRONO!E$12,OFFSET(CÁLCULO!$AB$15:$AL$15,$F56,0,OFFSET(ORÇAMENTO!$D$15,CRONO!$F56,0)))
                +IF(AND($F58&lt;&gt;"",$F58&lt;&gt;0),
                        SUMIF(CÁLCULO!$AM$15:$AW$21,CRONO!E$12,CÁLCULO!$AB$15:$AL$21)/(ORÇAMENTO!$X$15-CÁLCULO.TotalAdmLocal)*CRONO!$F58,
                        0),
                 E57*$S56),
          SUMIF(OFFSET($S58,1,0,$R56-2),($M56+1)&amp;"$",OFFSET(E58,1,0,$R56-2)))</f>
        <v>#VALUE!</v>
      </c>
      <c r="F58" s="418" t="str">
        <f aca="true">IF(OR($R56&lt;&gt;2,AUTOEVENTO&lt;&gt;"manual",$F57&gt;0),"",
        IF(Import.TipoArredondamento="Tradicional",
              SUMIF(OFFSET(CÁLCULO!$M$15,CRONO!$F56,0,OFFSET(ORÇAMENTO!$D$15,CRONO!$F56,0)),1,OFFSET(ORÇAMENTO!$X$15,CRONO!$F56,0,OFFSET(ORÇAMENTO!$D$15,CRONO!$F56,0))),
              0))</f>
        <v/>
      </c>
      <c r="H58" s="439"/>
      <c r="S58" s="440" t="str">
        <f aca="false">M56&amp;"$"</f>
        <v>1$</v>
      </c>
      <c r="T58" s="441"/>
      <c r="U58" s="438" t="e">
        <f aca="true" t="array" ref="U58:U58">IF($R56=2,
         IF(AND(ACOMPANHAMENTO="PLE",ISNUMBER($F56)),
                SUMIF((OFFSET(CÁLCULO!$AM$15:$AW$15,$F56,0,OFFSET(ORÇAMENTO!$D$15,CRONO!$F56,0))),CRONO!U$12,OFFSET(CÁLCULO!$AB$15:$AL$15,$F56,0,OFFSET(ORÇAMENTO!$D$15,CRONO!$F56,0)))
                +IF(AND($F58&lt;&gt;"",$F58&lt;&gt;0),
                        SUMIF(CÁLCULO!$AM$15:$AW$21,CRONO!U$12,CÁLCULO!$AB$15:$AL$21)/(ORÇAMENTO!$X$15-CÁLCULO.TotalAdmLocal)*CRONO!$F58,
                        0),
                 U57*$S56),
          SUMIF(OFFSET($S58,1,0,$R56-2),($M56+1)&amp;"$",OFFSET(U58,1,0,$R56-2)))</f>
        <v>#VALUE!</v>
      </c>
      <c r="V58" s="438" t="e">
        <f aca="true" t="array" ref="V58:V58">IF($R56=2,
         IF(AND(ACOMPANHAMENTO="PLE",ISNUMBER($F56)),
                SUMIF((OFFSET(CÁLCULO!$AM$15:$AW$15,$F56,0,OFFSET(ORÇAMENTO!$D$15,CRONO!$F56,0))),CRONO!V$12,OFFSET(CÁLCULO!$AB$15:$AL$15,$F56,0,OFFSET(ORÇAMENTO!$D$15,CRONO!$F56,0)))
                +IF(AND($F58&lt;&gt;"",$F58&lt;&gt;0),
                        SUMIF(CÁLCULO!$AM$15:$AW$21,CRONO!V$12,CÁLCULO!$AB$15:$AL$21)/(ORÇAMENTO!$X$15-CÁLCULO.TotalAdmLocal)*CRONO!$F58,
                        0),
                 V57*$S56),
          SUMIF(OFFSET($S58,1,0,$R56-2),($M56+1)&amp;"$",OFFSET(V58,1,0,$R56-2)))</f>
        <v>#VALUE!</v>
      </c>
      <c r="W58" s="438" t="e">
        <f aca="true" t="array" ref="W58:W58">IF($R56=2,
         IF(AND(ACOMPANHAMENTO="PLE",ISNUMBER($F56)),
                SUMIF((OFFSET(CÁLCULO!$AM$15:$AW$15,$F56,0,OFFSET(ORÇAMENTO!$D$15,CRONO!$F56,0))),CRONO!W$12,OFFSET(CÁLCULO!$AB$15:$AL$15,$F56,0,OFFSET(ORÇAMENTO!$D$15,CRONO!$F56,0)))
                +IF(AND($F58&lt;&gt;"",$F58&lt;&gt;0),
                        SUMIF(CÁLCULO!$AM$15:$AW$21,CRONO!W$12,CÁLCULO!$AB$15:$AL$21)/(ORÇAMENTO!$X$15-CÁLCULO.TotalAdmLocal)*CRONO!$F58,
                        0),
                 W57*$S56),
          SUMIF(OFFSET($S58,1,0,$R56-2),($M56+1)&amp;"$",OFFSET(W58,1,0,$R56-2)))</f>
        <v>#VALUE!</v>
      </c>
      <c r="X58" s="438" t="e">
        <f aca="true" t="array" ref="X58:X58">IF($R56=2,
         IF(AND(ACOMPANHAMENTO="PLE",ISNUMBER($F56)),
                SUMIF((OFFSET(CÁLCULO!$AM$15:$AW$15,$F56,0,OFFSET(ORÇAMENTO!$D$15,CRONO!$F56,0))),CRONO!X$12,OFFSET(CÁLCULO!$AB$15:$AL$15,$F56,0,OFFSET(ORÇAMENTO!$D$15,CRONO!$F56,0)))
                +IF(AND($F58&lt;&gt;"",$F58&lt;&gt;0),
                        SUMIF(CÁLCULO!$AM$15:$AW$21,CRONO!X$12,CÁLCULO!$AB$15:$AL$21)/(ORÇAMENTO!$X$15-CÁLCULO.TotalAdmLocal)*CRONO!$F58,
                        0),
                 X57*$S56),
          SUMIF(OFFSET($S58,1,0,$R56-2),($M56+1)&amp;"$",OFFSET(X58,1,0,$R56-2)))</f>
        <v>#VALUE!</v>
      </c>
      <c r="Y58" s="438" t="e">
        <f aca="true" t="array" ref="Y58:Y58">IF($R56=2,
         IF(AND(ACOMPANHAMENTO="PLE",ISNUMBER($F56)),
                SUMIF((OFFSET(CÁLCULO!$AM$15:$AW$15,$F56,0,OFFSET(ORÇAMENTO!$D$15,CRONO!$F56,0))),CRONO!Y$12,OFFSET(CÁLCULO!$AB$15:$AL$15,$F56,0,OFFSET(ORÇAMENTO!$D$15,CRONO!$F56,0)))
                +IF(AND($F58&lt;&gt;"",$F58&lt;&gt;0),
                        SUMIF(CÁLCULO!$AM$15:$AW$21,CRONO!Y$12,CÁLCULO!$AB$15:$AL$21)/(ORÇAMENTO!$X$15-CÁLCULO.TotalAdmLocal)*CRONO!$F58,
                        0),
                 Y57*$S56),
          SUMIF(OFFSET($S58,1,0,$R56-2),($M56+1)&amp;"$",OFFSET(Y58,1,0,$R56-2)))</f>
        <v>#VALUE!</v>
      </c>
      <c r="Z58" s="438" t="e">
        <f aca="true" t="array" ref="Z58:Z58">IF($R56=2,
         IF(AND(ACOMPANHAMENTO="PLE",ISNUMBER($F56)),
                SUMIF((OFFSET(CÁLCULO!$AM$15:$AW$15,$F56,0,OFFSET(ORÇAMENTO!$D$15,CRONO!$F56,0))),CRONO!Z$12,OFFSET(CÁLCULO!$AB$15:$AL$15,$F56,0,OFFSET(ORÇAMENTO!$D$15,CRONO!$F56,0)))
                +IF(AND($F58&lt;&gt;"",$F58&lt;&gt;0),
                        SUMIF(CÁLCULO!$AM$15:$AW$21,CRONO!Z$12,CÁLCULO!$AB$15:$AL$21)/(ORÇAMENTO!$X$15-CÁLCULO.TotalAdmLocal)*CRONO!$F58,
                        0),
                 Z57*$S56),
          SUMIF(OFFSET($S58,1,0,$R56-2),($M56+1)&amp;"$",OFFSET(Z58,1,0,$R56-2)))</f>
        <v>#VALUE!</v>
      </c>
      <c r="AA58" s="438" t="e">
        <f aca="true" t="array" ref="AA58:AA58">IF($R56=2,
         IF(AND(ACOMPANHAMENTO="PLE",ISNUMBER($F56)),
                SUMIF((OFFSET(CÁLCULO!$AM$15:$AW$15,$F56,0,OFFSET(ORÇAMENTO!$D$15,CRONO!$F56,0))),CRONO!AA$12,OFFSET(CÁLCULO!$AB$15:$AL$15,$F56,0,OFFSET(ORÇAMENTO!$D$15,CRONO!$F56,0)))
                +IF(AND($F58&lt;&gt;"",$F58&lt;&gt;0),
                        SUMIF(CÁLCULO!$AM$15:$AW$21,CRONO!AA$12,CÁLCULO!$AB$15:$AL$21)/(ORÇAMENTO!$X$15-CÁLCULO.TotalAdmLocal)*CRONO!$F58,
                        0),
                 AA57*$S56),
          SUMIF(OFFSET($S58,1,0,$R56-2),($M56+1)&amp;"$",OFFSET(AA58,1,0,$R56-2)))</f>
        <v>#VALUE!</v>
      </c>
      <c r="AB58" s="438" t="e">
        <f aca="true" t="array" ref="AB58:AB58">IF($R56=2,
         IF(AND(ACOMPANHAMENTO="PLE",ISNUMBER($F56)),
                SUMIF((OFFSET(CÁLCULO!$AM$15:$AW$15,$F56,0,OFFSET(ORÇAMENTO!$D$15,CRONO!$F56,0))),CRONO!AB$12,OFFSET(CÁLCULO!$AB$15:$AL$15,$F56,0,OFFSET(ORÇAMENTO!$D$15,CRONO!$F56,0)))
                +IF(AND($F58&lt;&gt;"",$F58&lt;&gt;0),
                        SUMIF(CÁLCULO!$AM$15:$AW$21,CRONO!AB$12,CÁLCULO!$AB$15:$AL$21)/(ORÇAMENTO!$X$15-CÁLCULO.TotalAdmLocal)*CRONO!$F58,
                        0),
                 AB57*$S56),
          SUMIF(OFFSET($S58,1,0,$R56-2),($M56+1)&amp;"$",OFFSET(AB58,1,0,$R56-2)))</f>
        <v>#VALUE!</v>
      </c>
      <c r="AC58" s="438" t="e">
        <f aca="true" t="array" ref="AC58:AC58">IF($R56=2,
         IF(AND(ACOMPANHAMENTO="PLE",ISNUMBER($F56)),
                SUMIF((OFFSET(CÁLCULO!$AM$15:$AW$15,$F56,0,OFFSET(ORÇAMENTO!$D$15,CRONO!$F56,0))),CRONO!AC$12,OFFSET(CÁLCULO!$AB$15:$AL$15,$F56,0,OFFSET(ORÇAMENTO!$D$15,CRONO!$F56,0)))
                +IF(AND($F58&lt;&gt;"",$F58&lt;&gt;0),
                        SUMIF(CÁLCULO!$AM$15:$AW$21,CRONO!AC$12,CÁLCULO!$AB$15:$AL$21)/(ORÇAMENTO!$X$15-CÁLCULO.TotalAdmLocal)*CRONO!$F58,
                        0),
                 AC57*$S56),
          SUMIF(OFFSET($S58,1,0,$R56-2),($M56+1)&amp;"$",OFFSET(AC58,1,0,$R56-2)))</f>
        <v>#VALUE!</v>
      </c>
      <c r="AD58" s="438" t="e">
        <f aca="true" t="array" ref="AD58:AD58">IF($R56=2,
         IF(AND(ACOMPANHAMENTO="PLE",ISNUMBER($F56)),
                SUMIF((OFFSET(CÁLCULO!$AM$15:$AW$15,$F56,0,OFFSET(ORÇAMENTO!$D$15,CRONO!$F56,0))),CRONO!AD$12,OFFSET(CÁLCULO!$AB$15:$AL$15,$F56,0,OFFSET(ORÇAMENTO!$D$15,CRONO!$F56,0)))
                +IF(AND($F58&lt;&gt;"",$F58&lt;&gt;0),
                        SUMIF(CÁLCULO!$AM$15:$AW$21,CRONO!AD$12,CÁLCULO!$AB$15:$AL$21)/(ORÇAMENTO!$X$15-CÁLCULO.TotalAdmLocal)*CRONO!$F58,
                        0),
                 AD57*$S56),
          SUMIF(OFFSET($S58,1,0,$R56-2),($M56+1)&amp;"$",OFFSET(AD58,1,0,$R56-2)))</f>
        <v>#VALUE!</v>
      </c>
      <c r="AE58" s="438" t="e">
        <f aca="true" t="array" ref="AE58:AE58">IF($R56=2,
         IF(AND(ACOMPANHAMENTO="PLE",ISNUMBER($F56)),
                SUMIF((OFFSET(CÁLCULO!$AM$15:$AW$15,$F56,0,OFFSET(ORÇAMENTO!$D$15,CRONO!$F56,0))),CRONO!AE$12,OFFSET(CÁLCULO!$AB$15:$AL$15,$F56,0,OFFSET(ORÇAMENTO!$D$15,CRONO!$F56,0)))
                +IF(AND($F58&lt;&gt;"",$F58&lt;&gt;0),
                        SUMIF(CÁLCULO!$AM$15:$AW$21,CRONO!AE$12,CÁLCULO!$AB$15:$AL$21)/(ORÇAMENTO!$X$15-CÁLCULO.TotalAdmLocal)*CRONO!$F58,
                        0),
                 AE57*$S56),
          SUMIF(OFFSET($S58,1,0,$R56-2),($M56+1)&amp;"$",OFFSET(AE58,1,0,$R56-2)))</f>
        <v>#VALUE!</v>
      </c>
      <c r="AF58" s="438" t="e">
        <f aca="true" t="array" ref="AF58:AF58">IF($R56=2,
         IF(AND(ACOMPANHAMENTO="PLE",ISNUMBER($F56)),
                SUMIF((OFFSET(CÁLCULO!$AM$15:$AW$15,$F56,0,OFFSET(ORÇAMENTO!$D$15,CRONO!$F56,0))),CRONO!AF$12,OFFSET(CÁLCULO!$AB$15:$AL$15,$F56,0,OFFSET(ORÇAMENTO!$D$15,CRONO!$F56,0)))
                +IF(AND($F58&lt;&gt;"",$F58&lt;&gt;0),
                        SUMIF(CÁLCULO!$AM$15:$AW$21,CRONO!AF$12,CÁLCULO!$AB$15:$AL$21)/(ORÇAMENTO!$X$15-CÁLCULO.TotalAdmLocal)*CRONO!$F58,
                        0),
                 AF57*$S56),
          SUMIF(OFFSET($S58,1,0,$R56-2),($M56+1)&amp;"$",OFFSET(AF58,1,0,$R56-2)))</f>
        <v>#VALUE!</v>
      </c>
      <c r="AG58" s="429"/>
    </row>
    <row r="59" customFormat="false" ht="12.75" hidden="false" customHeight="false" outlineLevel="0" collapsed="false">
      <c r="A59" s="380" t="str">
        <f aca="false">IF($M59&gt;1,_xlfn.CONCAT($I59," ",$J59),"")</f>
        <v/>
      </c>
      <c r="B59" s="418" t="n">
        <f aca="true">OFFSET(B59,-3,0)+1</f>
        <v>16</v>
      </c>
      <c r="C59" s="418" t="n">
        <f aca="true">IF($R59&lt;&gt;2,0,IF($S59=0,1,IF(F60&gt;0,OFFSET(QCI!$M$13,SUBSTITUTE(F60,".",""),0),OFFSET(ORÇAMENTO!$AA$15,CRONO!$F59,0))/$S59))</f>
        <v>0</v>
      </c>
      <c r="D59" s="418" t="n">
        <f aca="true">IF($R59&lt;&gt;2,0,IF($S59=0,1,IF(F60&gt;0,OFFSET(QCI!$N$13,SUBSTITUTE(F60,".",""),0),OFFSET(ORÇAMENTO!$AB$15,CRONO!$F59,0))/$S59))</f>
        <v>0</v>
      </c>
      <c r="E59" s="421" t="e">
        <f aca="false" t="array" ref="E59:E59">IF(AND($R59=2,ACOMPANHAMENTO="BM"),ROUND(E60,4),E61/$S59)</f>
        <v>#VALUE!</v>
      </c>
      <c r="F59" s="418" t="e">
        <f aca="true" t="array" ref="F59:F59">IF(B59&lt;=ORÇAMENTO.MáximoListaCrono,MATCH(B59,ORÇAMENTO.ListaCrono,0),NA())</f>
        <v>#N/A</v>
      </c>
      <c r="G59" s="418" t="str">
        <f aca="false">IF(AND($F60&lt;&gt;-1,$S59&gt;0),"F","")</f>
        <v/>
      </c>
      <c r="H59" s="422" t="str">
        <f aca="false" t="array" ref="H59:H59">IF(OR(S59=0,S59=""),"Linha",IF(AND(OR(ACOMPANHAMENTO="PLE",$R59&lt;&gt;2),$F60=0),"Linha",ROUND(1-SUM(U59:AG59),4)))</f>
        <v>Linha</v>
      </c>
      <c r="I59" s="423" t="str">
        <f aca="true">IF($F60=0,OFFSET(ORÇAMENTO!O$15,$F59,0),IF($F60&lt;&gt;-1,OFFSET(QCI!$D$13,$F60,0),""))</f>
        <v/>
      </c>
      <c r="J59" s="424" t="str">
        <f aca="true">IF($F60=0,OFFSET(ORÇAMENTO!R$15,$F59,0),IF($F60&lt;&gt;-1,OFFSET(QCI!$G$13,$F60,0),""))</f>
        <v/>
      </c>
      <c r="K59" s="424"/>
      <c r="L59" s="424"/>
      <c r="M59" s="425" t="n">
        <f aca="true">IF($F60=0,OFFSET(ORÇAMENTO!C$15,$F59,0),1)</f>
        <v>1</v>
      </c>
      <c r="N59" s="426" t="n">
        <f aca="true">IF($F60=-1,0,IF(N$13&lt;=$M59,IF(ISERROR(MATCH(N$13,OFFSET($M59,1,0,ROW($M$68)-ROW($M59)-1),0)),ROW($M$68)-ROW($M59)-1,MATCH(N$13,OFFSET($M59,1,0,ROW($M$68)-ROW($M59)-1),0)-1),0))</f>
        <v>0</v>
      </c>
      <c r="O59" s="426" t="n">
        <f aca="true">IF($F60=-1,0,IF(O$13&lt;=$M59,IF(ISERROR(MATCH(O$13,OFFSET($M59,1,0,ROW($M$68)-ROW($M59)-1),0)),ROW($M$68)-ROW($M59)-1,MATCH(O$13,OFFSET($M59,1,0,ROW($M$68)-ROW($M59)-1),0)-1),0))</f>
        <v>0</v>
      </c>
      <c r="P59" s="426" t="n">
        <f aca="true">IF($F60=-1,0,IF(P$13&lt;=$M59,IF(ISERROR(MATCH(P$13,OFFSET($M59,1,0,ROW($M$68)-ROW($M59)-1),0)),ROW($M$68)-ROW($M59)-1,MATCH(P$13,OFFSET($M59,1,0,ROW($M$68)-ROW($M59)-1),0)-1),0))</f>
        <v>0</v>
      </c>
      <c r="Q59" s="426" t="n">
        <f aca="true">IF($F60=-1,0,IF(Q$13&lt;=$M59,IF(ISERROR(MATCH(Q$13,OFFSET($M59,1,0,ROW($M$68)-ROW($M59)-1),0)),ROW($M$68)-ROW($M59)-1,MATCH(Q$13,OFFSET($M59,1,0,ROW($M$68)-ROW($M59)-1),0)-1),0))</f>
        <v>0</v>
      </c>
      <c r="R59" s="426" t="n">
        <f aca="true">MIN(OFFSET(M59,0,1,,M59))</f>
        <v>0</v>
      </c>
      <c r="S59" s="427" t="str">
        <f aca="true">IF($F60=0,OFFSET(ORÇAMENTO!X$15,$F59,0),IF($F60&lt;&gt;-1,OFFSET(QCI!$O$13,$F60,0),""))</f>
        <v/>
      </c>
      <c r="T59" s="428" t="s">
        <v>870</v>
      </c>
      <c r="U59" s="421" t="e">
        <f aca="false" t="array" ref="U59:U59">IF(AND($R59=2,ACOMPANHAMENTO="BM"),ROUND(U60,4),U61/$S59)</f>
        <v>#VALUE!</v>
      </c>
      <c r="V59" s="421" t="e">
        <f aca="false" t="array" ref="V59:V59">IF(AND($R59=2,ACOMPANHAMENTO="BM"),ROUND(V60,4),V61/$S59)</f>
        <v>#VALUE!</v>
      </c>
      <c r="W59" s="421" t="e">
        <f aca="false" t="array" ref="W59:W59">IF(AND($R59=2,ACOMPANHAMENTO="BM"),ROUND(W60,4),W61/$S59)</f>
        <v>#VALUE!</v>
      </c>
      <c r="X59" s="421" t="e">
        <f aca="false" t="array" ref="X59:X59">IF(AND($R59=2,ACOMPANHAMENTO="BM"),ROUND(X60,4),X61/$S59)</f>
        <v>#VALUE!</v>
      </c>
      <c r="Y59" s="421" t="e">
        <f aca="false" t="array" ref="Y59:Y59">IF(AND($R59=2,ACOMPANHAMENTO="BM"),ROUND(Y60,4),Y61/$S59)</f>
        <v>#VALUE!</v>
      </c>
      <c r="Z59" s="421" t="e">
        <f aca="false" t="array" ref="Z59:Z59">IF(AND($R59=2,ACOMPANHAMENTO="BM"),ROUND(Z60,4),Z61/$S59)</f>
        <v>#VALUE!</v>
      </c>
      <c r="AA59" s="421" t="e">
        <f aca="false" t="array" ref="AA59:AA59">IF(AND($R59=2,ACOMPANHAMENTO="BM"),ROUND(AA60,4),AA61/$S59)</f>
        <v>#VALUE!</v>
      </c>
      <c r="AB59" s="421" t="e">
        <f aca="false" t="array" ref="AB59:AB59">IF(AND($R59=2,ACOMPANHAMENTO="BM"),ROUND(AB60,4),AB61/$S59)</f>
        <v>#VALUE!</v>
      </c>
      <c r="AC59" s="421" t="e">
        <f aca="false" t="array" ref="AC59:AC59">IF(AND($R59=2,ACOMPANHAMENTO="BM"),ROUND(AC60,4),AC61/$S59)</f>
        <v>#VALUE!</v>
      </c>
      <c r="AD59" s="421" t="e">
        <f aca="false" t="array" ref="AD59:AD59">IF(AND($R59=2,ACOMPANHAMENTO="BM"),ROUND(AD60,4),AD61/$S59)</f>
        <v>#VALUE!</v>
      </c>
      <c r="AE59" s="421" t="e">
        <f aca="false" t="array" ref="AE59:AE59">IF(AND($R59=2,ACOMPANHAMENTO="BM"),ROUND(AE60,4),AE61/$S59)</f>
        <v>#VALUE!</v>
      </c>
      <c r="AF59" s="421" t="e">
        <f aca="false" t="array" ref="AF59:AF59">IF(AND($R59=2,ACOMPANHAMENTO="BM"),ROUND(AF60,4),AF61/$S59)</f>
        <v>#VALUE!</v>
      </c>
      <c r="AG59" s="429"/>
    </row>
    <row r="60" customFormat="false" ht="12.75" hidden="true" customHeight="true" outlineLevel="0" collapsed="false">
      <c r="E60" s="430"/>
      <c r="F60" s="418" t="n">
        <f aca="true">IF(ISERROR(F59),IF(1+COUNTIF($M$13:OFFSET(M59,-1,0),1)&lt;=MAX(QCI!$D$13:$D$24),1+COUNTIF($M$13:OFFSET(M59,-1,0),1),-1),0)</f>
        <v>-1</v>
      </c>
      <c r="G60" s="418" t="str">
        <f aca="true" t="array" ref="G60:G60">IF(ACOMPANHAMENTO="BM",OFFSET(G60,-1,0),"")</f>
        <v/>
      </c>
      <c r="H60" s="431" t="str">
        <f aca="false" t="array" ref="H60:H60">IF(OR(S59=0,S59=""),"vazia",IF(AND(OR(ACOMPANHAMENTO="PLE",$R59&lt;&gt;2),$F60=0),"calculada","--&gt;"))</f>
        <v>vazia</v>
      </c>
      <c r="I60" s="432"/>
      <c r="J60" s="433" t="str">
        <f aca="false">IF(AND(H59&lt;&gt;0,ISNUMBER(H59)),"PREENCHA ESTA LINHA --&gt;","")</f>
        <v/>
      </c>
      <c r="K60" s="433"/>
      <c r="L60" s="433"/>
      <c r="M60" s="434"/>
      <c r="N60" s="434"/>
      <c r="O60" s="434"/>
      <c r="P60" s="434"/>
      <c r="Q60" s="434"/>
      <c r="R60" s="434"/>
      <c r="S60" s="435"/>
      <c r="T60" s="436"/>
      <c r="U60" s="430"/>
      <c r="V60" s="430"/>
      <c r="W60" s="430"/>
      <c r="X60" s="430"/>
      <c r="Y60" s="430"/>
      <c r="Z60" s="430"/>
      <c r="AA60" s="430"/>
      <c r="AB60" s="430"/>
      <c r="AC60" s="430"/>
      <c r="AD60" s="430"/>
      <c r="AE60" s="430"/>
      <c r="AF60" s="430"/>
      <c r="AG60" s="429"/>
    </row>
    <row r="61" customFormat="false" ht="12.75" hidden="true" customHeight="true" outlineLevel="0" collapsed="false">
      <c r="D61" s="437"/>
      <c r="E61" s="438" t="e">
        <f aca="true" t="array" ref="E61:E61">IF($R59=2,
         IF(AND(ACOMPANHAMENTO="PLE",ISNUMBER($F59)),
                SUMIF((OFFSET(CÁLCULO!$AM$15:$AW$15,$F59,0,OFFSET(ORÇAMENTO!$D$15,CRONO!$F59,0))),CRONO!E$12,OFFSET(CÁLCULO!$AB$15:$AL$15,$F59,0,OFFSET(ORÇAMENTO!$D$15,CRONO!$F59,0)))
                +IF(AND($F61&lt;&gt;"",$F61&lt;&gt;0),
                        SUMIF(CÁLCULO!$AM$15:$AW$21,CRONO!E$12,CÁLCULO!$AB$15:$AL$21)/(ORÇAMENTO!$X$15-CÁLCULO.TotalAdmLocal)*CRONO!$F61,
                        0),
                 E60*$S59),
          SUMIF(OFFSET($S61,1,0,$R59-2),($M59+1)&amp;"$",OFFSET(E61,1,0,$R59-2)))</f>
        <v>#VALUE!</v>
      </c>
      <c r="F61" s="418" t="str">
        <f aca="true">IF(OR($R59&lt;&gt;2,AUTOEVENTO&lt;&gt;"manual",$F60&gt;0),"",
        IF(Import.TipoArredondamento="Tradicional",
              SUMIF(OFFSET(CÁLCULO!$M$15,CRONO!$F59,0,OFFSET(ORÇAMENTO!$D$15,CRONO!$F59,0)),1,OFFSET(ORÇAMENTO!$X$15,CRONO!$F59,0,OFFSET(ORÇAMENTO!$D$15,CRONO!$F59,0))),
              0))</f>
        <v/>
      </c>
      <c r="H61" s="439"/>
      <c r="S61" s="440" t="str">
        <f aca="false">M59&amp;"$"</f>
        <v>1$</v>
      </c>
      <c r="T61" s="441"/>
      <c r="U61" s="438" t="e">
        <f aca="true" t="array" ref="U61:U61">IF($R59=2,
         IF(AND(ACOMPANHAMENTO="PLE",ISNUMBER($F59)),
                SUMIF((OFFSET(CÁLCULO!$AM$15:$AW$15,$F59,0,OFFSET(ORÇAMENTO!$D$15,CRONO!$F59,0))),CRONO!U$12,OFFSET(CÁLCULO!$AB$15:$AL$15,$F59,0,OFFSET(ORÇAMENTO!$D$15,CRONO!$F59,0)))
                +IF(AND($F61&lt;&gt;"",$F61&lt;&gt;0),
                        SUMIF(CÁLCULO!$AM$15:$AW$21,CRONO!U$12,CÁLCULO!$AB$15:$AL$21)/(ORÇAMENTO!$X$15-CÁLCULO.TotalAdmLocal)*CRONO!$F61,
                        0),
                 U60*$S59),
          SUMIF(OFFSET($S61,1,0,$R59-2),($M59+1)&amp;"$",OFFSET(U61,1,0,$R59-2)))</f>
        <v>#VALUE!</v>
      </c>
      <c r="V61" s="438" t="e">
        <f aca="true" t="array" ref="V61:V61">IF($R59=2,
         IF(AND(ACOMPANHAMENTO="PLE",ISNUMBER($F59)),
                SUMIF((OFFSET(CÁLCULO!$AM$15:$AW$15,$F59,0,OFFSET(ORÇAMENTO!$D$15,CRONO!$F59,0))),CRONO!V$12,OFFSET(CÁLCULO!$AB$15:$AL$15,$F59,0,OFFSET(ORÇAMENTO!$D$15,CRONO!$F59,0)))
                +IF(AND($F61&lt;&gt;"",$F61&lt;&gt;0),
                        SUMIF(CÁLCULO!$AM$15:$AW$21,CRONO!V$12,CÁLCULO!$AB$15:$AL$21)/(ORÇAMENTO!$X$15-CÁLCULO.TotalAdmLocal)*CRONO!$F61,
                        0),
                 V60*$S59),
          SUMIF(OFFSET($S61,1,0,$R59-2),($M59+1)&amp;"$",OFFSET(V61,1,0,$R59-2)))</f>
        <v>#VALUE!</v>
      </c>
      <c r="W61" s="438" t="e">
        <f aca="true" t="array" ref="W61:W61">IF($R59=2,
         IF(AND(ACOMPANHAMENTO="PLE",ISNUMBER($F59)),
                SUMIF((OFFSET(CÁLCULO!$AM$15:$AW$15,$F59,0,OFFSET(ORÇAMENTO!$D$15,CRONO!$F59,0))),CRONO!W$12,OFFSET(CÁLCULO!$AB$15:$AL$15,$F59,0,OFFSET(ORÇAMENTO!$D$15,CRONO!$F59,0)))
                +IF(AND($F61&lt;&gt;"",$F61&lt;&gt;0),
                        SUMIF(CÁLCULO!$AM$15:$AW$21,CRONO!W$12,CÁLCULO!$AB$15:$AL$21)/(ORÇAMENTO!$X$15-CÁLCULO.TotalAdmLocal)*CRONO!$F61,
                        0),
                 W60*$S59),
          SUMIF(OFFSET($S61,1,0,$R59-2),($M59+1)&amp;"$",OFFSET(W61,1,0,$R59-2)))</f>
        <v>#VALUE!</v>
      </c>
      <c r="X61" s="438" t="e">
        <f aca="true" t="array" ref="X61:X61">IF($R59=2,
         IF(AND(ACOMPANHAMENTO="PLE",ISNUMBER($F59)),
                SUMIF((OFFSET(CÁLCULO!$AM$15:$AW$15,$F59,0,OFFSET(ORÇAMENTO!$D$15,CRONO!$F59,0))),CRONO!X$12,OFFSET(CÁLCULO!$AB$15:$AL$15,$F59,0,OFFSET(ORÇAMENTO!$D$15,CRONO!$F59,0)))
                +IF(AND($F61&lt;&gt;"",$F61&lt;&gt;0),
                        SUMIF(CÁLCULO!$AM$15:$AW$21,CRONO!X$12,CÁLCULO!$AB$15:$AL$21)/(ORÇAMENTO!$X$15-CÁLCULO.TotalAdmLocal)*CRONO!$F61,
                        0),
                 X60*$S59),
          SUMIF(OFFSET($S61,1,0,$R59-2),($M59+1)&amp;"$",OFFSET(X61,1,0,$R59-2)))</f>
        <v>#VALUE!</v>
      </c>
      <c r="Y61" s="438" t="e">
        <f aca="true" t="array" ref="Y61:Y61">IF($R59=2,
         IF(AND(ACOMPANHAMENTO="PLE",ISNUMBER($F59)),
                SUMIF((OFFSET(CÁLCULO!$AM$15:$AW$15,$F59,0,OFFSET(ORÇAMENTO!$D$15,CRONO!$F59,0))),CRONO!Y$12,OFFSET(CÁLCULO!$AB$15:$AL$15,$F59,0,OFFSET(ORÇAMENTO!$D$15,CRONO!$F59,0)))
                +IF(AND($F61&lt;&gt;"",$F61&lt;&gt;0),
                        SUMIF(CÁLCULO!$AM$15:$AW$21,CRONO!Y$12,CÁLCULO!$AB$15:$AL$21)/(ORÇAMENTO!$X$15-CÁLCULO.TotalAdmLocal)*CRONO!$F61,
                        0),
                 Y60*$S59),
          SUMIF(OFFSET($S61,1,0,$R59-2),($M59+1)&amp;"$",OFFSET(Y61,1,0,$R59-2)))</f>
        <v>#VALUE!</v>
      </c>
      <c r="Z61" s="438" t="e">
        <f aca="true" t="array" ref="Z61:Z61">IF($R59=2,
         IF(AND(ACOMPANHAMENTO="PLE",ISNUMBER($F59)),
                SUMIF((OFFSET(CÁLCULO!$AM$15:$AW$15,$F59,0,OFFSET(ORÇAMENTO!$D$15,CRONO!$F59,0))),CRONO!Z$12,OFFSET(CÁLCULO!$AB$15:$AL$15,$F59,0,OFFSET(ORÇAMENTO!$D$15,CRONO!$F59,0)))
                +IF(AND($F61&lt;&gt;"",$F61&lt;&gt;0),
                        SUMIF(CÁLCULO!$AM$15:$AW$21,CRONO!Z$12,CÁLCULO!$AB$15:$AL$21)/(ORÇAMENTO!$X$15-CÁLCULO.TotalAdmLocal)*CRONO!$F61,
                        0),
                 Z60*$S59),
          SUMIF(OFFSET($S61,1,0,$R59-2),($M59+1)&amp;"$",OFFSET(Z61,1,0,$R59-2)))</f>
        <v>#VALUE!</v>
      </c>
      <c r="AA61" s="438" t="e">
        <f aca="true" t="array" ref="AA61:AA61">IF($R59=2,
         IF(AND(ACOMPANHAMENTO="PLE",ISNUMBER($F59)),
                SUMIF((OFFSET(CÁLCULO!$AM$15:$AW$15,$F59,0,OFFSET(ORÇAMENTO!$D$15,CRONO!$F59,0))),CRONO!AA$12,OFFSET(CÁLCULO!$AB$15:$AL$15,$F59,0,OFFSET(ORÇAMENTO!$D$15,CRONO!$F59,0)))
                +IF(AND($F61&lt;&gt;"",$F61&lt;&gt;0),
                        SUMIF(CÁLCULO!$AM$15:$AW$21,CRONO!AA$12,CÁLCULO!$AB$15:$AL$21)/(ORÇAMENTO!$X$15-CÁLCULO.TotalAdmLocal)*CRONO!$F61,
                        0),
                 AA60*$S59),
          SUMIF(OFFSET($S61,1,0,$R59-2),($M59+1)&amp;"$",OFFSET(AA61,1,0,$R59-2)))</f>
        <v>#VALUE!</v>
      </c>
      <c r="AB61" s="438" t="e">
        <f aca="true" t="array" ref="AB61:AB61">IF($R59=2,
         IF(AND(ACOMPANHAMENTO="PLE",ISNUMBER($F59)),
                SUMIF((OFFSET(CÁLCULO!$AM$15:$AW$15,$F59,0,OFFSET(ORÇAMENTO!$D$15,CRONO!$F59,0))),CRONO!AB$12,OFFSET(CÁLCULO!$AB$15:$AL$15,$F59,0,OFFSET(ORÇAMENTO!$D$15,CRONO!$F59,0)))
                +IF(AND($F61&lt;&gt;"",$F61&lt;&gt;0),
                        SUMIF(CÁLCULO!$AM$15:$AW$21,CRONO!AB$12,CÁLCULO!$AB$15:$AL$21)/(ORÇAMENTO!$X$15-CÁLCULO.TotalAdmLocal)*CRONO!$F61,
                        0),
                 AB60*$S59),
          SUMIF(OFFSET($S61,1,0,$R59-2),($M59+1)&amp;"$",OFFSET(AB61,1,0,$R59-2)))</f>
        <v>#VALUE!</v>
      </c>
      <c r="AC61" s="438" t="e">
        <f aca="true" t="array" ref="AC61:AC61">IF($R59=2,
         IF(AND(ACOMPANHAMENTO="PLE",ISNUMBER($F59)),
                SUMIF((OFFSET(CÁLCULO!$AM$15:$AW$15,$F59,0,OFFSET(ORÇAMENTO!$D$15,CRONO!$F59,0))),CRONO!AC$12,OFFSET(CÁLCULO!$AB$15:$AL$15,$F59,0,OFFSET(ORÇAMENTO!$D$15,CRONO!$F59,0)))
                +IF(AND($F61&lt;&gt;"",$F61&lt;&gt;0),
                        SUMIF(CÁLCULO!$AM$15:$AW$21,CRONO!AC$12,CÁLCULO!$AB$15:$AL$21)/(ORÇAMENTO!$X$15-CÁLCULO.TotalAdmLocal)*CRONO!$F61,
                        0),
                 AC60*$S59),
          SUMIF(OFFSET($S61,1,0,$R59-2),($M59+1)&amp;"$",OFFSET(AC61,1,0,$R59-2)))</f>
        <v>#VALUE!</v>
      </c>
      <c r="AD61" s="438" t="e">
        <f aca="true" t="array" ref="AD61:AD61">IF($R59=2,
         IF(AND(ACOMPANHAMENTO="PLE",ISNUMBER($F59)),
                SUMIF((OFFSET(CÁLCULO!$AM$15:$AW$15,$F59,0,OFFSET(ORÇAMENTO!$D$15,CRONO!$F59,0))),CRONO!AD$12,OFFSET(CÁLCULO!$AB$15:$AL$15,$F59,0,OFFSET(ORÇAMENTO!$D$15,CRONO!$F59,0)))
                +IF(AND($F61&lt;&gt;"",$F61&lt;&gt;0),
                        SUMIF(CÁLCULO!$AM$15:$AW$21,CRONO!AD$12,CÁLCULO!$AB$15:$AL$21)/(ORÇAMENTO!$X$15-CÁLCULO.TotalAdmLocal)*CRONO!$F61,
                        0),
                 AD60*$S59),
          SUMIF(OFFSET($S61,1,0,$R59-2),($M59+1)&amp;"$",OFFSET(AD61,1,0,$R59-2)))</f>
        <v>#VALUE!</v>
      </c>
      <c r="AE61" s="438" t="e">
        <f aca="true" t="array" ref="AE61:AE61">IF($R59=2,
         IF(AND(ACOMPANHAMENTO="PLE",ISNUMBER($F59)),
                SUMIF((OFFSET(CÁLCULO!$AM$15:$AW$15,$F59,0,OFFSET(ORÇAMENTO!$D$15,CRONO!$F59,0))),CRONO!AE$12,OFFSET(CÁLCULO!$AB$15:$AL$15,$F59,0,OFFSET(ORÇAMENTO!$D$15,CRONO!$F59,0)))
                +IF(AND($F61&lt;&gt;"",$F61&lt;&gt;0),
                        SUMIF(CÁLCULO!$AM$15:$AW$21,CRONO!AE$12,CÁLCULO!$AB$15:$AL$21)/(ORÇAMENTO!$X$15-CÁLCULO.TotalAdmLocal)*CRONO!$F61,
                        0),
                 AE60*$S59),
          SUMIF(OFFSET($S61,1,0,$R59-2),($M59+1)&amp;"$",OFFSET(AE61,1,0,$R59-2)))</f>
        <v>#VALUE!</v>
      </c>
      <c r="AF61" s="438" t="e">
        <f aca="true" t="array" ref="AF61:AF61">IF($R59=2,
         IF(AND(ACOMPANHAMENTO="PLE",ISNUMBER($F59)),
                SUMIF((OFFSET(CÁLCULO!$AM$15:$AW$15,$F59,0,OFFSET(ORÇAMENTO!$D$15,CRONO!$F59,0))),CRONO!AF$12,OFFSET(CÁLCULO!$AB$15:$AL$15,$F59,0,OFFSET(ORÇAMENTO!$D$15,CRONO!$F59,0)))
                +IF(AND($F61&lt;&gt;"",$F61&lt;&gt;0),
                        SUMIF(CÁLCULO!$AM$15:$AW$21,CRONO!AF$12,CÁLCULO!$AB$15:$AL$21)/(ORÇAMENTO!$X$15-CÁLCULO.TotalAdmLocal)*CRONO!$F61,
                        0),
                 AF60*$S59),
          SUMIF(OFFSET($S61,1,0,$R59-2),($M59+1)&amp;"$",OFFSET(AF61,1,0,$R59-2)))</f>
        <v>#VALUE!</v>
      </c>
      <c r="AG61" s="429"/>
    </row>
    <row r="62" customFormat="false" ht="12.75" hidden="false" customHeight="false" outlineLevel="0" collapsed="false">
      <c r="A62" s="380" t="str">
        <f aca="false">IF($M62&gt;1,_xlfn.CONCAT($I62," ",$J62),"")</f>
        <v/>
      </c>
      <c r="B62" s="418" t="n">
        <f aca="true">OFFSET(B62,-3,0)+1</f>
        <v>17</v>
      </c>
      <c r="C62" s="418" t="n">
        <f aca="true">IF($R62&lt;&gt;2,0,IF($S62=0,1,IF(F63&gt;0,OFFSET(QCI!$M$13,SUBSTITUTE(F63,".",""),0),OFFSET(ORÇAMENTO!$AA$15,CRONO!$F62,0))/$S62))</f>
        <v>0</v>
      </c>
      <c r="D62" s="418" t="n">
        <f aca="true">IF($R62&lt;&gt;2,0,IF($S62=0,1,IF(F63&gt;0,OFFSET(QCI!$N$13,SUBSTITUTE(F63,".",""),0),OFFSET(ORÇAMENTO!$AB$15,CRONO!$F62,0))/$S62))</f>
        <v>0</v>
      </c>
      <c r="E62" s="421" t="e">
        <f aca="false" t="array" ref="E62:E62">IF(AND($R62=2,ACOMPANHAMENTO="BM"),ROUND(E63,4),E64/$S62)</f>
        <v>#VALUE!</v>
      </c>
      <c r="F62" s="418" t="e">
        <f aca="true" t="array" ref="F62:F62">IF(B62&lt;=ORÇAMENTO.MáximoListaCrono,MATCH(B62,ORÇAMENTO.ListaCrono,0),NA())</f>
        <v>#N/A</v>
      </c>
      <c r="G62" s="418" t="str">
        <f aca="false">IF(AND($F63&lt;&gt;-1,$S62&gt;0),"F","")</f>
        <v/>
      </c>
      <c r="H62" s="422" t="str">
        <f aca="false" t="array" ref="H62:H62">IF(OR(S62=0,S62=""),"Linha",IF(AND(OR(ACOMPANHAMENTO="PLE",$R62&lt;&gt;2),$F63=0),"Linha",ROUND(1-SUM(U62:AG62),4)))</f>
        <v>Linha</v>
      </c>
      <c r="I62" s="423" t="str">
        <f aca="true">IF($F63=0,OFFSET(ORÇAMENTO!O$15,$F62,0),IF($F63&lt;&gt;-1,OFFSET(QCI!$D$13,$F63,0),""))</f>
        <v/>
      </c>
      <c r="J62" s="424" t="str">
        <f aca="true">IF($F63=0,OFFSET(ORÇAMENTO!R$15,$F62,0),IF($F63&lt;&gt;-1,OFFSET(QCI!$G$13,$F63,0),""))</f>
        <v/>
      </c>
      <c r="K62" s="424"/>
      <c r="L62" s="424"/>
      <c r="M62" s="425" t="n">
        <f aca="true">IF($F63=0,OFFSET(ORÇAMENTO!C$15,$F62,0),1)</f>
        <v>1</v>
      </c>
      <c r="N62" s="426" t="n">
        <f aca="true">IF($F63=-1,0,IF(N$13&lt;=$M62,IF(ISERROR(MATCH(N$13,OFFSET($M62,1,0,ROW($M$68)-ROW($M62)-1),0)),ROW($M$68)-ROW($M62)-1,MATCH(N$13,OFFSET($M62,1,0,ROW($M$68)-ROW($M62)-1),0)-1),0))</f>
        <v>0</v>
      </c>
      <c r="O62" s="426" t="n">
        <f aca="true">IF($F63=-1,0,IF(O$13&lt;=$M62,IF(ISERROR(MATCH(O$13,OFFSET($M62,1,0,ROW($M$68)-ROW($M62)-1),0)),ROW($M$68)-ROW($M62)-1,MATCH(O$13,OFFSET($M62,1,0,ROW($M$68)-ROW($M62)-1),0)-1),0))</f>
        <v>0</v>
      </c>
      <c r="P62" s="426" t="n">
        <f aca="true">IF($F63=-1,0,IF(P$13&lt;=$M62,IF(ISERROR(MATCH(P$13,OFFSET($M62,1,0,ROW($M$68)-ROW($M62)-1),0)),ROW($M$68)-ROW($M62)-1,MATCH(P$13,OFFSET($M62,1,0,ROW($M$68)-ROW($M62)-1),0)-1),0))</f>
        <v>0</v>
      </c>
      <c r="Q62" s="426" t="n">
        <f aca="true">IF($F63=-1,0,IF(Q$13&lt;=$M62,IF(ISERROR(MATCH(Q$13,OFFSET($M62,1,0,ROW($M$68)-ROW($M62)-1),0)),ROW($M$68)-ROW($M62)-1,MATCH(Q$13,OFFSET($M62,1,0,ROW($M$68)-ROW($M62)-1),0)-1),0))</f>
        <v>0</v>
      </c>
      <c r="R62" s="426" t="n">
        <f aca="true">MIN(OFFSET(M62,0,1,,M62))</f>
        <v>0</v>
      </c>
      <c r="S62" s="427" t="str">
        <f aca="true">IF($F63=0,OFFSET(ORÇAMENTO!X$15,$F62,0),IF($F63&lt;&gt;-1,OFFSET(QCI!$O$13,$F63,0),""))</f>
        <v/>
      </c>
      <c r="T62" s="428" t="s">
        <v>870</v>
      </c>
      <c r="U62" s="421" t="e">
        <f aca="false" t="array" ref="U62:U62">IF(AND($R62=2,ACOMPANHAMENTO="BM"),ROUND(U63,4),U64/$S62)</f>
        <v>#VALUE!</v>
      </c>
      <c r="V62" s="421" t="e">
        <f aca="false" t="array" ref="V62:V62">IF(AND($R62=2,ACOMPANHAMENTO="BM"),ROUND(V63,4),V64/$S62)</f>
        <v>#VALUE!</v>
      </c>
      <c r="W62" s="421" t="e">
        <f aca="false" t="array" ref="W62:W62">IF(AND($R62=2,ACOMPANHAMENTO="BM"),ROUND(W63,4),W64/$S62)</f>
        <v>#VALUE!</v>
      </c>
      <c r="X62" s="421" t="e">
        <f aca="false" t="array" ref="X62:X62">IF(AND($R62=2,ACOMPANHAMENTO="BM"),ROUND(X63,4),X64/$S62)</f>
        <v>#VALUE!</v>
      </c>
      <c r="Y62" s="421" t="e">
        <f aca="false" t="array" ref="Y62:Y62">IF(AND($R62=2,ACOMPANHAMENTO="BM"),ROUND(Y63,4),Y64/$S62)</f>
        <v>#VALUE!</v>
      </c>
      <c r="Z62" s="421" t="e">
        <f aca="false" t="array" ref="Z62:Z62">IF(AND($R62=2,ACOMPANHAMENTO="BM"),ROUND(Z63,4),Z64/$S62)</f>
        <v>#VALUE!</v>
      </c>
      <c r="AA62" s="421" t="e">
        <f aca="false" t="array" ref="AA62:AA62">IF(AND($R62=2,ACOMPANHAMENTO="BM"),ROUND(AA63,4),AA64/$S62)</f>
        <v>#VALUE!</v>
      </c>
      <c r="AB62" s="421" t="e">
        <f aca="false" t="array" ref="AB62:AB62">IF(AND($R62=2,ACOMPANHAMENTO="BM"),ROUND(AB63,4),AB64/$S62)</f>
        <v>#VALUE!</v>
      </c>
      <c r="AC62" s="421" t="e">
        <f aca="false" t="array" ref="AC62:AC62">IF(AND($R62=2,ACOMPANHAMENTO="BM"),ROUND(AC63,4),AC64/$S62)</f>
        <v>#VALUE!</v>
      </c>
      <c r="AD62" s="421" t="e">
        <f aca="false" t="array" ref="AD62:AD62">IF(AND($R62=2,ACOMPANHAMENTO="BM"),ROUND(AD63,4),AD64/$S62)</f>
        <v>#VALUE!</v>
      </c>
      <c r="AE62" s="421" t="e">
        <f aca="false" t="array" ref="AE62:AE62">IF(AND($R62=2,ACOMPANHAMENTO="BM"),ROUND(AE63,4),AE64/$S62)</f>
        <v>#VALUE!</v>
      </c>
      <c r="AF62" s="421" t="e">
        <f aca="false" t="array" ref="AF62:AF62">IF(AND($R62=2,ACOMPANHAMENTO="BM"),ROUND(AF63,4),AF64/$S62)</f>
        <v>#VALUE!</v>
      </c>
      <c r="AG62" s="429"/>
    </row>
    <row r="63" customFormat="false" ht="12.75" hidden="true" customHeight="true" outlineLevel="0" collapsed="false">
      <c r="E63" s="430"/>
      <c r="F63" s="418" t="n">
        <f aca="true">IF(ISERROR(F62),IF(1+COUNTIF($M$13:OFFSET(M62,-1,0),1)&lt;=MAX(QCI!$D$13:$D$24),1+COUNTIF($M$13:OFFSET(M62,-1,0),1),-1),0)</f>
        <v>-1</v>
      </c>
      <c r="G63" s="418" t="str">
        <f aca="true" t="array" ref="G63:G63">IF(ACOMPANHAMENTO="BM",OFFSET(G63,-1,0),"")</f>
        <v/>
      </c>
      <c r="H63" s="431" t="str">
        <f aca="false" t="array" ref="H63:H63">IF(OR(S62=0,S62=""),"vazia",IF(AND(OR(ACOMPANHAMENTO="PLE",$R62&lt;&gt;2),$F63=0),"calculada","--&gt;"))</f>
        <v>vazia</v>
      </c>
      <c r="I63" s="432"/>
      <c r="J63" s="433" t="str">
        <f aca="false">IF(AND(H62&lt;&gt;0,ISNUMBER(H62)),"PREENCHA ESTA LINHA --&gt;","")</f>
        <v/>
      </c>
      <c r="K63" s="433"/>
      <c r="L63" s="433"/>
      <c r="M63" s="434"/>
      <c r="N63" s="434"/>
      <c r="O63" s="434"/>
      <c r="P63" s="434"/>
      <c r="Q63" s="434"/>
      <c r="R63" s="434"/>
      <c r="S63" s="435"/>
      <c r="T63" s="436"/>
      <c r="U63" s="430"/>
      <c r="V63" s="430"/>
      <c r="W63" s="430"/>
      <c r="X63" s="430"/>
      <c r="Y63" s="430"/>
      <c r="Z63" s="430"/>
      <c r="AA63" s="430"/>
      <c r="AB63" s="430"/>
      <c r="AC63" s="430"/>
      <c r="AD63" s="430"/>
      <c r="AE63" s="430"/>
      <c r="AF63" s="430"/>
      <c r="AG63" s="429"/>
    </row>
    <row r="64" customFormat="false" ht="12.75" hidden="true" customHeight="true" outlineLevel="0" collapsed="false">
      <c r="D64" s="437"/>
      <c r="E64" s="438" t="e">
        <f aca="true" t="array" ref="E64:E64">IF($R62=2,
         IF(AND(ACOMPANHAMENTO="PLE",ISNUMBER($F62)),
                SUMIF((OFFSET(CÁLCULO!$AM$15:$AW$15,$F62,0,OFFSET(ORÇAMENTO!$D$15,CRONO!$F62,0))),CRONO!E$12,OFFSET(CÁLCULO!$AB$15:$AL$15,$F62,0,OFFSET(ORÇAMENTO!$D$15,CRONO!$F62,0)))
                +IF(AND($F64&lt;&gt;"",$F64&lt;&gt;0),
                        SUMIF(CÁLCULO!$AM$15:$AW$21,CRONO!E$12,CÁLCULO!$AB$15:$AL$21)/(ORÇAMENTO!$X$15-CÁLCULO.TotalAdmLocal)*CRONO!$F64,
                        0),
                 E63*$S62),
          SUMIF(OFFSET($S64,1,0,$R62-2),($M62+1)&amp;"$",OFFSET(E64,1,0,$R62-2)))</f>
        <v>#VALUE!</v>
      </c>
      <c r="F64" s="418" t="str">
        <f aca="true">IF(OR($R62&lt;&gt;2,AUTOEVENTO&lt;&gt;"manual",$F63&gt;0),"",
        IF(Import.TipoArredondamento="Tradicional",
              SUMIF(OFFSET(CÁLCULO!$M$15,CRONO!$F62,0,OFFSET(ORÇAMENTO!$D$15,CRONO!$F62,0)),1,OFFSET(ORÇAMENTO!$X$15,CRONO!$F62,0,OFFSET(ORÇAMENTO!$D$15,CRONO!$F62,0))),
              0))</f>
        <v/>
      </c>
      <c r="H64" s="439"/>
      <c r="S64" s="440" t="str">
        <f aca="false">M62&amp;"$"</f>
        <v>1$</v>
      </c>
      <c r="T64" s="441"/>
      <c r="U64" s="438" t="e">
        <f aca="true" t="array" ref="U64:U64">IF($R62=2,
         IF(AND(ACOMPANHAMENTO="PLE",ISNUMBER($F62)),
                SUMIF((OFFSET(CÁLCULO!$AM$15:$AW$15,$F62,0,OFFSET(ORÇAMENTO!$D$15,CRONO!$F62,0))),CRONO!U$12,OFFSET(CÁLCULO!$AB$15:$AL$15,$F62,0,OFFSET(ORÇAMENTO!$D$15,CRONO!$F62,0)))
                +IF(AND($F64&lt;&gt;"",$F64&lt;&gt;0),
                        SUMIF(CÁLCULO!$AM$15:$AW$21,CRONO!U$12,CÁLCULO!$AB$15:$AL$21)/(ORÇAMENTO!$X$15-CÁLCULO.TotalAdmLocal)*CRONO!$F64,
                        0),
                 U63*$S62),
          SUMIF(OFFSET($S64,1,0,$R62-2),($M62+1)&amp;"$",OFFSET(U64,1,0,$R62-2)))</f>
        <v>#VALUE!</v>
      </c>
      <c r="V64" s="438" t="e">
        <f aca="true" t="array" ref="V64:V64">IF($R62=2,
         IF(AND(ACOMPANHAMENTO="PLE",ISNUMBER($F62)),
                SUMIF((OFFSET(CÁLCULO!$AM$15:$AW$15,$F62,0,OFFSET(ORÇAMENTO!$D$15,CRONO!$F62,0))),CRONO!V$12,OFFSET(CÁLCULO!$AB$15:$AL$15,$F62,0,OFFSET(ORÇAMENTO!$D$15,CRONO!$F62,0)))
                +IF(AND($F64&lt;&gt;"",$F64&lt;&gt;0),
                        SUMIF(CÁLCULO!$AM$15:$AW$21,CRONO!V$12,CÁLCULO!$AB$15:$AL$21)/(ORÇAMENTO!$X$15-CÁLCULO.TotalAdmLocal)*CRONO!$F64,
                        0),
                 V63*$S62),
          SUMIF(OFFSET($S64,1,0,$R62-2),($M62+1)&amp;"$",OFFSET(V64,1,0,$R62-2)))</f>
        <v>#VALUE!</v>
      </c>
      <c r="W64" s="438" t="e">
        <f aca="true" t="array" ref="W64:W64">IF($R62=2,
         IF(AND(ACOMPANHAMENTO="PLE",ISNUMBER($F62)),
                SUMIF((OFFSET(CÁLCULO!$AM$15:$AW$15,$F62,0,OFFSET(ORÇAMENTO!$D$15,CRONO!$F62,0))),CRONO!W$12,OFFSET(CÁLCULO!$AB$15:$AL$15,$F62,0,OFFSET(ORÇAMENTO!$D$15,CRONO!$F62,0)))
                +IF(AND($F64&lt;&gt;"",$F64&lt;&gt;0),
                        SUMIF(CÁLCULO!$AM$15:$AW$21,CRONO!W$12,CÁLCULO!$AB$15:$AL$21)/(ORÇAMENTO!$X$15-CÁLCULO.TotalAdmLocal)*CRONO!$F64,
                        0),
                 W63*$S62),
          SUMIF(OFFSET($S64,1,0,$R62-2),($M62+1)&amp;"$",OFFSET(W64,1,0,$R62-2)))</f>
        <v>#VALUE!</v>
      </c>
      <c r="X64" s="438" t="e">
        <f aca="true" t="array" ref="X64:X64">IF($R62=2,
         IF(AND(ACOMPANHAMENTO="PLE",ISNUMBER($F62)),
                SUMIF((OFFSET(CÁLCULO!$AM$15:$AW$15,$F62,0,OFFSET(ORÇAMENTO!$D$15,CRONO!$F62,0))),CRONO!X$12,OFFSET(CÁLCULO!$AB$15:$AL$15,$F62,0,OFFSET(ORÇAMENTO!$D$15,CRONO!$F62,0)))
                +IF(AND($F64&lt;&gt;"",$F64&lt;&gt;0),
                        SUMIF(CÁLCULO!$AM$15:$AW$21,CRONO!X$12,CÁLCULO!$AB$15:$AL$21)/(ORÇAMENTO!$X$15-CÁLCULO.TotalAdmLocal)*CRONO!$F64,
                        0),
                 X63*$S62),
          SUMIF(OFFSET($S64,1,0,$R62-2),($M62+1)&amp;"$",OFFSET(X64,1,0,$R62-2)))</f>
        <v>#VALUE!</v>
      </c>
      <c r="Y64" s="438" t="e">
        <f aca="true" t="array" ref="Y64:Y64">IF($R62=2,
         IF(AND(ACOMPANHAMENTO="PLE",ISNUMBER($F62)),
                SUMIF((OFFSET(CÁLCULO!$AM$15:$AW$15,$F62,0,OFFSET(ORÇAMENTO!$D$15,CRONO!$F62,0))),CRONO!Y$12,OFFSET(CÁLCULO!$AB$15:$AL$15,$F62,0,OFFSET(ORÇAMENTO!$D$15,CRONO!$F62,0)))
                +IF(AND($F64&lt;&gt;"",$F64&lt;&gt;0),
                        SUMIF(CÁLCULO!$AM$15:$AW$21,CRONO!Y$12,CÁLCULO!$AB$15:$AL$21)/(ORÇAMENTO!$X$15-CÁLCULO.TotalAdmLocal)*CRONO!$F64,
                        0),
                 Y63*$S62),
          SUMIF(OFFSET($S64,1,0,$R62-2),($M62+1)&amp;"$",OFFSET(Y64,1,0,$R62-2)))</f>
        <v>#VALUE!</v>
      </c>
      <c r="Z64" s="438" t="e">
        <f aca="true" t="array" ref="Z64:Z64">IF($R62=2,
         IF(AND(ACOMPANHAMENTO="PLE",ISNUMBER($F62)),
                SUMIF((OFFSET(CÁLCULO!$AM$15:$AW$15,$F62,0,OFFSET(ORÇAMENTO!$D$15,CRONO!$F62,0))),CRONO!Z$12,OFFSET(CÁLCULO!$AB$15:$AL$15,$F62,0,OFFSET(ORÇAMENTO!$D$15,CRONO!$F62,0)))
                +IF(AND($F64&lt;&gt;"",$F64&lt;&gt;0),
                        SUMIF(CÁLCULO!$AM$15:$AW$21,CRONO!Z$12,CÁLCULO!$AB$15:$AL$21)/(ORÇAMENTO!$X$15-CÁLCULO.TotalAdmLocal)*CRONO!$F64,
                        0),
                 Z63*$S62),
          SUMIF(OFFSET($S64,1,0,$R62-2),($M62+1)&amp;"$",OFFSET(Z64,1,0,$R62-2)))</f>
        <v>#VALUE!</v>
      </c>
      <c r="AA64" s="438" t="e">
        <f aca="true" t="array" ref="AA64:AA64">IF($R62=2,
         IF(AND(ACOMPANHAMENTO="PLE",ISNUMBER($F62)),
                SUMIF((OFFSET(CÁLCULO!$AM$15:$AW$15,$F62,0,OFFSET(ORÇAMENTO!$D$15,CRONO!$F62,0))),CRONO!AA$12,OFFSET(CÁLCULO!$AB$15:$AL$15,$F62,0,OFFSET(ORÇAMENTO!$D$15,CRONO!$F62,0)))
                +IF(AND($F64&lt;&gt;"",$F64&lt;&gt;0),
                        SUMIF(CÁLCULO!$AM$15:$AW$21,CRONO!AA$12,CÁLCULO!$AB$15:$AL$21)/(ORÇAMENTO!$X$15-CÁLCULO.TotalAdmLocal)*CRONO!$F64,
                        0),
                 AA63*$S62),
          SUMIF(OFFSET($S64,1,0,$R62-2),($M62+1)&amp;"$",OFFSET(AA64,1,0,$R62-2)))</f>
        <v>#VALUE!</v>
      </c>
      <c r="AB64" s="438" t="e">
        <f aca="true" t="array" ref="AB64:AB64">IF($R62=2,
         IF(AND(ACOMPANHAMENTO="PLE",ISNUMBER($F62)),
                SUMIF((OFFSET(CÁLCULO!$AM$15:$AW$15,$F62,0,OFFSET(ORÇAMENTO!$D$15,CRONO!$F62,0))),CRONO!AB$12,OFFSET(CÁLCULO!$AB$15:$AL$15,$F62,0,OFFSET(ORÇAMENTO!$D$15,CRONO!$F62,0)))
                +IF(AND($F64&lt;&gt;"",$F64&lt;&gt;0),
                        SUMIF(CÁLCULO!$AM$15:$AW$21,CRONO!AB$12,CÁLCULO!$AB$15:$AL$21)/(ORÇAMENTO!$X$15-CÁLCULO.TotalAdmLocal)*CRONO!$F64,
                        0),
                 AB63*$S62),
          SUMIF(OFFSET($S64,1,0,$R62-2),($M62+1)&amp;"$",OFFSET(AB64,1,0,$R62-2)))</f>
        <v>#VALUE!</v>
      </c>
      <c r="AC64" s="438" t="e">
        <f aca="true" t="array" ref="AC64:AC64">IF($R62=2,
         IF(AND(ACOMPANHAMENTO="PLE",ISNUMBER($F62)),
                SUMIF((OFFSET(CÁLCULO!$AM$15:$AW$15,$F62,0,OFFSET(ORÇAMENTO!$D$15,CRONO!$F62,0))),CRONO!AC$12,OFFSET(CÁLCULO!$AB$15:$AL$15,$F62,0,OFFSET(ORÇAMENTO!$D$15,CRONO!$F62,0)))
                +IF(AND($F64&lt;&gt;"",$F64&lt;&gt;0),
                        SUMIF(CÁLCULO!$AM$15:$AW$21,CRONO!AC$12,CÁLCULO!$AB$15:$AL$21)/(ORÇAMENTO!$X$15-CÁLCULO.TotalAdmLocal)*CRONO!$F64,
                        0),
                 AC63*$S62),
          SUMIF(OFFSET($S64,1,0,$R62-2),($M62+1)&amp;"$",OFFSET(AC64,1,0,$R62-2)))</f>
        <v>#VALUE!</v>
      </c>
      <c r="AD64" s="438" t="e">
        <f aca="true" t="array" ref="AD64:AD64">IF($R62=2,
         IF(AND(ACOMPANHAMENTO="PLE",ISNUMBER($F62)),
                SUMIF((OFFSET(CÁLCULO!$AM$15:$AW$15,$F62,0,OFFSET(ORÇAMENTO!$D$15,CRONO!$F62,0))),CRONO!AD$12,OFFSET(CÁLCULO!$AB$15:$AL$15,$F62,0,OFFSET(ORÇAMENTO!$D$15,CRONO!$F62,0)))
                +IF(AND($F64&lt;&gt;"",$F64&lt;&gt;0),
                        SUMIF(CÁLCULO!$AM$15:$AW$21,CRONO!AD$12,CÁLCULO!$AB$15:$AL$21)/(ORÇAMENTO!$X$15-CÁLCULO.TotalAdmLocal)*CRONO!$F64,
                        0),
                 AD63*$S62),
          SUMIF(OFFSET($S64,1,0,$R62-2),($M62+1)&amp;"$",OFFSET(AD64,1,0,$R62-2)))</f>
        <v>#VALUE!</v>
      </c>
      <c r="AE64" s="438" t="e">
        <f aca="true" t="array" ref="AE64:AE64">IF($R62=2,
         IF(AND(ACOMPANHAMENTO="PLE",ISNUMBER($F62)),
                SUMIF((OFFSET(CÁLCULO!$AM$15:$AW$15,$F62,0,OFFSET(ORÇAMENTO!$D$15,CRONO!$F62,0))),CRONO!AE$12,OFFSET(CÁLCULO!$AB$15:$AL$15,$F62,0,OFFSET(ORÇAMENTO!$D$15,CRONO!$F62,0)))
                +IF(AND($F64&lt;&gt;"",$F64&lt;&gt;0),
                        SUMIF(CÁLCULO!$AM$15:$AW$21,CRONO!AE$12,CÁLCULO!$AB$15:$AL$21)/(ORÇAMENTO!$X$15-CÁLCULO.TotalAdmLocal)*CRONO!$F64,
                        0),
                 AE63*$S62),
          SUMIF(OFFSET($S64,1,0,$R62-2),($M62+1)&amp;"$",OFFSET(AE64,1,0,$R62-2)))</f>
        <v>#VALUE!</v>
      </c>
      <c r="AF64" s="438" t="e">
        <f aca="true" t="array" ref="AF64:AF64">IF($R62=2,
         IF(AND(ACOMPANHAMENTO="PLE",ISNUMBER($F62)),
                SUMIF((OFFSET(CÁLCULO!$AM$15:$AW$15,$F62,0,OFFSET(ORÇAMENTO!$D$15,CRONO!$F62,0))),CRONO!AF$12,OFFSET(CÁLCULO!$AB$15:$AL$15,$F62,0,OFFSET(ORÇAMENTO!$D$15,CRONO!$F62,0)))
                +IF(AND($F64&lt;&gt;"",$F64&lt;&gt;0),
                        SUMIF(CÁLCULO!$AM$15:$AW$21,CRONO!AF$12,CÁLCULO!$AB$15:$AL$21)/(ORÇAMENTO!$X$15-CÁLCULO.TotalAdmLocal)*CRONO!$F64,
                        0),
                 AF63*$S62),
          SUMIF(OFFSET($S64,1,0,$R62-2),($M62+1)&amp;"$",OFFSET(AF64,1,0,$R62-2)))</f>
        <v>#VALUE!</v>
      </c>
      <c r="AG64" s="429"/>
    </row>
    <row r="65" customFormat="false" ht="12.75" hidden="false" customHeight="false" outlineLevel="0" collapsed="false">
      <c r="A65" s="380" t="str">
        <f aca="false">IF($M65&gt;1,_xlfn.CONCAT($I65," ",$J65),"")</f>
        <v/>
      </c>
      <c r="B65" s="418" t="n">
        <f aca="true">OFFSET(B65,-3,0)+1</f>
        <v>18</v>
      </c>
      <c r="C65" s="418" t="n">
        <f aca="true">IF($R65&lt;&gt;2,0,IF($S65=0,1,IF(F66&gt;0,OFFSET(QCI!$M$13,SUBSTITUTE(F66,".",""),0),OFFSET(ORÇAMENTO!$AA$15,CRONO!$F65,0))/$S65))</f>
        <v>0</v>
      </c>
      <c r="D65" s="418" t="n">
        <f aca="true">IF($R65&lt;&gt;2,0,IF($S65=0,1,IF(F66&gt;0,OFFSET(QCI!$N$13,SUBSTITUTE(F66,".",""),0),OFFSET(ORÇAMENTO!$AB$15,CRONO!$F65,0))/$S65))</f>
        <v>0</v>
      </c>
      <c r="E65" s="421" t="e">
        <f aca="false" t="array" ref="E65:E65">IF(AND($R65=2,ACOMPANHAMENTO="BM"),ROUND(E66,4),E67/$S65)</f>
        <v>#VALUE!</v>
      </c>
      <c r="F65" s="418" t="e">
        <f aca="true" t="array" ref="F65:F65">IF(B65&lt;=ORÇAMENTO.MáximoListaCrono,MATCH(B65,ORÇAMENTO.ListaCrono,0),NA())</f>
        <v>#N/A</v>
      </c>
      <c r="G65" s="418" t="str">
        <f aca="false">IF(AND($F66&lt;&gt;-1,$S65&gt;0),"F","")</f>
        <v/>
      </c>
      <c r="H65" s="422" t="str">
        <f aca="false" t="array" ref="H65:H65">IF(OR(S65=0,S65=""),"Linha",IF(AND(OR(ACOMPANHAMENTO="PLE",$R65&lt;&gt;2),$F66=0),"Linha",ROUND(1-SUM(U65:AG65),4)))</f>
        <v>Linha</v>
      </c>
      <c r="I65" s="423" t="str">
        <f aca="true">IF($F66=0,OFFSET(ORÇAMENTO!O$15,$F65,0),IF($F66&lt;&gt;-1,OFFSET(QCI!$D$13,$F66,0),""))</f>
        <v/>
      </c>
      <c r="J65" s="424" t="str">
        <f aca="true">IF($F66=0,OFFSET(ORÇAMENTO!R$15,$F65,0),IF($F66&lt;&gt;-1,OFFSET(QCI!$G$13,$F66,0),""))</f>
        <v/>
      </c>
      <c r="K65" s="424"/>
      <c r="L65" s="424"/>
      <c r="M65" s="425" t="n">
        <f aca="true">IF($F66=0,OFFSET(ORÇAMENTO!C$15,$F65,0),1)</f>
        <v>1</v>
      </c>
      <c r="N65" s="426" t="n">
        <f aca="true">IF($F66=-1,0,IF(N$13&lt;=$M65,IF(ISERROR(MATCH(N$13,OFFSET($M65,1,0,ROW($M$68)-ROW($M65)-1),0)),ROW($M$68)-ROW($M65)-1,MATCH(N$13,OFFSET($M65,1,0,ROW($M$68)-ROW($M65)-1),0)-1),0))</f>
        <v>0</v>
      </c>
      <c r="O65" s="426" t="n">
        <f aca="true">IF($F66=-1,0,IF(O$13&lt;=$M65,IF(ISERROR(MATCH(O$13,OFFSET($M65,1,0,ROW($M$68)-ROW($M65)-1),0)),ROW($M$68)-ROW($M65)-1,MATCH(O$13,OFFSET($M65,1,0,ROW($M$68)-ROW($M65)-1),0)-1),0))</f>
        <v>0</v>
      </c>
      <c r="P65" s="426" t="n">
        <f aca="true">IF($F66=-1,0,IF(P$13&lt;=$M65,IF(ISERROR(MATCH(P$13,OFFSET($M65,1,0,ROW($M$68)-ROW($M65)-1),0)),ROW($M$68)-ROW($M65)-1,MATCH(P$13,OFFSET($M65,1,0,ROW($M$68)-ROW($M65)-1),0)-1),0))</f>
        <v>0</v>
      </c>
      <c r="Q65" s="426" t="n">
        <f aca="true">IF($F66=-1,0,IF(Q$13&lt;=$M65,IF(ISERROR(MATCH(Q$13,OFFSET($M65,1,0,ROW($M$68)-ROW($M65)-1),0)),ROW($M$68)-ROW($M65)-1,MATCH(Q$13,OFFSET($M65,1,0,ROW($M$68)-ROW($M65)-1),0)-1),0))</f>
        <v>0</v>
      </c>
      <c r="R65" s="426" t="n">
        <f aca="true">MIN(OFFSET(M65,0,1,,M65))</f>
        <v>0</v>
      </c>
      <c r="S65" s="427" t="str">
        <f aca="true">IF($F66=0,OFFSET(ORÇAMENTO!X$15,$F65,0),IF($F66&lt;&gt;-1,OFFSET(QCI!$O$13,$F66,0),""))</f>
        <v/>
      </c>
      <c r="T65" s="428" t="s">
        <v>870</v>
      </c>
      <c r="U65" s="421" t="e">
        <f aca="false" t="array" ref="U65:U65">IF(AND($R65=2,ACOMPANHAMENTO="BM"),ROUND(U66,4),U67/$S65)</f>
        <v>#VALUE!</v>
      </c>
      <c r="V65" s="421" t="e">
        <f aca="false" t="array" ref="V65:V65">IF(AND($R65=2,ACOMPANHAMENTO="BM"),ROUND(V66,4),V67/$S65)</f>
        <v>#VALUE!</v>
      </c>
      <c r="W65" s="421" t="e">
        <f aca="false" t="array" ref="W65:W65">IF(AND($R65=2,ACOMPANHAMENTO="BM"),ROUND(W66,4),W67/$S65)</f>
        <v>#VALUE!</v>
      </c>
      <c r="X65" s="421" t="e">
        <f aca="false" t="array" ref="X65:X65">IF(AND($R65=2,ACOMPANHAMENTO="BM"),ROUND(X66,4),X67/$S65)</f>
        <v>#VALUE!</v>
      </c>
      <c r="Y65" s="421" t="e">
        <f aca="false" t="array" ref="Y65:Y65">IF(AND($R65=2,ACOMPANHAMENTO="BM"),ROUND(Y66,4),Y67/$S65)</f>
        <v>#VALUE!</v>
      </c>
      <c r="Z65" s="421" t="e">
        <f aca="false" t="array" ref="Z65:Z65">IF(AND($R65=2,ACOMPANHAMENTO="BM"),ROUND(Z66,4),Z67/$S65)</f>
        <v>#VALUE!</v>
      </c>
      <c r="AA65" s="421" t="e">
        <f aca="false" t="array" ref="AA65:AA65">IF(AND($R65=2,ACOMPANHAMENTO="BM"),ROUND(AA66,4),AA67/$S65)</f>
        <v>#VALUE!</v>
      </c>
      <c r="AB65" s="421" t="e">
        <f aca="false" t="array" ref="AB65:AB65">IF(AND($R65=2,ACOMPANHAMENTO="BM"),ROUND(AB66,4),AB67/$S65)</f>
        <v>#VALUE!</v>
      </c>
      <c r="AC65" s="421" t="e">
        <f aca="false" t="array" ref="AC65:AC65">IF(AND($R65=2,ACOMPANHAMENTO="BM"),ROUND(AC66,4),AC67/$S65)</f>
        <v>#VALUE!</v>
      </c>
      <c r="AD65" s="421" t="e">
        <f aca="false" t="array" ref="AD65:AD65">IF(AND($R65=2,ACOMPANHAMENTO="BM"),ROUND(AD66,4),AD67/$S65)</f>
        <v>#VALUE!</v>
      </c>
      <c r="AE65" s="421" t="e">
        <f aca="false" t="array" ref="AE65:AE65">IF(AND($R65=2,ACOMPANHAMENTO="BM"),ROUND(AE66,4),AE67/$S65)</f>
        <v>#VALUE!</v>
      </c>
      <c r="AF65" s="421" t="e">
        <f aca="false" t="array" ref="AF65:AF65">IF(AND($R65=2,ACOMPANHAMENTO="BM"),ROUND(AF66,4),AF67/$S65)</f>
        <v>#VALUE!</v>
      </c>
      <c r="AG65" s="429"/>
    </row>
    <row r="66" customFormat="false" ht="12.75" hidden="true" customHeight="true" outlineLevel="0" collapsed="false">
      <c r="E66" s="430"/>
      <c r="F66" s="418" t="n">
        <f aca="true">IF(ISERROR(F65),IF(1+COUNTIF($M$13:OFFSET(M65,-1,0),1)&lt;=MAX(QCI!$D$13:$D$24),1+COUNTIF($M$13:OFFSET(M65,-1,0),1),-1),0)</f>
        <v>-1</v>
      </c>
      <c r="G66" s="418" t="str">
        <f aca="true" t="array" ref="G66:G66">IF(ACOMPANHAMENTO="BM",OFFSET(G66,-1,0),"")</f>
        <v/>
      </c>
      <c r="H66" s="431" t="str">
        <f aca="false" t="array" ref="H66:H66">IF(OR(S65=0,S65=""),"vazia",IF(AND(OR(ACOMPANHAMENTO="PLE",$R65&lt;&gt;2),$F66=0),"calculada","--&gt;"))</f>
        <v>vazia</v>
      </c>
      <c r="I66" s="432"/>
      <c r="J66" s="433" t="str">
        <f aca="false">IF(AND(H65&lt;&gt;0,ISNUMBER(H65)),"PREENCHA ESTA LINHA --&gt;","")</f>
        <v/>
      </c>
      <c r="K66" s="433"/>
      <c r="L66" s="433"/>
      <c r="M66" s="434"/>
      <c r="N66" s="434"/>
      <c r="O66" s="434"/>
      <c r="P66" s="434"/>
      <c r="Q66" s="434"/>
      <c r="R66" s="434"/>
      <c r="S66" s="435"/>
      <c r="T66" s="436"/>
      <c r="U66" s="430"/>
      <c r="V66" s="430"/>
      <c r="W66" s="430"/>
      <c r="X66" s="430"/>
      <c r="Y66" s="430"/>
      <c r="Z66" s="430"/>
      <c r="AA66" s="430"/>
      <c r="AB66" s="430"/>
      <c r="AC66" s="430"/>
      <c r="AD66" s="430"/>
      <c r="AE66" s="430"/>
      <c r="AF66" s="430"/>
      <c r="AG66" s="429"/>
    </row>
    <row r="67" customFormat="false" ht="12.75" hidden="true" customHeight="true" outlineLevel="0" collapsed="false">
      <c r="D67" s="437"/>
      <c r="E67" s="438" t="e">
        <f aca="true" t="array" ref="E67:E67">IF($R65=2,
         IF(AND(ACOMPANHAMENTO="PLE",ISNUMBER($F65)),
                SUMIF((OFFSET(CÁLCULO!$AM$15:$AW$15,$F65,0,OFFSET(ORÇAMENTO!$D$15,CRONO!$F65,0))),CRONO!E$12,OFFSET(CÁLCULO!$AB$15:$AL$15,$F65,0,OFFSET(ORÇAMENTO!$D$15,CRONO!$F65,0)))
                +IF(AND($F67&lt;&gt;"",$F67&lt;&gt;0),
                        SUMIF(CÁLCULO!$AM$15:$AW$21,CRONO!E$12,CÁLCULO!$AB$15:$AL$21)/(ORÇAMENTO!$X$15-CÁLCULO.TotalAdmLocal)*CRONO!$F67,
                        0),
                 E66*$S65),
          SUMIF(OFFSET($S67,1,0,$R65-2),($M65+1)&amp;"$",OFFSET(E67,1,0,$R65-2)))</f>
        <v>#VALUE!</v>
      </c>
      <c r="F67" s="418" t="str">
        <f aca="true">IF(OR($R65&lt;&gt;2,AUTOEVENTO&lt;&gt;"manual",$F66&gt;0),"",
        IF(Import.TipoArredondamento="Tradicional",
              SUMIF(OFFSET(CÁLCULO!$M$15,CRONO!$F65,0,OFFSET(ORÇAMENTO!$D$15,CRONO!$F65,0)),1,OFFSET(ORÇAMENTO!$X$15,CRONO!$F65,0,OFFSET(ORÇAMENTO!$D$15,CRONO!$F65,0))),
              0))</f>
        <v/>
      </c>
      <c r="H67" s="439"/>
      <c r="S67" s="440" t="str">
        <f aca="false">M65&amp;"$"</f>
        <v>1$</v>
      </c>
      <c r="T67" s="441"/>
      <c r="U67" s="438" t="e">
        <f aca="true" t="array" ref="U67:U67">IF($R65=2,
         IF(AND(ACOMPANHAMENTO="PLE",ISNUMBER($F65)),
                SUMIF((OFFSET(CÁLCULO!$AM$15:$AW$15,$F65,0,OFFSET(ORÇAMENTO!$D$15,CRONO!$F65,0))),CRONO!U$12,OFFSET(CÁLCULO!$AB$15:$AL$15,$F65,0,OFFSET(ORÇAMENTO!$D$15,CRONO!$F65,0)))
                +IF(AND($F67&lt;&gt;"",$F67&lt;&gt;0),
                        SUMIF(CÁLCULO!$AM$15:$AW$21,CRONO!U$12,CÁLCULO!$AB$15:$AL$21)/(ORÇAMENTO!$X$15-CÁLCULO.TotalAdmLocal)*CRONO!$F67,
                        0),
                 U66*$S65),
          SUMIF(OFFSET($S67,1,0,$R65-2),($M65+1)&amp;"$",OFFSET(U67,1,0,$R65-2)))</f>
        <v>#VALUE!</v>
      </c>
      <c r="V67" s="438" t="e">
        <f aca="true" t="array" ref="V67:V67">IF($R65=2,
         IF(AND(ACOMPANHAMENTO="PLE",ISNUMBER($F65)),
                SUMIF((OFFSET(CÁLCULO!$AM$15:$AW$15,$F65,0,OFFSET(ORÇAMENTO!$D$15,CRONO!$F65,0))),CRONO!V$12,OFFSET(CÁLCULO!$AB$15:$AL$15,$F65,0,OFFSET(ORÇAMENTO!$D$15,CRONO!$F65,0)))
                +IF(AND($F67&lt;&gt;"",$F67&lt;&gt;0),
                        SUMIF(CÁLCULO!$AM$15:$AW$21,CRONO!V$12,CÁLCULO!$AB$15:$AL$21)/(ORÇAMENTO!$X$15-CÁLCULO.TotalAdmLocal)*CRONO!$F67,
                        0),
                 V66*$S65),
          SUMIF(OFFSET($S67,1,0,$R65-2),($M65+1)&amp;"$",OFFSET(V67,1,0,$R65-2)))</f>
        <v>#VALUE!</v>
      </c>
      <c r="W67" s="438" t="e">
        <f aca="true" t="array" ref="W67:W67">IF($R65=2,
         IF(AND(ACOMPANHAMENTO="PLE",ISNUMBER($F65)),
                SUMIF((OFFSET(CÁLCULO!$AM$15:$AW$15,$F65,0,OFFSET(ORÇAMENTO!$D$15,CRONO!$F65,0))),CRONO!W$12,OFFSET(CÁLCULO!$AB$15:$AL$15,$F65,0,OFFSET(ORÇAMENTO!$D$15,CRONO!$F65,0)))
                +IF(AND($F67&lt;&gt;"",$F67&lt;&gt;0),
                        SUMIF(CÁLCULO!$AM$15:$AW$21,CRONO!W$12,CÁLCULO!$AB$15:$AL$21)/(ORÇAMENTO!$X$15-CÁLCULO.TotalAdmLocal)*CRONO!$F67,
                        0),
                 W66*$S65),
          SUMIF(OFFSET($S67,1,0,$R65-2),($M65+1)&amp;"$",OFFSET(W67,1,0,$R65-2)))</f>
        <v>#VALUE!</v>
      </c>
      <c r="X67" s="438" t="e">
        <f aca="true" t="array" ref="X67:X67">IF($R65=2,
         IF(AND(ACOMPANHAMENTO="PLE",ISNUMBER($F65)),
                SUMIF((OFFSET(CÁLCULO!$AM$15:$AW$15,$F65,0,OFFSET(ORÇAMENTO!$D$15,CRONO!$F65,0))),CRONO!X$12,OFFSET(CÁLCULO!$AB$15:$AL$15,$F65,0,OFFSET(ORÇAMENTO!$D$15,CRONO!$F65,0)))
                +IF(AND($F67&lt;&gt;"",$F67&lt;&gt;0),
                        SUMIF(CÁLCULO!$AM$15:$AW$21,CRONO!X$12,CÁLCULO!$AB$15:$AL$21)/(ORÇAMENTO!$X$15-CÁLCULO.TotalAdmLocal)*CRONO!$F67,
                        0),
                 X66*$S65),
          SUMIF(OFFSET($S67,1,0,$R65-2),($M65+1)&amp;"$",OFFSET(X67,1,0,$R65-2)))</f>
        <v>#VALUE!</v>
      </c>
      <c r="Y67" s="438" t="e">
        <f aca="true" t="array" ref="Y67:Y67">IF($R65=2,
         IF(AND(ACOMPANHAMENTO="PLE",ISNUMBER($F65)),
                SUMIF((OFFSET(CÁLCULO!$AM$15:$AW$15,$F65,0,OFFSET(ORÇAMENTO!$D$15,CRONO!$F65,0))),CRONO!Y$12,OFFSET(CÁLCULO!$AB$15:$AL$15,$F65,0,OFFSET(ORÇAMENTO!$D$15,CRONO!$F65,0)))
                +IF(AND($F67&lt;&gt;"",$F67&lt;&gt;0),
                        SUMIF(CÁLCULO!$AM$15:$AW$21,CRONO!Y$12,CÁLCULO!$AB$15:$AL$21)/(ORÇAMENTO!$X$15-CÁLCULO.TotalAdmLocal)*CRONO!$F67,
                        0),
                 Y66*$S65),
          SUMIF(OFFSET($S67,1,0,$R65-2),($M65+1)&amp;"$",OFFSET(Y67,1,0,$R65-2)))</f>
        <v>#VALUE!</v>
      </c>
      <c r="Z67" s="438" t="e">
        <f aca="true" t="array" ref="Z67:Z67">IF($R65=2,
         IF(AND(ACOMPANHAMENTO="PLE",ISNUMBER($F65)),
                SUMIF((OFFSET(CÁLCULO!$AM$15:$AW$15,$F65,0,OFFSET(ORÇAMENTO!$D$15,CRONO!$F65,0))),CRONO!Z$12,OFFSET(CÁLCULO!$AB$15:$AL$15,$F65,0,OFFSET(ORÇAMENTO!$D$15,CRONO!$F65,0)))
                +IF(AND($F67&lt;&gt;"",$F67&lt;&gt;0),
                        SUMIF(CÁLCULO!$AM$15:$AW$21,CRONO!Z$12,CÁLCULO!$AB$15:$AL$21)/(ORÇAMENTO!$X$15-CÁLCULO.TotalAdmLocal)*CRONO!$F67,
                        0),
                 Z66*$S65),
          SUMIF(OFFSET($S67,1,0,$R65-2),($M65+1)&amp;"$",OFFSET(Z67,1,0,$R65-2)))</f>
        <v>#VALUE!</v>
      </c>
      <c r="AA67" s="438" t="e">
        <f aca="true" t="array" ref="AA67:AA67">IF($R65=2,
         IF(AND(ACOMPANHAMENTO="PLE",ISNUMBER($F65)),
                SUMIF((OFFSET(CÁLCULO!$AM$15:$AW$15,$F65,0,OFFSET(ORÇAMENTO!$D$15,CRONO!$F65,0))),CRONO!AA$12,OFFSET(CÁLCULO!$AB$15:$AL$15,$F65,0,OFFSET(ORÇAMENTO!$D$15,CRONO!$F65,0)))
                +IF(AND($F67&lt;&gt;"",$F67&lt;&gt;0),
                        SUMIF(CÁLCULO!$AM$15:$AW$21,CRONO!AA$12,CÁLCULO!$AB$15:$AL$21)/(ORÇAMENTO!$X$15-CÁLCULO.TotalAdmLocal)*CRONO!$F67,
                        0),
                 AA66*$S65),
          SUMIF(OFFSET($S67,1,0,$R65-2),($M65+1)&amp;"$",OFFSET(AA67,1,0,$R65-2)))</f>
        <v>#VALUE!</v>
      </c>
      <c r="AB67" s="438" t="e">
        <f aca="true" t="array" ref="AB67:AB67">IF($R65=2,
         IF(AND(ACOMPANHAMENTO="PLE",ISNUMBER($F65)),
                SUMIF((OFFSET(CÁLCULO!$AM$15:$AW$15,$F65,0,OFFSET(ORÇAMENTO!$D$15,CRONO!$F65,0))),CRONO!AB$12,OFFSET(CÁLCULO!$AB$15:$AL$15,$F65,0,OFFSET(ORÇAMENTO!$D$15,CRONO!$F65,0)))
                +IF(AND($F67&lt;&gt;"",$F67&lt;&gt;0),
                        SUMIF(CÁLCULO!$AM$15:$AW$21,CRONO!AB$12,CÁLCULO!$AB$15:$AL$21)/(ORÇAMENTO!$X$15-CÁLCULO.TotalAdmLocal)*CRONO!$F67,
                        0),
                 AB66*$S65),
          SUMIF(OFFSET($S67,1,0,$R65-2),($M65+1)&amp;"$",OFFSET(AB67,1,0,$R65-2)))</f>
        <v>#VALUE!</v>
      </c>
      <c r="AC67" s="438" t="e">
        <f aca="true" t="array" ref="AC67:AC67">IF($R65=2,
         IF(AND(ACOMPANHAMENTO="PLE",ISNUMBER($F65)),
                SUMIF((OFFSET(CÁLCULO!$AM$15:$AW$15,$F65,0,OFFSET(ORÇAMENTO!$D$15,CRONO!$F65,0))),CRONO!AC$12,OFFSET(CÁLCULO!$AB$15:$AL$15,$F65,0,OFFSET(ORÇAMENTO!$D$15,CRONO!$F65,0)))
                +IF(AND($F67&lt;&gt;"",$F67&lt;&gt;0),
                        SUMIF(CÁLCULO!$AM$15:$AW$21,CRONO!AC$12,CÁLCULO!$AB$15:$AL$21)/(ORÇAMENTO!$X$15-CÁLCULO.TotalAdmLocal)*CRONO!$F67,
                        0),
                 AC66*$S65),
          SUMIF(OFFSET($S67,1,0,$R65-2),($M65+1)&amp;"$",OFFSET(AC67,1,0,$R65-2)))</f>
        <v>#VALUE!</v>
      </c>
      <c r="AD67" s="438" t="e">
        <f aca="true" t="array" ref="AD67:AD67">IF($R65=2,
         IF(AND(ACOMPANHAMENTO="PLE",ISNUMBER($F65)),
                SUMIF((OFFSET(CÁLCULO!$AM$15:$AW$15,$F65,0,OFFSET(ORÇAMENTO!$D$15,CRONO!$F65,0))),CRONO!AD$12,OFFSET(CÁLCULO!$AB$15:$AL$15,$F65,0,OFFSET(ORÇAMENTO!$D$15,CRONO!$F65,0)))
                +IF(AND($F67&lt;&gt;"",$F67&lt;&gt;0),
                        SUMIF(CÁLCULO!$AM$15:$AW$21,CRONO!AD$12,CÁLCULO!$AB$15:$AL$21)/(ORÇAMENTO!$X$15-CÁLCULO.TotalAdmLocal)*CRONO!$F67,
                        0),
                 AD66*$S65),
          SUMIF(OFFSET($S67,1,0,$R65-2),($M65+1)&amp;"$",OFFSET(AD67,1,0,$R65-2)))</f>
        <v>#VALUE!</v>
      </c>
      <c r="AE67" s="438" t="e">
        <f aca="true" t="array" ref="AE67:AE67">IF($R65=2,
         IF(AND(ACOMPANHAMENTO="PLE",ISNUMBER($F65)),
                SUMIF((OFFSET(CÁLCULO!$AM$15:$AW$15,$F65,0,OFFSET(ORÇAMENTO!$D$15,CRONO!$F65,0))),CRONO!AE$12,OFFSET(CÁLCULO!$AB$15:$AL$15,$F65,0,OFFSET(ORÇAMENTO!$D$15,CRONO!$F65,0)))
                +IF(AND($F67&lt;&gt;"",$F67&lt;&gt;0),
                        SUMIF(CÁLCULO!$AM$15:$AW$21,CRONO!AE$12,CÁLCULO!$AB$15:$AL$21)/(ORÇAMENTO!$X$15-CÁLCULO.TotalAdmLocal)*CRONO!$F67,
                        0),
                 AE66*$S65),
          SUMIF(OFFSET($S67,1,0,$R65-2),($M65+1)&amp;"$",OFFSET(AE67,1,0,$R65-2)))</f>
        <v>#VALUE!</v>
      </c>
      <c r="AF67" s="438" t="e">
        <f aca="true" t="array" ref="AF67:AF67">IF($R65=2,
         IF(AND(ACOMPANHAMENTO="PLE",ISNUMBER($F65)),
                SUMIF((OFFSET(CÁLCULO!$AM$15:$AW$15,$F65,0,OFFSET(ORÇAMENTO!$D$15,CRONO!$F65,0))),CRONO!AF$12,OFFSET(CÁLCULO!$AB$15:$AL$15,$F65,0,OFFSET(ORÇAMENTO!$D$15,CRONO!$F65,0)))
                +IF(AND($F67&lt;&gt;"",$F67&lt;&gt;0),
                        SUMIF(CÁLCULO!$AM$15:$AW$21,CRONO!AF$12,CÁLCULO!$AB$15:$AL$21)/(ORÇAMENTO!$X$15-CÁLCULO.TotalAdmLocal)*CRONO!$F67,
                        0),
                 AF66*$S65),
          SUMIF(OFFSET($S67,1,0,$R65-2),($M65+1)&amp;"$",OFFSET(AF67,1,0,$R65-2)))</f>
        <v>#VALUE!</v>
      </c>
      <c r="AG67" s="429"/>
    </row>
    <row r="68" customFormat="false" ht="4.5" hidden="false" customHeight="true" outlineLevel="0" collapsed="false">
      <c r="E68" s="473"/>
      <c r="G68" s="418" t="s">
        <v>594</v>
      </c>
      <c r="H68" s="474"/>
      <c r="I68" s="475"/>
      <c r="J68" s="476"/>
      <c r="K68" s="476"/>
      <c r="L68" s="476"/>
      <c r="M68" s="477" t="s">
        <v>882</v>
      </c>
      <c r="N68" s="477"/>
      <c r="O68" s="477"/>
      <c r="P68" s="477"/>
      <c r="Q68" s="477"/>
      <c r="R68" s="477"/>
      <c r="S68" s="478"/>
      <c r="T68" s="478"/>
      <c r="U68" s="476"/>
      <c r="V68" s="476"/>
      <c r="W68" s="476"/>
      <c r="X68" s="476"/>
      <c r="Y68" s="476"/>
      <c r="Z68" s="476"/>
      <c r="AA68" s="476"/>
      <c r="AB68" s="476"/>
      <c r="AC68" s="476"/>
      <c r="AD68" s="476"/>
      <c r="AE68" s="476"/>
      <c r="AF68" s="476"/>
      <c r="AG68" s="429"/>
    </row>
    <row r="69" customFormat="false" ht="12.75" hidden="false" customHeight="true" outlineLevel="0" collapsed="false">
      <c r="E69" s="479" t="e">
        <f aca="false">E73/$R$69</f>
        <v>#VALUE!</v>
      </c>
      <c r="G69" s="418" t="s">
        <v>594</v>
      </c>
      <c r="I69" s="480" t="str">
        <f aca="false">"Total:    R$ "&amp;TEXT(R69,"#.##0,00")</f>
        <v>Total:    R$ 0,00</v>
      </c>
      <c r="J69" s="480"/>
      <c r="K69" s="480"/>
      <c r="L69" s="481"/>
      <c r="R69" s="482" t="n">
        <f aca="false">SUMIF(M12:M68,1,S12:S68)</f>
        <v>0</v>
      </c>
      <c r="S69" s="483"/>
      <c r="T69" s="484" t="s">
        <v>883</v>
      </c>
      <c r="U69" s="479" t="e">
        <f aca="false">ROUND(U73,2)/$R$69</f>
        <v>#VALUE!</v>
      </c>
      <c r="V69" s="479" t="e">
        <f aca="false">ROUND(V73,2)/$R$69</f>
        <v>#VALUE!</v>
      </c>
      <c r="W69" s="479" t="e">
        <f aca="false">ROUND(W73,2)/$R$69</f>
        <v>#VALUE!</v>
      </c>
      <c r="X69" s="479" t="e">
        <f aca="false">ROUND(X73,2)/$R$69</f>
        <v>#VALUE!</v>
      </c>
      <c r="Y69" s="479" t="e">
        <f aca="false">ROUND(Y73,2)/$R$69</f>
        <v>#VALUE!</v>
      </c>
      <c r="Z69" s="479" t="e">
        <f aca="false">ROUND(Z73,2)/$R$69</f>
        <v>#VALUE!</v>
      </c>
      <c r="AA69" s="479" t="e">
        <f aca="false">ROUND(AA73,2)/$R$69</f>
        <v>#VALUE!</v>
      </c>
      <c r="AB69" s="479" t="e">
        <f aca="false">ROUND(AB73,2)/$R$69</f>
        <v>#VALUE!</v>
      </c>
      <c r="AC69" s="479" t="e">
        <f aca="false">ROUND(AC73,2)/$R$69</f>
        <v>#VALUE!</v>
      </c>
      <c r="AD69" s="479" t="e">
        <f aca="false">ROUND(AD73,2)/$R$69</f>
        <v>#VALUE!</v>
      </c>
      <c r="AE69" s="479" t="e">
        <f aca="false">ROUND(AE73,2)/$R$69</f>
        <v>#VALUE!</v>
      </c>
      <c r="AF69" s="485" t="e">
        <f aca="false">ROUND(AF73,2)/$R$69</f>
        <v>#VALUE!</v>
      </c>
      <c r="AG69" s="429"/>
    </row>
    <row r="70" customFormat="false" ht="15" hidden="false" customHeight="true" outlineLevel="0" collapsed="false">
      <c r="E70" s="486" t="e">
        <f aca="false">IF(E$12=1,ROUND(E75,2),ROUND(E75,2)-ROUND(D75,2))</f>
        <v>#VALUE!</v>
      </c>
      <c r="G70" s="418" t="s">
        <v>594</v>
      </c>
      <c r="I70" s="480"/>
      <c r="J70" s="480"/>
      <c r="K70" s="480"/>
      <c r="L70" s="487"/>
      <c r="R70" s="482"/>
      <c r="S70" s="488"/>
      <c r="T70" s="489" t="str">
        <f aca="false">IF(import.recurso="FGTS","Financiamento:","Repasse:")</f>
        <v>Repasse:</v>
      </c>
      <c r="U70" s="486" t="e">
        <f aca="false">IF(U$12=1,ROUND(U75,2),ROUND(U75,2)-ROUND(T75,2))</f>
        <v>#VALUE!</v>
      </c>
      <c r="V70" s="486" t="e">
        <f aca="false">IF(V$12=1,ROUND(V75,2),ROUND(V75,2)-ROUND(U75,2))</f>
        <v>#VALUE!</v>
      </c>
      <c r="W70" s="486" t="e">
        <f aca="false">IF(W$12=1,ROUND(W75,2),ROUND(W75,2)-ROUND(V75,2))</f>
        <v>#VALUE!</v>
      </c>
      <c r="X70" s="486" t="e">
        <f aca="false">IF(X$12=1,ROUND(X75,2),ROUND(X75,2)-ROUND(W75,2))</f>
        <v>#VALUE!</v>
      </c>
      <c r="Y70" s="486" t="e">
        <f aca="false">IF(Y$12=1,ROUND(Y75,2),ROUND(Y75,2)-ROUND(X75,2))</f>
        <v>#VALUE!</v>
      </c>
      <c r="Z70" s="486" t="e">
        <f aca="false">IF(Z$12=1,ROUND(Z75,2),ROUND(Z75,2)-ROUND(Y75,2))</f>
        <v>#VALUE!</v>
      </c>
      <c r="AA70" s="486" t="e">
        <f aca="false">IF(AA$12=1,ROUND(AA75,2),ROUND(AA75,2)-ROUND(Z75,2))</f>
        <v>#VALUE!</v>
      </c>
      <c r="AB70" s="486" t="e">
        <f aca="false">IF(AB$12=1,ROUND(AB75,2),ROUND(AB75,2)-ROUND(AA75,2))</f>
        <v>#VALUE!</v>
      </c>
      <c r="AC70" s="486" t="e">
        <f aca="false">IF(AC$12=1,ROUND(AC75,2),ROUND(AC75,2)-ROUND(AB75,2))</f>
        <v>#VALUE!</v>
      </c>
      <c r="AD70" s="486" t="e">
        <f aca="false">IF(AD$12=1,ROUND(AD75,2),ROUND(AD75,2)-ROUND(AC75,2))</f>
        <v>#VALUE!</v>
      </c>
      <c r="AE70" s="486" t="e">
        <f aca="false">IF(AE$12=1,ROUND(AE75,2),ROUND(AE75,2)-ROUND(AD75,2))</f>
        <v>#VALUE!</v>
      </c>
      <c r="AF70" s="486" t="e">
        <f aca="false">IF(AF$12=1,ROUND(AF75,2),ROUND(AF75,2)-ROUND(AE75,2))</f>
        <v>#VALUE!</v>
      </c>
      <c r="AG70" s="429"/>
    </row>
    <row r="71" customFormat="false" ht="12.75" hidden="false" customHeight="true" outlineLevel="0" collapsed="false">
      <c r="E71" s="490" t="n">
        <f aca="false">IF(E$12=1,ROUND(E76,2),ROUND(E76,2)-ROUND(D76,2))</f>
        <v>0</v>
      </c>
      <c r="G71" s="418" t="s">
        <v>594</v>
      </c>
      <c r="I71" s="491"/>
      <c r="L71" s="492" t="s">
        <v>884</v>
      </c>
      <c r="R71" s="482"/>
      <c r="S71" s="493"/>
      <c r="T71" s="494" t="s">
        <v>885</v>
      </c>
      <c r="U71" s="490" t="n">
        <f aca="false">IF(U$12=1,ROUND(U76,2),ROUND(U76,2)-ROUND(T76,2))</f>
        <v>0</v>
      </c>
      <c r="V71" s="490" t="n">
        <f aca="false">IF(V$12=1,ROUND(V76,2),ROUND(V76,2)-ROUND(U76,2))</f>
        <v>0</v>
      </c>
      <c r="W71" s="490" t="n">
        <f aca="false">IF(W$12=1,ROUND(W76,2),ROUND(W76,2)-ROUND(V76,2))</f>
        <v>0</v>
      </c>
      <c r="X71" s="490" t="n">
        <f aca="false">IF(X$12=1,ROUND(X76,2),ROUND(X76,2)-ROUND(W76,2))</f>
        <v>0</v>
      </c>
      <c r="Y71" s="490" t="n">
        <f aca="false">IF(Y$12=1,ROUND(Y76,2),ROUND(Y76,2)-ROUND(X76,2))</f>
        <v>0</v>
      </c>
      <c r="Z71" s="490" t="n">
        <f aca="false">IF(Z$12=1,ROUND(Z76,2),ROUND(Z76,2)-ROUND(Y76,2))</f>
        <v>0</v>
      </c>
      <c r="AA71" s="490" t="n">
        <f aca="false">IF(AA$12=1,ROUND(AA76,2),ROUND(AA76,2)-ROUND(Z76,2))</f>
        <v>0</v>
      </c>
      <c r="AB71" s="490" t="n">
        <f aca="false">IF(AB$12=1,ROUND(AB76,2),ROUND(AB76,2)-ROUND(AA76,2))</f>
        <v>0</v>
      </c>
      <c r="AC71" s="490" t="n">
        <f aca="false">IF(AC$12=1,ROUND(AC76,2),ROUND(AC76,2)-ROUND(AB76,2))</f>
        <v>0</v>
      </c>
      <c r="AD71" s="490" t="n">
        <f aca="false">IF(AD$12=1,ROUND(AD76,2),ROUND(AD76,2)-ROUND(AC76,2))</f>
        <v>0</v>
      </c>
      <c r="AE71" s="490" t="n">
        <f aca="false">IF(AE$12=1,ROUND(AE76,2),ROUND(AE76,2)-ROUND(AD76,2))</f>
        <v>0</v>
      </c>
      <c r="AF71" s="490" t="n">
        <f aca="false">IF(AF$12=1,ROUND(AF76,2),ROUND(AF76,2)-ROUND(AE76,2))</f>
        <v>0</v>
      </c>
      <c r="AG71" s="429"/>
    </row>
    <row r="72" customFormat="false" ht="12.75" hidden="false" customHeight="false" outlineLevel="0" collapsed="false">
      <c r="E72" s="495" t="n">
        <f aca="false">IF(E$12=1,ROUND(E77,2),ROUND(E77,2)-ROUND(D77,2))</f>
        <v>0</v>
      </c>
      <c r="G72" s="418" t="s">
        <v>594</v>
      </c>
      <c r="I72" s="491"/>
      <c r="L72" s="492"/>
      <c r="R72" s="482"/>
      <c r="S72" s="496"/>
      <c r="T72" s="497" t="s">
        <v>886</v>
      </c>
      <c r="U72" s="495" t="n">
        <f aca="false">IF(U$12=1,ROUND(U77,2),ROUND(U77,2)-ROUND(T77,2))</f>
        <v>0</v>
      </c>
      <c r="V72" s="495" t="n">
        <f aca="false">IF(V$12=1,ROUND(V77,2),ROUND(V77,2)-ROUND(U77,2))</f>
        <v>0</v>
      </c>
      <c r="W72" s="495" t="n">
        <f aca="false">IF(W$12=1,ROUND(W77,2),ROUND(W77,2)-ROUND(V77,2))</f>
        <v>0</v>
      </c>
      <c r="X72" s="495" t="n">
        <f aca="false">IF(X$12=1,ROUND(X77,2),ROUND(X77,2)-ROUND(W77,2))</f>
        <v>0</v>
      </c>
      <c r="Y72" s="495" t="n">
        <f aca="false">IF(Y$12=1,ROUND(Y77,2),ROUND(Y77,2)-ROUND(X77,2))</f>
        <v>0</v>
      </c>
      <c r="Z72" s="495" t="n">
        <f aca="false">IF(Z$12=1,ROUND(Z77,2),ROUND(Z77,2)-ROUND(Y77,2))</f>
        <v>0</v>
      </c>
      <c r="AA72" s="495" t="n">
        <f aca="false">IF(AA$12=1,ROUND(AA77,2),ROUND(AA77,2)-ROUND(Z77,2))</f>
        <v>0</v>
      </c>
      <c r="AB72" s="495" t="n">
        <f aca="false">IF(AB$12=1,ROUND(AB77,2),ROUND(AB77,2)-ROUND(AA77,2))</f>
        <v>0</v>
      </c>
      <c r="AC72" s="495" t="n">
        <f aca="false">IF(AC$12=1,ROUND(AC77,2),ROUND(AC77,2)-ROUND(AB77,2))</f>
        <v>0</v>
      </c>
      <c r="AD72" s="495" t="n">
        <f aca="false">IF(AD$12=1,ROUND(AD77,2),ROUND(AD77,2)-ROUND(AC77,2))</f>
        <v>0</v>
      </c>
      <c r="AE72" s="495" t="n">
        <f aca="false">IF(AE$12=1,ROUND(AE77,2),ROUND(AE77,2)-ROUND(AD77,2))</f>
        <v>0</v>
      </c>
      <c r="AF72" s="495" t="n">
        <f aca="false">IF(AF$12=1,ROUND(AF77,2),ROUND(AF77,2)-ROUND(AE77,2))</f>
        <v>0</v>
      </c>
      <c r="AG72" s="429"/>
    </row>
    <row r="73" customFormat="false" ht="12.75" hidden="false" customHeight="false" outlineLevel="0" collapsed="false">
      <c r="E73" s="498" t="e">
        <f aca="false">IF(E$12=1,ROUND(E78,2),ROUND(E78,2)-ROUND(D78,2))</f>
        <v>#VALUE!</v>
      </c>
      <c r="G73" s="418" t="s">
        <v>594</v>
      </c>
      <c r="H73" s="499"/>
      <c r="L73" s="500"/>
      <c r="S73" s="501"/>
      <c r="T73" s="502" t="s">
        <v>887</v>
      </c>
      <c r="U73" s="498" t="e">
        <f aca="false">IF(U$12=1,ROUND(U78,2),ROUND(U78,2)-ROUND(T78,2))</f>
        <v>#VALUE!</v>
      </c>
      <c r="V73" s="498" t="e">
        <f aca="false">IF(V$12=1,ROUND(V78,2),ROUND(V78,2)-ROUND(U78,2))</f>
        <v>#VALUE!</v>
      </c>
      <c r="W73" s="498" t="e">
        <f aca="false">IF(W$12=1,ROUND(W78,2),ROUND(W78,2)-ROUND(V78,2))</f>
        <v>#VALUE!</v>
      </c>
      <c r="X73" s="498" t="e">
        <f aca="false">IF(X$12=1,ROUND(X78,2),ROUND(X78,2)-ROUND(W78,2))</f>
        <v>#VALUE!</v>
      </c>
      <c r="Y73" s="498" t="e">
        <f aca="false">IF(Y$12=1,ROUND(Y78,2),ROUND(Y78,2)-ROUND(X78,2))</f>
        <v>#VALUE!</v>
      </c>
      <c r="Z73" s="498" t="e">
        <f aca="false">IF(Z$12=1,ROUND(Z78,2),ROUND(Z78,2)-ROUND(Y78,2))</f>
        <v>#VALUE!</v>
      </c>
      <c r="AA73" s="498" t="e">
        <f aca="false">IF(AA$12=1,ROUND(AA78,2),ROUND(AA78,2)-ROUND(Z78,2))</f>
        <v>#VALUE!</v>
      </c>
      <c r="AB73" s="498" t="e">
        <f aca="false">IF(AB$12=1,ROUND(AB78,2),ROUND(AB78,2)-ROUND(AA78,2))</f>
        <v>#VALUE!</v>
      </c>
      <c r="AC73" s="498" t="e">
        <f aca="false">IF(AC$12=1,ROUND(AC78,2),ROUND(AC78,2)-ROUND(AB78,2))</f>
        <v>#VALUE!</v>
      </c>
      <c r="AD73" s="498" t="e">
        <f aca="false">IF(AD$12=1,ROUND(AD78,2),ROUND(AD78,2)-ROUND(AC78,2))</f>
        <v>#VALUE!</v>
      </c>
      <c r="AE73" s="498" t="e">
        <f aca="false">IF(AE$12=1,ROUND(AE78,2),ROUND(AE78,2)-ROUND(AD78,2))</f>
        <v>#VALUE!</v>
      </c>
      <c r="AF73" s="498" t="e">
        <f aca="false">IF(AF$12=1,ROUND(AF78,2),ROUND(AF78,2)-ROUND(AE78,2))</f>
        <v>#VALUE!</v>
      </c>
      <c r="AG73" s="429"/>
    </row>
    <row r="74" customFormat="false" ht="12.75" hidden="false" customHeight="false" outlineLevel="0" collapsed="false">
      <c r="E74" s="479" t="e">
        <f aca="false">ROUND(ROUND(E78,2)/$R$69,4)</f>
        <v>#VALUE!</v>
      </c>
      <c r="G74" s="418" t="s">
        <v>594</v>
      </c>
      <c r="L74" s="481"/>
      <c r="S74" s="483"/>
      <c r="T74" s="484" t="s">
        <v>883</v>
      </c>
      <c r="U74" s="479" t="e">
        <f aca="false">ROUND(ROUND(U78,2)/$R$69,4)</f>
        <v>#VALUE!</v>
      </c>
      <c r="V74" s="479" t="e">
        <f aca="false">ROUND(ROUND(V78,2)/$R$69,4)</f>
        <v>#VALUE!</v>
      </c>
      <c r="W74" s="479" t="e">
        <f aca="false">ROUND(ROUND(W78,2)/$R$69,4)</f>
        <v>#VALUE!</v>
      </c>
      <c r="X74" s="479" t="e">
        <f aca="false">ROUND(ROUND(X78,2)/$R$69,4)</f>
        <v>#VALUE!</v>
      </c>
      <c r="Y74" s="479" t="e">
        <f aca="false">ROUND(ROUND(Y78,2)/$R$69,4)</f>
        <v>#VALUE!</v>
      </c>
      <c r="Z74" s="479" t="e">
        <f aca="false">ROUND(ROUND(Z78,2)/$R$69,4)</f>
        <v>#VALUE!</v>
      </c>
      <c r="AA74" s="479" t="e">
        <f aca="false">ROUND(ROUND(AA78,2)/$R$69,4)</f>
        <v>#VALUE!</v>
      </c>
      <c r="AB74" s="479" t="e">
        <f aca="false">ROUND(ROUND(AB78,2)/$R$69,4)</f>
        <v>#VALUE!</v>
      </c>
      <c r="AC74" s="479" t="e">
        <f aca="false">ROUND(ROUND(AC78,2)/$R$69,4)</f>
        <v>#VALUE!</v>
      </c>
      <c r="AD74" s="479" t="e">
        <f aca="false">ROUND(ROUND(AD78,2)/$R$69,4)</f>
        <v>#VALUE!</v>
      </c>
      <c r="AE74" s="479" t="e">
        <f aca="false">ROUND(ROUND(AE78,2)/$R$69,4)</f>
        <v>#VALUE!</v>
      </c>
      <c r="AF74" s="479" t="e">
        <f aca="false">ROUND(ROUND(AF78,2)/$R$69,4)</f>
        <v>#VALUE!</v>
      </c>
      <c r="AG74" s="429"/>
    </row>
    <row r="75" customFormat="false" ht="12.75" hidden="false" customHeight="false" outlineLevel="0" collapsed="false">
      <c r="E75" s="486" t="e">
        <f aca="false">ROUND(E78-E77-E76,2)</f>
        <v>#VALUE!</v>
      </c>
      <c r="G75" s="418" t="s">
        <v>594</v>
      </c>
      <c r="L75" s="487"/>
      <c r="S75" s="488"/>
      <c r="T75" s="489" t="str">
        <f aca="false">IF(import.recurso="FGTS","Financiamento:","Repasse:")</f>
        <v>Repasse:</v>
      </c>
      <c r="U75" s="486" t="e">
        <f aca="false">ROUND(U78-U77-U76,2)</f>
        <v>#VALUE!</v>
      </c>
      <c r="V75" s="486" t="e">
        <f aca="false">ROUND(V78-V77-V76,2)</f>
        <v>#VALUE!</v>
      </c>
      <c r="W75" s="486" t="e">
        <f aca="false">ROUND(W78-W77-W76,2)</f>
        <v>#VALUE!</v>
      </c>
      <c r="X75" s="486" t="e">
        <f aca="false">ROUND(X78-X77-X76,2)</f>
        <v>#VALUE!</v>
      </c>
      <c r="Y75" s="486" t="e">
        <f aca="false">ROUND(Y78-Y77-Y76,2)</f>
        <v>#VALUE!</v>
      </c>
      <c r="Z75" s="486" t="e">
        <f aca="false">ROUND(Z78-Z77-Z76,2)</f>
        <v>#VALUE!</v>
      </c>
      <c r="AA75" s="486" t="e">
        <f aca="false">ROUND(AA78-AA77-AA76,2)</f>
        <v>#VALUE!</v>
      </c>
      <c r="AB75" s="486" t="e">
        <f aca="false">ROUND(AB78-AB77-AB76,2)</f>
        <v>#VALUE!</v>
      </c>
      <c r="AC75" s="486" t="e">
        <f aca="false">ROUND(AC78-AC77-AC76,2)</f>
        <v>#VALUE!</v>
      </c>
      <c r="AD75" s="486" t="e">
        <f aca="false">ROUND(AD78-AD77-AD76,2)</f>
        <v>#VALUE!</v>
      </c>
      <c r="AE75" s="486" t="e">
        <f aca="false">ROUND(AE78-AE77-AE76,2)</f>
        <v>#VALUE!</v>
      </c>
      <c r="AF75" s="486" t="e">
        <f aca="false">ROUND(AF78-AF77-AF76,2)</f>
        <v>#VALUE!</v>
      </c>
      <c r="AG75" s="429"/>
    </row>
    <row r="76" customFormat="false" ht="12.75" hidden="false" customHeight="false" outlineLevel="0" collapsed="false">
      <c r="E76" s="490" t="n">
        <f aca="true" t="array" ref="E76:E76">IF(E$12=1,0,OFFSET(E76,0,-1))+SUM((OFFSET($C$13,1,0):OFFSET($C$68,-3,0))*IF(ISNUMBER(OFFSET(E$11,5,0):OFFSET(E$68,-1,0)),OFFSET(E$11,5,0):OFFSET(E$68,-1,0),0))</f>
        <v>0</v>
      </c>
      <c r="G76" s="418" t="s">
        <v>594</v>
      </c>
      <c r="L76" s="492" t="s">
        <v>888</v>
      </c>
      <c r="S76" s="493"/>
      <c r="T76" s="494" t="s">
        <v>885</v>
      </c>
      <c r="U76" s="490" t="n">
        <f aca="true" t="array" ref="U76:U76">IF(U$12=1,0,OFFSET(U76,0,-1))+SUM((OFFSET($C$13,1,0):OFFSET($C$68,-3,0))*IF(ISNUMBER(OFFSET(U$11,5,0):OFFSET(U$68,-1,0)),OFFSET(U$11,5,0):OFFSET(U$68,-1,0),0))</f>
        <v>0</v>
      </c>
      <c r="V76" s="490" t="n">
        <f aca="true" t="array" ref="V76:V76">IF(V$12=1,0,OFFSET(V76,0,-1))+SUM((OFFSET($C$13,1,0):OFFSET($C$68,-3,0))*IF(ISNUMBER(OFFSET(V$11,5,0):OFFSET(V$68,-1,0)),OFFSET(V$11,5,0):OFFSET(V$68,-1,0),0))</f>
        <v>0</v>
      </c>
      <c r="W76" s="490" t="n">
        <f aca="true" t="array" ref="W76:W76">IF(W$12=1,0,OFFSET(W76,0,-1))+SUM((OFFSET($C$13,1,0):OFFSET($C$68,-3,0))*IF(ISNUMBER(OFFSET(W$11,5,0):OFFSET(W$68,-1,0)),OFFSET(W$11,5,0):OFFSET(W$68,-1,0),0))</f>
        <v>0</v>
      </c>
      <c r="X76" s="490" t="n">
        <f aca="true" t="array" ref="X76:X76">IF(X$12=1,0,OFFSET(X76,0,-1))+SUM((OFFSET($C$13,1,0):OFFSET($C$68,-3,0))*IF(ISNUMBER(OFFSET(X$11,5,0):OFFSET(X$68,-1,0)),OFFSET(X$11,5,0):OFFSET(X$68,-1,0),0))</f>
        <v>0</v>
      </c>
      <c r="Y76" s="490" t="n">
        <f aca="true" t="array" ref="Y76:Y76">IF(Y$12=1,0,OFFSET(Y76,0,-1))+SUM((OFFSET($C$13,1,0):OFFSET($C$68,-3,0))*IF(ISNUMBER(OFFSET(Y$11,5,0):OFFSET(Y$68,-1,0)),OFFSET(Y$11,5,0):OFFSET(Y$68,-1,0),0))</f>
        <v>0</v>
      </c>
      <c r="Z76" s="490" t="n">
        <f aca="true" t="array" ref="Z76:Z76">IF(Z$12=1,0,OFFSET(Z76,0,-1))+SUM((OFFSET($C$13,1,0):OFFSET($C$68,-3,0))*IF(ISNUMBER(OFFSET(Z$11,5,0):OFFSET(Z$68,-1,0)),OFFSET(Z$11,5,0):OFFSET(Z$68,-1,0),0))</f>
        <v>0</v>
      </c>
      <c r="AA76" s="490" t="n">
        <f aca="true" t="array" ref="AA76:AA76">IF(AA$12=1,0,OFFSET(AA76,0,-1))+SUM((OFFSET($C$13,1,0):OFFSET($C$68,-3,0))*IF(ISNUMBER(OFFSET(AA$11,5,0):OFFSET(AA$68,-1,0)),OFFSET(AA$11,5,0):OFFSET(AA$68,-1,0),0))</f>
        <v>0</v>
      </c>
      <c r="AB76" s="490" t="n">
        <f aca="true" t="array" ref="AB76:AB76">IF(AB$12=1,0,OFFSET(AB76,0,-1))+SUM((OFFSET($C$13,1,0):OFFSET($C$68,-3,0))*IF(ISNUMBER(OFFSET(AB$11,5,0):OFFSET(AB$68,-1,0)),OFFSET(AB$11,5,0):OFFSET(AB$68,-1,0),0))</f>
        <v>0</v>
      </c>
      <c r="AC76" s="490" t="n">
        <f aca="true" t="array" ref="AC76:AC76">IF(AC$12=1,0,OFFSET(AC76,0,-1))+SUM((OFFSET($C$13,1,0):OFFSET($C$68,-3,0))*IF(ISNUMBER(OFFSET(AC$11,5,0):OFFSET(AC$68,-1,0)),OFFSET(AC$11,5,0):OFFSET(AC$68,-1,0),0))</f>
        <v>0</v>
      </c>
      <c r="AD76" s="490" t="n">
        <f aca="true" t="array" ref="AD76:AD76">IF(AD$12=1,0,OFFSET(AD76,0,-1))+SUM((OFFSET($C$13,1,0):OFFSET($C$68,-3,0))*IF(ISNUMBER(OFFSET(AD$11,5,0):OFFSET(AD$68,-1,0)),OFFSET(AD$11,5,0):OFFSET(AD$68,-1,0),0))</f>
        <v>0</v>
      </c>
      <c r="AE76" s="490" t="n">
        <f aca="true" t="array" ref="AE76:AE76">IF(AE$12=1,0,OFFSET(AE76,0,-1))+SUM((OFFSET($C$13,1,0):OFFSET($C$68,-3,0))*IF(ISNUMBER(OFFSET(AE$11,5,0):OFFSET(AE$68,-1,0)),OFFSET(AE$11,5,0):OFFSET(AE$68,-1,0),0))</f>
        <v>0</v>
      </c>
      <c r="AF76" s="490" t="n">
        <f aca="true" t="array" ref="AF76:AF76">IF(AF$12=1,0,OFFSET(AF76,0,-1))+SUM((OFFSET($C$13,1,0):OFFSET($C$68,-3,0))*IF(ISNUMBER(OFFSET(AF$11,5,0):OFFSET(AF$68,-1,0)),OFFSET(AF$11,5,0):OFFSET(AF$68,-1,0),0))</f>
        <v>0</v>
      </c>
      <c r="AG76" s="429"/>
    </row>
    <row r="77" customFormat="false" ht="12.75" hidden="false" customHeight="false" outlineLevel="0" collapsed="false">
      <c r="E77" s="495" t="n">
        <f aca="true" t="array" ref="E77:E77">IF(E$12=1,0,OFFSET(E77,0,-1))+SUM((OFFSET($D$13,1,0):OFFSET($D$68,-3,0))*IF(ISNUMBER(OFFSET(E$11,5,0):OFFSET(E$68,-1,0)),OFFSET(E$11,5,0):OFFSET(E$68,-1,0),0))</f>
        <v>0</v>
      </c>
      <c r="G77" s="418" t="s">
        <v>594</v>
      </c>
      <c r="L77" s="492"/>
      <c r="S77" s="496"/>
      <c r="T77" s="497" t="s">
        <v>886</v>
      </c>
      <c r="U77" s="495" t="n">
        <f aca="true" t="array" ref="U77:U77">IF(U$12=1,0,OFFSET(U77,0,-1))+SUM((OFFSET($D$13,1,0):OFFSET($D$68,-3,0))*IF(ISNUMBER(OFFSET(U$11,5,0):OFFSET(U$68,-1,0)),OFFSET(U$11,5,0):OFFSET(U$68,-1,0),0))</f>
        <v>0</v>
      </c>
      <c r="V77" s="495" t="n">
        <f aca="true" t="array" ref="V77:V77">IF(V$12=1,0,OFFSET(V77,0,-1))+SUM((OFFSET($D$13,1,0):OFFSET($D$68,-3,0))*IF(ISNUMBER(OFFSET(V$11,5,0):OFFSET(V$68,-1,0)),OFFSET(V$11,5,0):OFFSET(V$68,-1,0),0))</f>
        <v>0</v>
      </c>
      <c r="W77" s="495" t="n">
        <f aca="true" t="array" ref="W77:W77">IF(W$12=1,0,OFFSET(W77,0,-1))+SUM((OFFSET($D$13,1,0):OFFSET($D$68,-3,0))*IF(ISNUMBER(OFFSET(W$11,5,0):OFFSET(W$68,-1,0)),OFFSET(W$11,5,0):OFFSET(W$68,-1,0),0))</f>
        <v>0</v>
      </c>
      <c r="X77" s="495" t="n">
        <f aca="true" t="array" ref="X77:X77">IF(X$12=1,0,OFFSET(X77,0,-1))+SUM((OFFSET($D$13,1,0):OFFSET($D$68,-3,0))*IF(ISNUMBER(OFFSET(X$11,5,0):OFFSET(X$68,-1,0)),OFFSET(X$11,5,0):OFFSET(X$68,-1,0),0))</f>
        <v>0</v>
      </c>
      <c r="Y77" s="495" t="n">
        <f aca="true" t="array" ref="Y77:Y77">IF(Y$12=1,0,OFFSET(Y77,0,-1))+SUM((OFFSET($D$13,1,0):OFFSET($D$68,-3,0))*IF(ISNUMBER(OFFSET(Y$11,5,0):OFFSET(Y$68,-1,0)),OFFSET(Y$11,5,0):OFFSET(Y$68,-1,0),0))</f>
        <v>0</v>
      </c>
      <c r="Z77" s="495" t="n">
        <f aca="true" t="array" ref="Z77:Z77">IF(Z$12=1,0,OFFSET(Z77,0,-1))+SUM((OFFSET($D$13,1,0):OFFSET($D$68,-3,0))*IF(ISNUMBER(OFFSET(Z$11,5,0):OFFSET(Z$68,-1,0)),OFFSET(Z$11,5,0):OFFSET(Z$68,-1,0),0))</f>
        <v>0</v>
      </c>
      <c r="AA77" s="495" t="n">
        <f aca="true" t="array" ref="AA77:AA77">IF(AA$12=1,0,OFFSET(AA77,0,-1))+SUM((OFFSET($D$13,1,0):OFFSET($D$68,-3,0))*IF(ISNUMBER(OFFSET(AA$11,5,0):OFFSET(AA$68,-1,0)),OFFSET(AA$11,5,0):OFFSET(AA$68,-1,0),0))</f>
        <v>0</v>
      </c>
      <c r="AB77" s="495" t="n">
        <f aca="true" t="array" ref="AB77:AB77">IF(AB$12=1,0,OFFSET(AB77,0,-1))+SUM((OFFSET($D$13,1,0):OFFSET($D$68,-3,0))*IF(ISNUMBER(OFFSET(AB$11,5,0):OFFSET(AB$68,-1,0)),OFFSET(AB$11,5,0):OFFSET(AB$68,-1,0),0))</f>
        <v>0</v>
      </c>
      <c r="AC77" s="495" t="n">
        <f aca="true" t="array" ref="AC77:AC77">IF(AC$12=1,0,OFFSET(AC77,0,-1))+SUM((OFFSET($D$13,1,0):OFFSET($D$68,-3,0))*IF(ISNUMBER(OFFSET(AC$11,5,0):OFFSET(AC$68,-1,0)),OFFSET(AC$11,5,0):OFFSET(AC$68,-1,0),0))</f>
        <v>0</v>
      </c>
      <c r="AD77" s="495" t="n">
        <f aca="true" t="array" ref="AD77:AD77">IF(AD$12=1,0,OFFSET(AD77,0,-1))+SUM((OFFSET($D$13,1,0):OFFSET($D$68,-3,0))*IF(ISNUMBER(OFFSET(AD$11,5,0):OFFSET(AD$68,-1,0)),OFFSET(AD$11,5,0):OFFSET(AD$68,-1,0),0))</f>
        <v>0</v>
      </c>
      <c r="AE77" s="495" t="n">
        <f aca="true" t="array" ref="AE77:AE77">IF(AE$12=1,0,OFFSET(AE77,0,-1))+SUM((OFFSET($D$13,1,0):OFFSET($D$68,-3,0))*IF(ISNUMBER(OFFSET(AE$11,5,0):OFFSET(AE$68,-1,0)),OFFSET(AE$11,5,0):OFFSET(AE$68,-1,0),0))</f>
        <v>0</v>
      </c>
      <c r="AF77" s="495" t="n">
        <f aca="true" t="array" ref="AF77:AF77">IF(AF$12=1,0,OFFSET(AF77,0,-1))+SUM((OFFSET($D$13,1,0):OFFSET($D$68,-3,0))*IF(ISNUMBER(OFFSET(AF$11,5,0):OFFSET(AF$68,-1,0)),OFFSET(AF$11,5,0):OFFSET(AF$68,-1,0),0))</f>
        <v>0</v>
      </c>
      <c r="AG77" s="429"/>
    </row>
    <row r="78" customFormat="false" ht="12.75" hidden="false" customHeight="false" outlineLevel="0" collapsed="false">
      <c r="D78" s="437"/>
      <c r="E78" s="503" t="e">
        <f aca="true">SUMIF($S$12:$S$68,"1$",E12:E68)+IF(E$12&gt;1,OFFSET(E78,0,-1),0)</f>
        <v>#VALUE!</v>
      </c>
      <c r="G78" s="418" t="s">
        <v>594</v>
      </c>
      <c r="H78" s="334" t="str">
        <f aca="false" t="array" ref="H78:H78">IF(ACOMPANHAMENTO="BM","Selecione o Macrosserviço da Administração Local:","")</f>
        <v/>
      </c>
      <c r="L78" s="492"/>
      <c r="S78" s="493"/>
      <c r="T78" s="504" t="s">
        <v>887</v>
      </c>
      <c r="U78" s="503" t="e">
        <f aca="true">SUMIF($S$12:$S$68,"1$",U12:U68)+IF(U$12&gt;1,OFFSET(U78,0,-1),0)</f>
        <v>#VALUE!</v>
      </c>
      <c r="V78" s="503" t="e">
        <f aca="true">SUMIF($S$12:$S$68,"1$",V12:V68)+IF(V$12&gt;1,OFFSET(V78,0,-1),0)</f>
        <v>#VALUE!</v>
      </c>
      <c r="W78" s="503" t="e">
        <f aca="true">SUMIF($S$12:$S$68,"1$",W12:W68)+IF(W$12&gt;1,OFFSET(W78,0,-1),0)</f>
        <v>#VALUE!</v>
      </c>
      <c r="X78" s="503" t="e">
        <f aca="true">SUMIF($S$12:$S$68,"1$",X12:X68)+IF(X$12&gt;1,OFFSET(X78,0,-1),0)</f>
        <v>#VALUE!</v>
      </c>
      <c r="Y78" s="503" t="e">
        <f aca="true">SUMIF($S$12:$S$68,"1$",Y12:Y68)+IF(Y$12&gt;1,OFFSET(Y78,0,-1),0)</f>
        <v>#VALUE!</v>
      </c>
      <c r="Z78" s="503" t="e">
        <f aca="true">SUMIF($S$12:$S$68,"1$",Z12:Z68)+IF(Z$12&gt;1,OFFSET(Z78,0,-1),0)</f>
        <v>#VALUE!</v>
      </c>
      <c r="AA78" s="503" t="e">
        <f aca="true">SUMIF($S$12:$S$68,"1$",AA12:AA68)+IF(AA$12&gt;1,OFFSET(AA78,0,-1),0)</f>
        <v>#VALUE!</v>
      </c>
      <c r="AB78" s="503" t="e">
        <f aca="true">SUMIF($S$12:$S$68,"1$",AB12:AB68)+IF(AB$12&gt;1,OFFSET(AB78,0,-1),0)</f>
        <v>#VALUE!</v>
      </c>
      <c r="AC78" s="503" t="e">
        <f aca="true">SUMIF($S$12:$S$68,"1$",AC12:AC68)+IF(AC$12&gt;1,OFFSET(AC78,0,-1),0)</f>
        <v>#VALUE!</v>
      </c>
      <c r="AD78" s="503" t="e">
        <f aca="true">SUMIF($S$12:$S$68,"1$",AD12:AD68)+IF(AD$12&gt;1,OFFSET(AD78,0,-1),0)</f>
        <v>#VALUE!</v>
      </c>
      <c r="AE78" s="503" t="e">
        <f aca="true">SUMIF($S$12:$S$68,"1$",AE12:AE68)+IF(AE$12&gt;1,OFFSET(AE78,0,-1),0)</f>
        <v>#VALUE!</v>
      </c>
      <c r="AF78" s="505" t="e">
        <f aca="true">SUMIF($S$12:$S$68,"1$",AF12:AF68)+IF(AF$12&gt;1,OFFSET(AF78,0,-1),0)</f>
        <v>#VALUE!</v>
      </c>
      <c r="AG78" s="429"/>
    </row>
    <row r="79" customFormat="false" ht="12.75" hidden="false" customHeight="false" outlineLevel="0" collapsed="false">
      <c r="D79" s="437"/>
      <c r="E79" s="506" t="str">
        <f aca="true">IF($F$79="","",
  IF(ACOMPANHAMENTO="PLE",
     IF(AUTOEVENTO="Manual",
         IF(AdmLocal="Automática",
              E74,
              SUMIF(OFFSET(CRONOPLE!$F$14,CRONOPLE!$A$8+1,1,1,OFFSET(CRONOPLE!$AF$12,0,-1)),"&lt;="&amp;E$12,OFFSET(EVENTOS!$G$14,CRONOPLE!$A$8+1,1,1,OFFSET(CRONOPLE!$AF$12,0,-1)))/OFFSET(EVENTOS!$G$14,CRONOPLE!$A$8+1,-1)),
         SUMIFS(OFFSET(CÁLCULO!$AA$15,$F$79,1,OFFSET(ORÇAMENTO!$D$15,$F$79,0),CÁLCULO.FrentesPreenchidas),OFFSET(CÁLCULO!$AL$15,$F$79,1,OFFSET(ORÇAMENTO!$D$15,$F$79,0),CÁLCULO.FrentesPreenchidas),"&lt;="&amp;E$12)/OFFSET(ORÇAMENTO!$X$15,$F$79,0)),
     IF(ACOMPANHAMENTO="BM",SUM(OFFSET($T$13,$F$79+2,1,1,E$12))/OFFSET($S$13,$F$79,0),"")))</f>
        <v/>
      </c>
      <c r="F79" s="418" t="str">
        <f aca="false">IF(ACOMPANHAMENTO="PLE",
    IF(AUTOEVENTO="Manual",
        IF(AdmLocal="Automática",1,IF(CRONOPLE!$D$8&lt;&gt;"","",MATCH(Import.EventoAdmLocal,EVENTOS!$B$15:$B$33,0))),
        IF(CRONOPLE!$D$8&lt;&gt;"","",CRONOPLE!$A$10)),
    IF($H$80&lt;&gt;"","",MATCH(Import.MacrosserviçoAdmLocal,$A$13:$A$68,0)-1))</f>
        <v/>
      </c>
      <c r="G79" s="418" t="s">
        <v>594</v>
      </c>
      <c r="H79" s="507"/>
      <c r="I79" s="507"/>
      <c r="J79" s="507"/>
      <c r="L79" s="500"/>
      <c r="S79" s="508"/>
      <c r="T79" s="509" t="s">
        <v>889</v>
      </c>
      <c r="U79" s="506" t="str">
        <f aca="true">IF($F$79="","",
  IF(ACOMPANHAMENTO="PLE",
     IF(AUTOEVENTO="Manual",
         IF(AdmLocal="Automática",
              U74,
              SUMIF(OFFSET(CRONOPLE!$F$14,CRONOPLE!$A$8+1,1,1,OFFSET(CRONOPLE!$AF$12,0,-1)),"&lt;="&amp;U$12,OFFSET(EVENTOS!$G$14,CRONOPLE!$A$8+1,1,1,OFFSET(CRONOPLE!$AF$12,0,-1)))/OFFSET(EVENTOS!$G$14,CRONOPLE!$A$8+1,-1)),
         SUMIFS(OFFSET(CÁLCULO!$AA$15,$F$79,1,OFFSET(ORÇAMENTO!$D$15,$F$79,0),CÁLCULO.FrentesPreenchidas),OFFSET(CÁLCULO!$AL$15,$F$79,1,OFFSET(ORÇAMENTO!$D$15,$F$79,0),CÁLCULO.FrentesPreenchidas),"&lt;="&amp;U$12)/OFFSET(ORÇAMENTO!$X$15,$F$79,0)),
     IF(ACOMPANHAMENTO="BM",SUM(OFFSET($T$13,$F$79+2,1,1,U$12))/OFFSET($S$13,$F$79,0),"")))</f>
        <v/>
      </c>
      <c r="V79" s="506" t="str">
        <f aca="true">IF($F$79="","",
  IF(ACOMPANHAMENTO="PLE",
     IF(AUTOEVENTO="Manual",
         IF(AdmLocal="Automática",
              V74,
              SUMIF(OFFSET(CRONOPLE!$F$14,CRONOPLE!$A$8+1,1,1,OFFSET(CRONOPLE!$AF$12,0,-1)),"&lt;="&amp;V$12,OFFSET(EVENTOS!$G$14,CRONOPLE!$A$8+1,1,1,OFFSET(CRONOPLE!$AF$12,0,-1)))/OFFSET(EVENTOS!$G$14,CRONOPLE!$A$8+1,-1)),
         SUMIFS(OFFSET(CÁLCULO!$AA$15,$F$79,1,OFFSET(ORÇAMENTO!$D$15,$F$79,0),CÁLCULO.FrentesPreenchidas),OFFSET(CÁLCULO!$AL$15,$F$79,1,OFFSET(ORÇAMENTO!$D$15,$F$79,0),CÁLCULO.FrentesPreenchidas),"&lt;="&amp;V$12)/OFFSET(ORÇAMENTO!$X$15,$F$79,0)),
     IF(ACOMPANHAMENTO="BM",SUM(OFFSET($T$13,$F$79+2,1,1,V$12))/OFFSET($S$13,$F$79,0),"")))</f>
        <v/>
      </c>
      <c r="W79" s="506" t="str">
        <f aca="true">IF($F$79="","",
  IF(ACOMPANHAMENTO="PLE",
     IF(AUTOEVENTO="Manual",
         IF(AdmLocal="Automática",
              W74,
              SUMIF(OFFSET(CRONOPLE!$F$14,CRONOPLE!$A$8+1,1,1,OFFSET(CRONOPLE!$AF$12,0,-1)),"&lt;="&amp;W$12,OFFSET(EVENTOS!$G$14,CRONOPLE!$A$8+1,1,1,OFFSET(CRONOPLE!$AF$12,0,-1)))/OFFSET(EVENTOS!$G$14,CRONOPLE!$A$8+1,-1)),
         SUMIFS(OFFSET(CÁLCULO!$AA$15,$F$79,1,OFFSET(ORÇAMENTO!$D$15,$F$79,0),CÁLCULO.FrentesPreenchidas),OFFSET(CÁLCULO!$AL$15,$F$79,1,OFFSET(ORÇAMENTO!$D$15,$F$79,0),CÁLCULO.FrentesPreenchidas),"&lt;="&amp;W$12)/OFFSET(ORÇAMENTO!$X$15,$F$79,0)),
     IF(ACOMPANHAMENTO="BM",SUM(OFFSET($T$13,$F$79+2,1,1,W$12))/OFFSET($S$13,$F$79,0),"")))</f>
        <v/>
      </c>
      <c r="X79" s="506" t="str">
        <f aca="true">IF($F$79="","",
  IF(ACOMPANHAMENTO="PLE",
     IF(AUTOEVENTO="Manual",
         IF(AdmLocal="Automática",
              X74,
              SUMIF(OFFSET(CRONOPLE!$F$14,CRONOPLE!$A$8+1,1,1,OFFSET(CRONOPLE!$AF$12,0,-1)),"&lt;="&amp;X$12,OFFSET(EVENTOS!$G$14,CRONOPLE!$A$8+1,1,1,OFFSET(CRONOPLE!$AF$12,0,-1)))/OFFSET(EVENTOS!$G$14,CRONOPLE!$A$8+1,-1)),
         SUMIFS(OFFSET(CÁLCULO!$AA$15,$F$79,1,OFFSET(ORÇAMENTO!$D$15,$F$79,0),CÁLCULO.FrentesPreenchidas),OFFSET(CÁLCULO!$AL$15,$F$79,1,OFFSET(ORÇAMENTO!$D$15,$F$79,0),CÁLCULO.FrentesPreenchidas),"&lt;="&amp;X$12)/OFFSET(ORÇAMENTO!$X$15,$F$79,0)),
     IF(ACOMPANHAMENTO="BM",SUM(OFFSET($T$13,$F$79+2,1,1,X$12))/OFFSET($S$13,$F$79,0),"")))</f>
        <v/>
      </c>
      <c r="Y79" s="506" t="str">
        <f aca="true">IF($F$79="","",
  IF(ACOMPANHAMENTO="PLE",
     IF(AUTOEVENTO="Manual",
         IF(AdmLocal="Automática",
              Y74,
              SUMIF(OFFSET(CRONOPLE!$F$14,CRONOPLE!$A$8+1,1,1,OFFSET(CRONOPLE!$AF$12,0,-1)),"&lt;="&amp;Y$12,OFFSET(EVENTOS!$G$14,CRONOPLE!$A$8+1,1,1,OFFSET(CRONOPLE!$AF$12,0,-1)))/OFFSET(EVENTOS!$G$14,CRONOPLE!$A$8+1,-1)),
         SUMIFS(OFFSET(CÁLCULO!$AA$15,$F$79,1,OFFSET(ORÇAMENTO!$D$15,$F$79,0),CÁLCULO.FrentesPreenchidas),OFFSET(CÁLCULO!$AL$15,$F$79,1,OFFSET(ORÇAMENTO!$D$15,$F$79,0),CÁLCULO.FrentesPreenchidas),"&lt;="&amp;Y$12)/OFFSET(ORÇAMENTO!$X$15,$F$79,0)),
     IF(ACOMPANHAMENTO="BM",SUM(OFFSET($T$13,$F$79+2,1,1,Y$12))/OFFSET($S$13,$F$79,0),"")))</f>
        <v/>
      </c>
      <c r="Z79" s="506" t="str">
        <f aca="true">IF($F$79="","",
  IF(ACOMPANHAMENTO="PLE",
     IF(AUTOEVENTO="Manual",
         IF(AdmLocal="Automática",
              Z74,
              SUMIF(OFFSET(CRONOPLE!$F$14,CRONOPLE!$A$8+1,1,1,OFFSET(CRONOPLE!$AF$12,0,-1)),"&lt;="&amp;Z$12,OFFSET(EVENTOS!$G$14,CRONOPLE!$A$8+1,1,1,OFFSET(CRONOPLE!$AF$12,0,-1)))/OFFSET(EVENTOS!$G$14,CRONOPLE!$A$8+1,-1)),
         SUMIFS(OFFSET(CÁLCULO!$AA$15,$F$79,1,OFFSET(ORÇAMENTO!$D$15,$F$79,0),CÁLCULO.FrentesPreenchidas),OFFSET(CÁLCULO!$AL$15,$F$79,1,OFFSET(ORÇAMENTO!$D$15,$F$79,0),CÁLCULO.FrentesPreenchidas),"&lt;="&amp;Z$12)/OFFSET(ORÇAMENTO!$X$15,$F$79,0)),
     IF(ACOMPANHAMENTO="BM",SUM(OFFSET($T$13,$F$79+2,1,1,Z$12))/OFFSET($S$13,$F$79,0),"")))</f>
        <v/>
      </c>
      <c r="AA79" s="506" t="str">
        <f aca="true">IF($F$79="","",
  IF(ACOMPANHAMENTO="PLE",
     IF(AUTOEVENTO="Manual",
         IF(AdmLocal="Automática",
              AA74,
              SUMIF(OFFSET(CRONOPLE!$F$14,CRONOPLE!$A$8+1,1,1,OFFSET(CRONOPLE!$AF$12,0,-1)),"&lt;="&amp;AA$12,OFFSET(EVENTOS!$G$14,CRONOPLE!$A$8+1,1,1,OFFSET(CRONOPLE!$AF$12,0,-1)))/OFFSET(EVENTOS!$G$14,CRONOPLE!$A$8+1,-1)),
         SUMIFS(OFFSET(CÁLCULO!$AA$15,$F$79,1,OFFSET(ORÇAMENTO!$D$15,$F$79,0),CÁLCULO.FrentesPreenchidas),OFFSET(CÁLCULO!$AL$15,$F$79,1,OFFSET(ORÇAMENTO!$D$15,$F$79,0),CÁLCULO.FrentesPreenchidas),"&lt;="&amp;AA$12)/OFFSET(ORÇAMENTO!$X$15,$F$79,0)),
     IF(ACOMPANHAMENTO="BM",SUM(OFFSET($T$13,$F$79+2,1,1,AA$12))/OFFSET($S$13,$F$79,0),"")))</f>
        <v/>
      </c>
      <c r="AB79" s="506" t="str">
        <f aca="true">IF($F$79="","",
  IF(ACOMPANHAMENTO="PLE",
     IF(AUTOEVENTO="Manual",
         IF(AdmLocal="Automática",
              AB74,
              SUMIF(OFFSET(CRONOPLE!$F$14,CRONOPLE!$A$8+1,1,1,OFFSET(CRONOPLE!$AF$12,0,-1)),"&lt;="&amp;AB$12,OFFSET(EVENTOS!$G$14,CRONOPLE!$A$8+1,1,1,OFFSET(CRONOPLE!$AF$12,0,-1)))/OFFSET(EVENTOS!$G$14,CRONOPLE!$A$8+1,-1)),
         SUMIFS(OFFSET(CÁLCULO!$AA$15,$F$79,1,OFFSET(ORÇAMENTO!$D$15,$F$79,0),CÁLCULO.FrentesPreenchidas),OFFSET(CÁLCULO!$AL$15,$F$79,1,OFFSET(ORÇAMENTO!$D$15,$F$79,0),CÁLCULO.FrentesPreenchidas),"&lt;="&amp;AB$12)/OFFSET(ORÇAMENTO!$X$15,$F$79,0)),
     IF(ACOMPANHAMENTO="BM",SUM(OFFSET($T$13,$F$79+2,1,1,AB$12))/OFFSET($S$13,$F$79,0),"")))</f>
        <v/>
      </c>
      <c r="AC79" s="506" t="str">
        <f aca="true">IF($F$79="","",
  IF(ACOMPANHAMENTO="PLE",
     IF(AUTOEVENTO="Manual",
         IF(AdmLocal="Automática",
              AC74,
              SUMIF(OFFSET(CRONOPLE!$F$14,CRONOPLE!$A$8+1,1,1,OFFSET(CRONOPLE!$AF$12,0,-1)),"&lt;="&amp;AC$12,OFFSET(EVENTOS!$G$14,CRONOPLE!$A$8+1,1,1,OFFSET(CRONOPLE!$AF$12,0,-1)))/OFFSET(EVENTOS!$G$14,CRONOPLE!$A$8+1,-1)),
         SUMIFS(OFFSET(CÁLCULO!$AA$15,$F$79,1,OFFSET(ORÇAMENTO!$D$15,$F$79,0),CÁLCULO.FrentesPreenchidas),OFFSET(CÁLCULO!$AL$15,$F$79,1,OFFSET(ORÇAMENTO!$D$15,$F$79,0),CÁLCULO.FrentesPreenchidas),"&lt;="&amp;AC$12)/OFFSET(ORÇAMENTO!$X$15,$F$79,0)),
     IF(ACOMPANHAMENTO="BM",SUM(OFFSET($T$13,$F$79+2,1,1,AC$12))/OFFSET($S$13,$F$79,0),"")))</f>
        <v/>
      </c>
      <c r="AD79" s="506" t="str">
        <f aca="true">IF($F$79="","",
  IF(ACOMPANHAMENTO="PLE",
     IF(AUTOEVENTO="Manual",
         IF(AdmLocal="Automática",
              AD74,
              SUMIF(OFFSET(CRONOPLE!$F$14,CRONOPLE!$A$8+1,1,1,OFFSET(CRONOPLE!$AF$12,0,-1)),"&lt;="&amp;AD$12,OFFSET(EVENTOS!$G$14,CRONOPLE!$A$8+1,1,1,OFFSET(CRONOPLE!$AF$12,0,-1)))/OFFSET(EVENTOS!$G$14,CRONOPLE!$A$8+1,-1)),
         SUMIFS(OFFSET(CÁLCULO!$AA$15,$F$79,1,OFFSET(ORÇAMENTO!$D$15,$F$79,0),CÁLCULO.FrentesPreenchidas),OFFSET(CÁLCULO!$AL$15,$F$79,1,OFFSET(ORÇAMENTO!$D$15,$F$79,0),CÁLCULO.FrentesPreenchidas),"&lt;="&amp;AD$12)/OFFSET(ORÇAMENTO!$X$15,$F$79,0)),
     IF(ACOMPANHAMENTO="BM",SUM(OFFSET($T$13,$F$79+2,1,1,AD$12))/OFFSET($S$13,$F$79,0),"")))</f>
        <v/>
      </c>
      <c r="AE79" s="506" t="str">
        <f aca="true">IF($F$79="","",
  IF(ACOMPANHAMENTO="PLE",
     IF(AUTOEVENTO="Manual",
         IF(AdmLocal="Automática",
              AE74,
              SUMIF(OFFSET(CRONOPLE!$F$14,CRONOPLE!$A$8+1,1,1,OFFSET(CRONOPLE!$AF$12,0,-1)),"&lt;="&amp;AE$12,OFFSET(EVENTOS!$G$14,CRONOPLE!$A$8+1,1,1,OFFSET(CRONOPLE!$AF$12,0,-1)))/OFFSET(EVENTOS!$G$14,CRONOPLE!$A$8+1,-1)),
         SUMIFS(OFFSET(CÁLCULO!$AA$15,$F$79,1,OFFSET(ORÇAMENTO!$D$15,$F$79,0),CÁLCULO.FrentesPreenchidas),OFFSET(CÁLCULO!$AL$15,$F$79,1,OFFSET(ORÇAMENTO!$D$15,$F$79,0),CÁLCULO.FrentesPreenchidas),"&lt;="&amp;AE$12)/OFFSET(ORÇAMENTO!$X$15,$F$79,0)),
     IF(ACOMPANHAMENTO="BM",SUM(OFFSET($T$13,$F$79+2,1,1,AE$12))/OFFSET($S$13,$F$79,0),"")))</f>
        <v/>
      </c>
      <c r="AF79" s="506" t="str">
        <f aca="true">IF($F$79="","",
  IF(ACOMPANHAMENTO="PLE",
     IF(AUTOEVENTO="Manual",
         IF(AdmLocal="Automática",
              AF74,
              SUMIF(OFFSET(CRONOPLE!$F$14,CRONOPLE!$A$8+1,1,1,OFFSET(CRONOPLE!$AF$12,0,-1)),"&lt;="&amp;AF$12,OFFSET(EVENTOS!$G$14,CRONOPLE!$A$8+1,1,1,OFFSET(CRONOPLE!$AF$12,0,-1)))/OFFSET(EVENTOS!$G$14,CRONOPLE!$A$8+1,-1)),
         SUMIFS(OFFSET(CÁLCULO!$AA$15,$F$79,1,OFFSET(ORÇAMENTO!$D$15,$F$79,0),CÁLCULO.FrentesPreenchidas),OFFSET(CÁLCULO!$AL$15,$F$79,1,OFFSET(ORÇAMENTO!$D$15,$F$79,0),CÁLCULO.FrentesPreenchidas),"&lt;="&amp;AF$12)/OFFSET(ORÇAMENTO!$X$15,$F$79,0)),
     IF(ACOMPANHAMENTO="BM",SUM(OFFSET($T$13,$F$79+2,1,1,AF$12))/OFFSET($S$13,$F$79,0),"")))</f>
        <v/>
      </c>
      <c r="AG79" s="429"/>
    </row>
    <row r="80" customFormat="false" ht="16.5" hidden="false" customHeight="true" outlineLevel="0" collapsed="false">
      <c r="G80" s="418" t="s">
        <v>594</v>
      </c>
      <c r="H80" s="108" t="str">
        <f aca="false" t="array" ref="H80:H80">IF(AND(ACOMPANHAMENTO="BM",$H$79=""),"↑ Não foi indicado o Macrosserviço de Administração Local","")</f>
        <v/>
      </c>
      <c r="T80" s="415" t="str">
        <f aca="false">IF(COUNTIF(U80:AG80,"%Adm&gt;%Global")&gt;0,"Verificar proporcionalidade da Administração Local","")</f>
        <v/>
      </c>
      <c r="U80" s="416" t="str">
        <f aca="false">IF(U79="","",IF(ROUND(U79,4)&gt;ROUND(U74,4),"%Adm&gt;%Global",""))</f>
        <v/>
      </c>
      <c r="V80" s="416" t="str">
        <f aca="false">IF(V79="","",IF(ROUND(V79,4)&gt;ROUND(V74,4),"%Adm&gt;%Global",""))</f>
        <v/>
      </c>
      <c r="W80" s="416" t="str">
        <f aca="false">IF(W79="","",IF(ROUND(W79,4)&gt;ROUND(W74,4),"%Adm&gt;%Global",""))</f>
        <v/>
      </c>
      <c r="X80" s="416" t="str">
        <f aca="false">IF(X79="","",IF(ROUND(X79,4)&gt;ROUND(X74,4),"%Adm&gt;%Global",""))</f>
        <v/>
      </c>
      <c r="Y80" s="416" t="str">
        <f aca="false">IF(Y79="","",IF(ROUND(Y79,4)&gt;ROUND(Y74,4),"%Adm&gt;%Global",""))</f>
        <v/>
      </c>
      <c r="Z80" s="416" t="str">
        <f aca="false">IF(Z79="","",IF(ROUND(Z79,4)&gt;ROUND(Z74,4),"%Adm&gt;%Global",""))</f>
        <v/>
      </c>
      <c r="AA80" s="416" t="str">
        <f aca="false">IF(AA79="","",IF(ROUND(AA79,4)&gt;ROUND(AA74,4),"%Adm&gt;%Global",""))</f>
        <v/>
      </c>
      <c r="AB80" s="416" t="str">
        <f aca="false">IF(AB79="","",IF(ROUND(AB79,4)&gt;ROUND(AB74,4),"%Adm&gt;%Global",""))</f>
        <v/>
      </c>
      <c r="AC80" s="416" t="str">
        <f aca="false">IF(AC79="","",IF(ROUND(AC79,4)&gt;ROUND(AC74,4),"%Adm&gt;%Global",""))</f>
        <v/>
      </c>
      <c r="AD80" s="416" t="str">
        <f aca="false">IF(AD79="","",IF(ROUND(AD79,4)&gt;ROUND(AD74,4),"%Adm&gt;%Global",""))</f>
        <v/>
      </c>
      <c r="AE80" s="416" t="str">
        <f aca="false">IF(AE79="","",IF(ROUND(AE79,4)&gt;ROUND(AE74,4),"%Adm&gt;%Global",""))</f>
        <v/>
      </c>
      <c r="AF80" s="416" t="str">
        <f aca="false">IF(AF79="","",IF(ROUND(AF79,4)&gt;ROUND(AF74,4),"%Adm&gt;%Global",""))</f>
        <v/>
      </c>
      <c r="AG80" s="416" t="str">
        <f aca="false">IF(AG79="","",IF(ROUND(AG79,4)&gt;ROUND(AG74,4),"%Adm&gt;%Global",""))</f>
        <v/>
      </c>
    </row>
    <row r="81" customFormat="false" ht="32.25" hidden="false" customHeight="true" outlineLevel="0" collapsed="false">
      <c r="G81" s="418" t="s">
        <v>594</v>
      </c>
      <c r="I81" s="255" t="n">
        <f aca="false">Import.Município</f>
        <v>0</v>
      </c>
      <c r="J81" s="255"/>
      <c r="K81" s="255"/>
      <c r="L81" s="255"/>
      <c r="M81" s="255"/>
      <c r="N81" s="255"/>
      <c r="O81" s="255"/>
      <c r="P81" s="255"/>
      <c r="Q81" s="255"/>
      <c r="R81" s="255"/>
      <c r="S81" s="255"/>
      <c r="AA81" s="256"/>
      <c r="AB81" s="256"/>
      <c r="AC81" s="256"/>
      <c r="AD81" s="256"/>
      <c r="AE81" s="510"/>
      <c r="AF81" s="510"/>
    </row>
    <row r="82" customFormat="false" ht="12.75" hidden="false" customHeight="false" outlineLevel="0" collapsed="false">
      <c r="G82" s="418" t="s">
        <v>594</v>
      </c>
      <c r="I82" s="52" t="s">
        <v>753</v>
      </c>
      <c r="AA82" s="257" t="s">
        <v>756</v>
      </c>
      <c r="AB82" s="257"/>
      <c r="AC82" s="257"/>
      <c r="AD82" s="257"/>
      <c r="AE82" s="418"/>
      <c r="AF82" s="418"/>
    </row>
    <row r="83" customFormat="false" ht="12.75" hidden="false" customHeight="false" outlineLevel="0" collapsed="false">
      <c r="G83" s="418" t="s">
        <v>594</v>
      </c>
      <c r="AA83" s="302" t="str">
        <f aca="true" t="array" ref="AA83:AA85">OFFSET(Import.RespOrçamento,0,-1) &amp; " " &amp; Import.RespOrçamento</f>
        <v>Nome: ANA PAULA MESQUITA CICHOWSI</v>
      </c>
      <c r="AD83" s="149"/>
      <c r="AE83" s="418"/>
      <c r="AF83" s="418"/>
    </row>
    <row r="84" customFormat="false" ht="12.75" hidden="false" customHeight="false" outlineLevel="0" collapsed="false">
      <c r="G84" s="418" t="s">
        <v>594</v>
      </c>
      <c r="I84" s="303" t="n">
        <f aca="false">DADOS!$C$25</f>
        <v>45991</v>
      </c>
      <c r="J84" s="303"/>
      <c r="K84" s="303"/>
      <c r="L84" s="46"/>
      <c r="M84" s="510"/>
      <c r="N84" s="510"/>
      <c r="O84" s="510"/>
      <c r="P84" s="510"/>
      <c r="Q84" s="510"/>
      <c r="R84" s="510"/>
      <c r="S84" s="511"/>
      <c r="AA84" s="302" t="str">
        <v>CREA/CAU: RS 207.916</v>
      </c>
      <c r="AC84" s="149"/>
      <c r="AD84" s="149"/>
      <c r="AE84" s="418"/>
      <c r="AF84" s="418"/>
    </row>
    <row r="85" customFormat="false" ht="12.75" hidden="false" customHeight="false" outlineLevel="0" collapsed="false">
      <c r="G85" s="418" t="s">
        <v>594</v>
      </c>
      <c r="I85" s="52" t="s">
        <v>754</v>
      </c>
      <c r="AA85" s="302" t="str">
        <v>ART/RRT: </v>
      </c>
      <c r="AC85" s="149"/>
      <c r="AD85" s="149"/>
      <c r="AE85" s="418"/>
      <c r="AF85" s="418"/>
    </row>
  </sheetData>
  <sheetProtection algorithmName="SHA-512" hashValue="EKKB0YNJ+Z8ODAMv3Gbeb0WnF7TraMRFU+j7IZOrvY1lLYexlIH/BJyvEFzXGMVyWRBBbLHM/q9BXKfLVvv4VA==" saltValue="MBx1Im57qwSKLe/idaL+0w==" spinCount="100000" sheet="true" objects="true" scenarios="true" autoFilter="false"/>
  <autoFilter ref="G13:G85">
    <filterColumn colId="0">
      <filters>
        <filter val="F"/>
      </filters>
    </filterColumn>
  </autoFilter>
  <mergeCells count="18">
    <mergeCell ref="AE4:AF4"/>
    <mergeCell ref="AE5:AF5"/>
    <mergeCell ref="H7:H9"/>
    <mergeCell ref="G8:G11"/>
    <mergeCell ref="I8:J8"/>
    <mergeCell ref="L8:T8"/>
    <mergeCell ref="U8:Y8"/>
    <mergeCell ref="Z8:AE8"/>
    <mergeCell ref="K10:T11"/>
    <mergeCell ref="H12:H13"/>
    <mergeCell ref="I12:I13"/>
    <mergeCell ref="J12:J13"/>
    <mergeCell ref="S12:S13"/>
    <mergeCell ref="T12:T13"/>
    <mergeCell ref="I69:K70"/>
    <mergeCell ref="H79:J79"/>
    <mergeCell ref="I81:S81"/>
    <mergeCell ref="I84:K84"/>
  </mergeCells>
  <conditionalFormatting sqref="E2 U2:AF2 E15 E18 E21 U15:AF15 U18:AF18 U21:AF21 E24 E27 E30 U24:AF24 U27:AF27 U30:AF30 E33 E36 E39 U33:AF33 U36:AF36 U39:AF39 E42 E45 E48 U42:AF42 U45:AF45 U48:AF48 E51 E54 E57 U51:AF51 U54:AF54 U57:AF57 E60 E63 E66 U60:AF60 U63:AF63 U66:AF66">
    <cfRule type="expression" priority="2" aboveAverage="0" equalAverage="0" bottom="0" percent="0" rank="0" text="" dxfId="73">
      <formula>AND(_xlfn.single(ACOMPANHAMENTO)="BM",E2&gt;ROUND(E2,4))</formula>
    </cfRule>
  </conditionalFormatting>
  <conditionalFormatting sqref="E1 U1:AF1 E14 E17 E20 U14:AF14 U17:AF17 U20:AF20 E23 E26 E29 U23:AF23 U26:AF26 U29:AF29 E32 E35 E38 U32:AF32 U35:AF35 U38:AF38 E41 E44 E47 U41:AF41 U44:AF44 U47:AF47 E50 E53 E56 U50:AF50 U53:AF53 U56:AF56 E59 E62 E65 U59:AF59 U62:AF62 U65:AF65">
    <cfRule type="expression" priority="3" aboveAverage="0" equalAverage="0" bottom="0" percent="0" rank="0" text="" dxfId="74">
      <formula>E1&lt;&gt;0</formula>
    </cfRule>
  </conditionalFormatting>
  <conditionalFormatting sqref="H79:J79">
    <cfRule type="expression" priority="4" aboveAverage="0" equalAverage="0" bottom="0" percent="0" rank="0" text="" dxfId="75">
      <formula>$H$78=""</formula>
    </cfRule>
  </conditionalFormatting>
  <conditionalFormatting sqref="H1 H14 H17 H20 H23 H26 H29 H32 H35 H38 H41 H44 H47 H50 H53 H56 H59 H62 H65">
    <cfRule type="expression" priority="5" aboveAverage="0" equalAverage="0" bottom="0" percent="0" rank="0" text="" dxfId="76">
      <formula>AND(H1&lt;&gt;0,ISNUMBER(H1))</formula>
    </cfRule>
  </conditionalFormatting>
  <conditionalFormatting sqref="E79 U79:AF79">
    <cfRule type="expression" priority="6" aboveAverage="0" equalAverage="0" bottom="0" percent="0" rank="0" text="" dxfId="77">
      <formula>ROUND(E79,4)&gt;ROUND(E74,4)</formula>
    </cfRule>
  </conditionalFormatting>
  <conditionalFormatting sqref="H2 H15 H18 H21 H24 H27 H30 H33 H36 H39 H42 H45 H48 H51 H54 H57 H60 H63 H66">
    <cfRule type="expression" priority="7" aboveAverage="0" equalAverage="0" bottom="0" percent="0" rank="0" text="" dxfId="78">
      <formula>AND(H1&lt;&gt;0,ISNUMBER(H1))</formula>
    </cfRule>
  </conditionalFormatting>
  <conditionalFormatting sqref="Z7:AE8">
    <cfRule type="expression" priority="8" aboveAverage="0" equalAverage="0" bottom="0" percent="0" rank="0" text="" dxfId="79">
      <formula>QCI.ExisteManual</formula>
    </cfRule>
  </conditionalFormatting>
  <conditionalFormatting sqref="U12:U13">
    <cfRule type="expression" priority="9" aboveAverage="0" equalAverage="0" bottom="0" percent="0" rank="0" text="" dxfId="80">
      <formula>NOT(ISNUMBER(T$12))</formula>
    </cfRule>
  </conditionalFormatting>
  <conditionalFormatting sqref="E2 U2:AF2 E15 E18 E21 U15:AF15 U18:AF18 U21:AF21 E24 E27 E30 U24:AF24 U27:AF27 U30:AF30 E33 E36 E39 U33:AF33 U36:AF36 U39:AF39 E42 E45 E48 U42:AF42 U45:AF45 U48:AF48 E51 E54 E57 U51:AF51 U54:AF54 U57:AF57 E60 E63 E66 U60:AF60 U63:AF63 U66:AF66">
    <cfRule type="expression" priority="10" aboveAverage="0" equalAverage="0" bottom="0" percent="0" rank="0" text="" dxfId="81">
      <formula>AND(ISNUMBER($H1),$H1&lt;&gt;0)</formula>
    </cfRule>
  </conditionalFormatting>
  <conditionalFormatting sqref="I2:S2 I15:S15 I18:S18 I21:S21 I24:S24 I27:S27 I30:S30 I33:S33 I36:S36 I39:S39 I42:S42 I45:S45 I48:S48 I51:S51 I54:S54 I57:S57 I60:S60 I63:S63 I66:S66">
    <cfRule type="expression" priority="11" aboveAverage="0" equalAverage="0" bottom="0" percent="0" rank="0" text="" dxfId="82">
      <formula>$M1=2</formula>
    </cfRule>
    <cfRule type="expression" priority="12" aboveAverage="0" equalAverage="0" bottom="0" percent="0" rank="0" text="" dxfId="83">
      <formula>AND($M1=1,$S1&lt;&gt;"")</formula>
    </cfRule>
  </conditionalFormatting>
  <conditionalFormatting sqref="I1:S1 I14:S14 I17:S17 I20:S20 I23:S23 I26:S26 I29:S29 I32:S32 I35:S35 I38:S38 I41:S41 I44:S44 I47:S47 I50:S50 I53:S53 I56:S56 I59:S59 I62:S62 I65:S65">
    <cfRule type="expression" priority="13" aboveAverage="0" equalAverage="0" bottom="0" percent="0" rank="0" text="" dxfId="84">
      <formula>$M1=2</formula>
    </cfRule>
    <cfRule type="expression" priority="14" aboveAverage="0" equalAverage="0" bottom="0" percent="0" rank="0" text="" dxfId="85">
      <formula>AND($M1=1,$S1&lt;&gt;"")</formula>
    </cfRule>
  </conditionalFormatting>
  <conditionalFormatting sqref="E69 E71 E73:E74 E76 E78 U78:AF78 U69:AF69 U71:AF71 U73:AF74 U76:AF76">
    <cfRule type="expression" priority="15" aboveAverage="0" equalAverage="0" bottom="0" percent="0" rank="0" text="" dxfId="86">
      <formula>D$74=1</formula>
    </cfRule>
  </conditionalFormatting>
  <conditionalFormatting sqref="E70 E72 E75 E77 E79 U70:AF70 U72:AF72 U75:AF75 U77:AF77 U79:AF79 E79 E79">
    <cfRule type="expression" priority="16" aboveAverage="0" equalAverage="0" bottom="0" percent="0" rank="0" text="" dxfId="87">
      <formula>D$74=1</formula>
    </cfRule>
  </conditionalFormatting>
  <conditionalFormatting sqref="AF7:AF8">
    <cfRule type="expression" priority="17" aboveAverage="0" equalAverage="0" bottom="0" percent="0" rank="0" text="" dxfId="88">
      <formula>OR(TIPOORCAMENTO&lt;&gt;"Licitado",QCI.ExisteManual)</formula>
    </cfRule>
  </conditionalFormatting>
  <dataValidations count="6">
    <dataValidation allowBlank="true" error="Selecione o nível (2, 3 ou 4) do agrupador a exibir no cronograma." errorStyle="stop" errorTitle="Obrigatório:" operator="between" prompt="Selecione uma opção da lista de níveis a exibir." showDropDown="false" showErrorMessage="true" showInputMessage="true" sqref="H10" type="list">
      <formula1>CRONO.Lista.Níveis</formula1>
      <formula2>0</formula2>
    </dataValidation>
    <dataValidation allowBlank="true" errorStyle="stop" operator="between" prompt="Preencha na célula de baixo. Se o acompanhamento for PLE, preencha no botão PREENCHIMENTO POR EVENTOS, acima." showDropDown="false" showErrorMessage="true" showInputMessage="true" sqref="E1 U1:AF1 E14 U14:AF14 E17 U17:AF17 E20 U20:AF20 E23 U23:AF23 E26 U26:AF26 E29 U29:AF29 E32 U32:AF32 E35 U35:AF35 E38 U38:AF38 E41 U41:AF41 E44 U44:AF44 E47 U47:AF47 E50 U50:AF50 E53 U53:AF53 E56 U56:AF56 E59 U59:AF59 E62 U62:AF62 E65 U65:AF65" type="none">
      <formula1>0</formula1>
      <formula2>0</formula2>
    </dataValidation>
    <dataValidation allowBlank="true" errorStyle="stop" operator="greaterThan" showDropDown="false" showErrorMessage="true" showInputMessage="false" sqref="U12" type="whole">
      <formula1>0</formula1>
      <formula2>0</formula2>
    </dataValidation>
    <dataValidation allowBlank="true" error="Porcentagem Acumulada &gt; 100%." errorStyle="stop" operator="between" showDropDown="false" showErrorMessage="true" showInputMessage="false" sqref="E2 U2:AG2 E15 U15:AG15 E18 U18:AG18 E21 U21:AG21 E24 U24:AG24 E27 U27:AG27 E30 U30:AG30 E33 U33:AG33 E36 U36:AG36 E39 U39:AG39 E42 U42:AG42 E45 U45:AG45 E48 U48:AG48 E51 U51:AG51 E54 U54:AG54 E57 U57:AG57 E60 U60:AG60 E63 U63:AG63 E66 U66:AG66" type="decimal">
      <formula1>0</formula1>
      <formula2>CRONO.MaxParc</formula2>
    </dataValidation>
    <dataValidation allowBlank="true" error="Digite somente datas." errorStyle="stop" errorTitle="Erro" operator="greaterThan" showDropDown="false" showErrorMessage="true" showInputMessage="true" sqref="U13" type="date">
      <formula1>36526</formula1>
      <formula2>0</formula2>
    </dataValidation>
    <dataValidation allowBlank="true" error="Selecione uma opção da lista." errorStyle="stop" errorTitle="Atenção" operator="between" showDropDown="false" showErrorMessage="true" showInputMessage="false" sqref="H79:J79" type="list">
      <formula1>CRONO.Lista.AdmLocal</formula1>
      <formula2>0</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66" fitToWidth="1" fitToHeight="1" pageOrder="downThenOver" orientation="landscape" blackAndWhite="false" draft="false" cellComments="none" horizontalDpi="300" verticalDpi="300" copies="1"/>
  <headerFooter differentFirst="false" differentOddEven="false">
    <oddHeader>&amp;C&amp;14I</oddHeader>
    <oddFooter>&amp;LPMv3.16&amp;R&amp;P / &amp;N</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E37"/>
  <sheetViews>
    <sheetView showFormulas="false" showGridLines="false" showRowColHeaders="true" showZeros="true" rightToLeft="false" tabSelected="false" showOutlineSymbols="true" defaultGridColor="true" view="normal" topLeftCell="A1" colorId="64" zoomScale="100" zoomScaleNormal="100" zoomScalePageLayoutView="90" workbookViewId="0">
      <pane xSplit="7" ySplit="13" topLeftCell="H14" activePane="bottomRight" state="frozen"/>
      <selection pane="topLeft" activeCell="A1" activeCellId="0" sqref="A1"/>
      <selection pane="topRight" activeCell="H1" activeCellId="0" sqref="H1"/>
      <selection pane="bottomLeft" activeCell="A14" activeCellId="0" sqref="A14"/>
      <selection pane="bottomRight" activeCell="A1" activeCellId="0" sqref="A1"/>
    </sheetView>
  </sheetViews>
  <sheetFormatPr defaultColWidth="8.6796875" defaultRowHeight="12.75" customHeight="false" zeroHeight="false" outlineLevelRow="0" outlineLevelCol="0"/>
  <cols>
    <col collapsed="false" customWidth="true" hidden="true" outlineLevel="0" max="1" min="1" style="0" width="15.85"/>
    <col collapsed="false" customWidth="true" hidden="true" outlineLevel="0" max="2" min="2" style="0" width="10.42"/>
    <col collapsed="false" customWidth="true" hidden="false" outlineLevel="0" max="3" min="3" style="0" width="3.57"/>
    <col collapsed="false" customWidth="true" hidden="false" outlineLevel="0" max="4" min="4" style="0" width="6.57"/>
    <col collapsed="false" customWidth="true" hidden="false" outlineLevel="0" max="5" min="5" style="0" width="18.57"/>
    <col collapsed="false" customWidth="true" hidden="false" outlineLevel="0" max="6" min="6" style="0" width="28.57"/>
    <col collapsed="false" customWidth="true" hidden="false" outlineLevel="0" max="7" min="7" style="0" width="35.57"/>
    <col collapsed="false" customWidth="true" hidden="false" outlineLevel="0" max="8" min="8" style="0" width="15.57"/>
    <col collapsed="false" customWidth="true" hidden="false" outlineLevel="0" max="9" min="9" style="0" width="12.57"/>
    <col collapsed="false" customWidth="true" hidden="false" outlineLevel="0" max="10" min="10" style="0" width="7.57"/>
    <col collapsed="false" customWidth="true" hidden="false" outlineLevel="0" max="15" min="11" style="0" width="16.57"/>
    <col collapsed="false" customWidth="true" hidden="false" outlineLevel="0" max="17" min="16" style="0" width="5.57"/>
    <col collapsed="false" customWidth="true" hidden="false" outlineLevel="0" max="18" min="18" style="0" width="35.57"/>
    <col collapsed="false" customWidth="true" hidden="false" outlineLevel="0" max="19" min="19" style="0" width="1.57"/>
    <col collapsed="false" customWidth="true" hidden="false" outlineLevel="0" max="21" min="20" style="0" width="16.57"/>
    <col collapsed="false" customWidth="true" hidden="false" outlineLevel="0" max="22" min="22" style="0" width="13.57"/>
    <col collapsed="false" customWidth="true" hidden="false" outlineLevel="0" max="24" min="23" style="0" width="16.57"/>
    <col collapsed="false" customWidth="true" hidden="false" outlineLevel="0" max="25" min="25" style="0" width="1.57"/>
    <col collapsed="false" customWidth="true" hidden="true" outlineLevel="0" max="28" min="26" style="0" width="9.14"/>
    <col collapsed="false" customWidth="true" hidden="true" outlineLevel="0" max="29" min="29" style="0" width="3.57"/>
    <col collapsed="false" customWidth="true" hidden="true" outlineLevel="0" max="30" min="30" style="0" width="13.42"/>
    <col collapsed="false" customWidth="true" hidden="true" outlineLevel="0" max="31" min="31" style="0" width="9.14"/>
  </cols>
  <sheetData>
    <row r="1" customFormat="false" ht="30" hidden="false" customHeight="true" outlineLevel="0" collapsed="false">
      <c r="A1" s="512" t="s">
        <v>890</v>
      </c>
      <c r="F1" s="513" t="s">
        <v>891</v>
      </c>
      <c r="I1" s="49"/>
      <c r="J1" s="49"/>
      <c r="O1" s="377" t="s">
        <v>831</v>
      </c>
      <c r="P1" s="15"/>
    </row>
    <row r="2" customFormat="false" ht="12.75" hidden="false" customHeight="false" outlineLevel="0" collapsed="false">
      <c r="A2" s="0" t="s">
        <v>892</v>
      </c>
      <c r="Z2" s="0" t="s">
        <v>893</v>
      </c>
      <c r="AA2" s="169" t="s">
        <v>894</v>
      </c>
      <c r="AB2" s="147"/>
    </row>
    <row r="3" customFormat="false" ht="12.75" hidden="false" customHeight="false" outlineLevel="0" collapsed="false">
      <c r="A3" s="0" t="s">
        <v>895</v>
      </c>
      <c r="D3" s="100" t="s">
        <v>708</v>
      </c>
      <c r="E3" s="100"/>
      <c r="F3" s="160" t="s">
        <v>772</v>
      </c>
      <c r="G3" s="100" t="s">
        <v>710</v>
      </c>
      <c r="H3" s="100"/>
      <c r="I3" s="100"/>
      <c r="J3" s="514" t="s">
        <v>896</v>
      </c>
      <c r="K3" s="514"/>
      <c r="L3" s="514"/>
      <c r="M3" s="515" t="s">
        <v>897</v>
      </c>
      <c r="N3" s="515"/>
      <c r="O3" s="515"/>
      <c r="Z3" s="183" t="n">
        <f aca="false">MAX(Z7:AB7)</f>
        <v>0</v>
      </c>
      <c r="AA3" s="516" t="n">
        <f aca="false" t="array" ref="AA3:AA3">IF(OR($O$24=ORÇAMENTO.SumINVMANUAL+QCI.SumINVMANUAL,$O$24=0),0,MIN(MAX(0,($Z$3*$O$24-ORÇAMENTO.SumCPMANUAL-QCI.SumCPMANUAL)/($O$24-ORÇAMENTO.SumINVMANUAL-QCI.SumINVMANUAL)),1))</f>
        <v>0</v>
      </c>
      <c r="AB3" s="164"/>
    </row>
    <row r="4" customFormat="false" ht="12.75" hidden="false" customHeight="false" outlineLevel="0" collapsed="false">
      <c r="A4" s="0" t="s">
        <v>898</v>
      </c>
      <c r="D4" s="101" t="n">
        <f aca="false">Import.CR</f>
        <v>0</v>
      </c>
      <c r="E4" s="101"/>
      <c r="F4" s="101" t="n">
        <f aca="false">Import.TransfereGOV</f>
        <v>0</v>
      </c>
      <c r="G4" s="101" t="n">
        <f aca="false">Import.Proponente</f>
        <v>0</v>
      </c>
      <c r="H4" s="101"/>
      <c r="I4" s="101"/>
      <c r="J4" s="517" t="n">
        <f aca="false">Import.Município</f>
        <v>0</v>
      </c>
      <c r="K4" s="517"/>
      <c r="L4" s="517"/>
      <c r="M4" s="515"/>
      <c r="N4" s="515"/>
      <c r="O4" s="515"/>
      <c r="R4" s="108"/>
      <c r="Z4" s="164"/>
      <c r="AA4" s="164"/>
      <c r="AB4" s="164"/>
    </row>
    <row r="5" customFormat="false" ht="4.5" hidden="false" customHeight="true" outlineLevel="0" collapsed="false">
      <c r="A5" s="0" t="s">
        <v>899</v>
      </c>
      <c r="M5" s="35"/>
      <c r="O5" s="8"/>
    </row>
    <row r="6" customFormat="false" ht="12.75" hidden="false" customHeight="false" outlineLevel="0" collapsed="false">
      <c r="A6" s="0" t="s">
        <v>900</v>
      </c>
      <c r="D6" s="100" t="s">
        <v>773</v>
      </c>
      <c r="E6" s="100"/>
      <c r="F6" s="100"/>
      <c r="G6" s="100"/>
      <c r="H6" s="100"/>
      <c r="I6" s="100"/>
      <c r="J6" s="100"/>
      <c r="K6" s="100"/>
      <c r="L6" s="518" t="s">
        <v>783</v>
      </c>
      <c r="M6" s="160" t="str">
        <f aca="false">IF(import.recurso="FGTS","FINANCIAMENTO","REPASSE")</f>
        <v>REPASSE</v>
      </c>
      <c r="N6" s="160" t="s">
        <v>901</v>
      </c>
      <c r="O6" s="160" t="s">
        <v>902</v>
      </c>
      <c r="Z6" s="0" t="s">
        <v>903</v>
      </c>
      <c r="AA6" s="0" t="s">
        <v>904</v>
      </c>
      <c r="AB6" s="0" t="s">
        <v>905</v>
      </c>
    </row>
    <row r="7" customFormat="false" ht="12.75" hidden="false" customHeight="true" outlineLevel="0" collapsed="false">
      <c r="A7" s="519" t="s">
        <v>906</v>
      </c>
      <c r="C7" s="102" t="s">
        <v>713</v>
      </c>
      <c r="D7" s="101" t="str">
        <f aca="false">Import.Apelido</f>
        <v>REVITALIZAÇÃO DIVERSAS RUAS</v>
      </c>
      <c r="E7" s="101"/>
      <c r="F7" s="101"/>
      <c r="G7" s="101"/>
      <c r="H7" s="101"/>
      <c r="I7" s="101"/>
      <c r="J7" s="101"/>
      <c r="K7" s="101"/>
      <c r="L7" s="520" t="str">
        <f aca="false">import.recurso</f>
        <v>(SELECIONAR)</v>
      </c>
      <c r="M7" s="521" t="n">
        <f aca="false">Import.Repasse</f>
        <v>0</v>
      </c>
      <c r="N7" s="521" t="n">
        <f aca="false">Import.Contrapartida</f>
        <v>0</v>
      </c>
      <c r="O7" s="521" t="n">
        <f aca="false">M7+N7</f>
        <v>0</v>
      </c>
      <c r="Z7" s="183" t="n">
        <f aca="false">ROUND(Import.CPMinPerc,4)</f>
        <v>0</v>
      </c>
      <c r="AA7" s="183" t="n">
        <f aca="false">IF($O$24=0,0,Import.CPMinAbsoluta/$O$24)</f>
        <v>0</v>
      </c>
      <c r="AB7" s="183" t="n">
        <f aca="false">IF($O$24=0,0,($O$24-$AB$24-Import.Repasse)/($O$24))</f>
        <v>0</v>
      </c>
    </row>
    <row r="8" customFormat="false" ht="12.75" hidden="false" customHeight="false" outlineLevel="0" collapsed="false">
      <c r="A8" s="0" t="s">
        <v>907</v>
      </c>
      <c r="C8" s="102"/>
      <c r="D8" s="164"/>
      <c r="E8" s="164"/>
      <c r="F8" s="522"/>
      <c r="G8" s="164"/>
      <c r="H8" s="164"/>
      <c r="I8" s="164"/>
      <c r="J8" s="164"/>
      <c r="K8" s="164"/>
      <c r="L8" s="164"/>
      <c r="M8" s="164"/>
      <c r="N8" s="164"/>
      <c r="O8" s="164"/>
    </row>
    <row r="9" customFormat="false" ht="12.75" hidden="false" customHeight="true" outlineLevel="0" collapsed="false">
      <c r="A9" s="0" t="s">
        <v>908</v>
      </c>
      <c r="C9" s="102"/>
      <c r="G9" s="523" t="str">
        <f aca="true">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IF(OFFSET($A$24,-1,0)&lt;OFFSET(ORÇAMENTO!$E$21,-1,0),"ERRO: NÚMERO DE LINHAS DO QCI INSUFICIENTE. CLIQUE NO BOTÃO ADICIONAR LINHAS",
  "")))))))</f>
        <v/>
      </c>
      <c r="H9" s="523"/>
      <c r="I9" s="524"/>
      <c r="J9" s="525"/>
      <c r="K9" s="526" t="s">
        <v>909</v>
      </c>
      <c r="L9" s="527" t="str">
        <f aca="false">$L$13</f>
        <v>Repasse (R$)</v>
      </c>
      <c r="M9" s="527" t="s">
        <v>811</v>
      </c>
      <c r="AD9" s="528"/>
      <c r="AE9" s="528"/>
    </row>
    <row r="10" customFormat="false" ht="12.75" hidden="false" customHeight="true" outlineLevel="0" collapsed="false">
      <c r="A10" s="529" t="s">
        <v>910</v>
      </c>
      <c r="C10" s="102"/>
      <c r="G10" s="523"/>
      <c r="H10" s="523"/>
      <c r="I10" s="524"/>
      <c r="J10" s="525"/>
      <c r="K10" s="526"/>
      <c r="L10" s="530" t="n">
        <f aca="false">Import.Repasse-L24</f>
        <v>0</v>
      </c>
      <c r="M10" s="531" t="n">
        <f aca="false">Import.Contrapartida-M24</f>
        <v>0</v>
      </c>
      <c r="Z10" s="191" t="s">
        <v>791</v>
      </c>
      <c r="AA10" s="191"/>
      <c r="AB10" s="191"/>
      <c r="AD10" s="528" t="s">
        <v>911</v>
      </c>
      <c r="AE10" s="528"/>
    </row>
    <row r="11" customFormat="false" ht="19.5" hidden="false" customHeight="true" outlineLevel="0" collapsed="false">
      <c r="A11" s="529"/>
      <c r="C11" s="102"/>
      <c r="G11" s="532" t="str">
        <f aca="false">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1" t="str">
        <f aca="false">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96" t="s">
        <v>912</v>
      </c>
      <c r="AA11" s="196" t="s">
        <v>811</v>
      </c>
      <c r="AB11" s="197" t="s">
        <v>812</v>
      </c>
    </row>
    <row r="12" customFormat="false" ht="30" hidden="true" customHeight="true" outlineLevel="0" collapsed="false">
      <c r="A12" s="533" t="n">
        <f aca="true">IF(NOT(ISBLANK(QCI.DescManual)),OFFSET(A12,-1,0),D12)</f>
        <v>-1</v>
      </c>
      <c r="B12" s="0" t="str">
        <f aca="false">IF(NOT(ISBLANK(QCI.DescManual)),IF(QCI.Divisao="Calculado","Manual","SemiAuto"),IF(ISERROR(MATCH($A12,ORÇAMENTO!$E$15:$E$21,0)),"Branco","Automático"))</f>
        <v>Branco</v>
      </c>
      <c r="C12" s="0" t="str">
        <f aca="false">IF(O12&gt;0,"F","")</f>
        <v/>
      </c>
      <c r="D12" s="534" t="n">
        <f aca="false">ROW()-ROW($D$13)</f>
        <v>-1</v>
      </c>
      <c r="E12" s="535"/>
      <c r="F12" s="535"/>
      <c r="G12" s="339" t="str">
        <f aca="false">IF(OR($B12="Manual",$B12="SemiAuto"),QCI.DescManual,IF($B12="Automático",INDEX(ORÇAMENTO!$R$15:$R$21,MATCH($A12,ORÇAMENTO!$E$15:$E$21,0)),""))</f>
        <v/>
      </c>
      <c r="H12" s="535"/>
      <c r="I12" s="536"/>
      <c r="J12" s="537" t="str">
        <f aca="true">IF(AND(ISBLANK(E12),ISBLANK(F12)),"",VLOOKUP($F12,OFFSET(DADOS!$A$2,1,MATCH(QCI!$E12,DADOS!$2:$2,0)-1,100,50),2,FALSE()))</f>
        <v/>
      </c>
      <c r="K12" s="538" t="str">
        <f aca="false" t="array" ref="K12:K12">IF(OR($B12="Manual",$B12="SemiAuto"),QCI.LoteManual,IF($B12="Automático",IF(TIPOORCAMENTO="Licitado",Import.CTEF,"LOTE 1"),""))</f>
        <v/>
      </c>
      <c r="L12" s="539" t="n">
        <f aca="false">ROUND($O12,2)-ROUND($M12,2)-ROUND($N12,2)</f>
        <v>0</v>
      </c>
      <c r="M12" s="540" t="n">
        <f aca="false">ROUND($AA12,2)-ROUND($AE12,2)</f>
        <v>0</v>
      </c>
      <c r="N12" s="541" t="n">
        <f aca="false">ROUND($AB12,2)</f>
        <v>0</v>
      </c>
      <c r="O12" s="542" t="n">
        <f aca="false" t="array" ref="O12:O12">IF($B12="Branco",0,IF(OR($B12="Manual",$B12="SemiAuto"),QCI.InvManual,INDEX(ORÇAMENTO!X$15:X$21,MATCH($A12,ORÇAMENTO!$E$15:$E$21,0))))</f>
        <v>0</v>
      </c>
      <c r="P12" s="543" t="str">
        <f aca="false">IF(O12=0,"",
  IF(E12="","ITEM",
  IF(F12="","SUBITEM",
  IF(H12="","SITUAÇÃO",
  IF(I12=0,"QUANT.","")))))</f>
        <v/>
      </c>
      <c r="R12" s="544"/>
      <c r="S12" s="545" t="str">
        <f aca="false">IF(R12="","",
  IF(T12=0,"► LOTE",
  IF(U12=0,"► INVEST",
  IF(V12=0,"► DIV",
  IF(AND(V12="Calculado",W12=""),"► CP",
  IF(AND(V12="Calculado",X12=""),"► OU",""))))))</f>
        <v/>
      </c>
      <c r="T12" s="546"/>
      <c r="U12" s="547"/>
      <c r="V12" s="548" t="s">
        <v>907</v>
      </c>
      <c r="W12" s="549"/>
      <c r="X12" s="550"/>
      <c r="Z12" s="0" t="n">
        <f aca="false">$O12-$AA12-$AB12</f>
        <v>0</v>
      </c>
      <c r="AA12" s="0" t="n">
        <f aca="false" t="array" ref="AA12:AA12">IF($B12="Branco",0,IF($B12="Manual",QCI.CPManual,IF($B12="SemiAuto",ROUND(QCI!$AA$3*QCI.InvManual,2),INDEX(ORÇAMENTO!$AA$15:$AA$21,MATCH($A12,ORÇAMENTO!$E$15:$E$21,0)))))</f>
        <v>0</v>
      </c>
      <c r="AB12" s="0" t="n">
        <f aca="false" t="array" ref="AB12:AB12">IF($B12="Branco",0,IF($B12="Manual",QCI.OutrosManual,IF($B12="SemiAuto",0,INDEX(ORÇAMENTO!$AB$15:$AB$21,MATCH($A12,ORÇAMENTO!$E$15:$E$21,0)))))</f>
        <v>0</v>
      </c>
      <c r="AD12" s="551" t="n">
        <f aca="false">AND($AA$3&gt;0,$AA$3&lt;1,$O12&gt;0,OR($B12="Automático",$B12="SemiAuto"),OR(QCI!$Z$3=QCI!$Z$7,QCI!$Z$3=QCI!$AA$7,QCI!$Z$3=QCI!$AB$7))</f>
        <v>0</v>
      </c>
      <c r="AE12" s="551" t="n">
        <f aca="true">IF(AND($AD12,$O12&gt;0,COUNTIF(OFFSET($AD12,1,0):$AD$24,TRUE())=0),CHOOSE(1+LOG(1+2*(QCI!$Z$3=QCI!$Z$7)+4*(QCI!$Z$3=QCI!$AA$7)+8*(QCI!$Z$3=QCI!$AB$7),2),0,$AA$24-ROUND(Import.CPMinPerc*$O$24,2),$AA$24-Import.CPMinAbsoluta,Import.Repasse-$Z$24),0)</f>
        <v>0</v>
      </c>
    </row>
    <row r="13" customFormat="false" ht="25.5" hidden="false" customHeight="true" outlineLevel="0" collapsed="false">
      <c r="A13" s="15" t="n">
        <v>0</v>
      </c>
      <c r="B13" s="552" t="s">
        <v>913</v>
      </c>
      <c r="C13" s="109" t="s">
        <v>718</v>
      </c>
      <c r="D13" s="193" t="s">
        <v>761</v>
      </c>
      <c r="E13" s="193" t="s">
        <v>914</v>
      </c>
      <c r="F13" s="193" t="s">
        <v>915</v>
      </c>
      <c r="G13" s="193" t="s">
        <v>916</v>
      </c>
      <c r="H13" s="193" t="s">
        <v>726</v>
      </c>
      <c r="I13" s="193" t="s">
        <v>779</v>
      </c>
      <c r="J13" s="193" t="s">
        <v>917</v>
      </c>
      <c r="K13" s="193" t="s">
        <v>918</v>
      </c>
      <c r="L13" s="553" t="str">
        <f aca="false">IF(import.recurso="FGTS","Financiamento (R$)","Repasse (R$)")</f>
        <v>Repasse (R$)</v>
      </c>
      <c r="M13" s="554" t="s">
        <v>919</v>
      </c>
      <c r="N13" s="555" t="s">
        <v>812</v>
      </c>
      <c r="O13" s="193" t="s">
        <v>920</v>
      </c>
      <c r="R13" s="201" t="s">
        <v>916</v>
      </c>
      <c r="T13" s="201" t="s">
        <v>918</v>
      </c>
      <c r="U13" s="199" t="s">
        <v>920</v>
      </c>
      <c r="V13" s="556" t="s">
        <v>921</v>
      </c>
      <c r="W13" s="335" t="s">
        <v>919</v>
      </c>
      <c r="X13" s="202" t="s">
        <v>812</v>
      </c>
    </row>
    <row r="14" customFormat="false" ht="30" hidden="false" customHeight="true" outlineLevel="0" collapsed="false">
      <c r="A14" s="533" t="n">
        <f aca="true">IF(NOT(ISBLANK(QCI.DescManual)),OFFSET(A14,-1,0),D14)</f>
        <v>1</v>
      </c>
      <c r="B14" s="0" t="str">
        <f aca="false">IF(NOT(ISBLANK(QCI.DescManual)),IF(QCI.Divisao="Calculado","Manual","SemiAuto"),IF(ISERROR(MATCH($A14,ORÇAMENTO!$E$15:$E$21,0)),"Branco","Automático"))</f>
        <v>Automático</v>
      </c>
      <c r="C14" s="0" t="str">
        <f aca="false">IF(O14&gt;0,"F","")</f>
        <v/>
      </c>
      <c r="D14" s="534" t="n">
        <f aca="false">ROW()-ROW($D$13)</f>
        <v>1</v>
      </c>
      <c r="E14" s="535"/>
      <c r="F14" s="535"/>
      <c r="G14" s="339" t="str">
        <f aca="false">IF(OR($B14="Manual",$B14="SemiAuto"),QCI.DescManual,IF($B14="Automático",INDEX(ORÇAMENTO!$R$15:$R$21,MATCH($A14,ORÇAMENTO!$E$15:$E$21,0)),""))</f>
        <v>REVITALIZAÇÃO DIVERSAS RUAS - RUA CARLOS GOMES</v>
      </c>
      <c r="H14" s="535"/>
      <c r="I14" s="536"/>
      <c r="J14" s="537" t="str">
        <f aca="true">IF(AND(ISBLANK(E14),ISBLANK(F14)),"",VLOOKUP($F14,OFFSET(DADOS!$A$2,1,MATCH(QCI!$E14,DADOS!$2:$2,0)-1,100,50),2,FALSE()))</f>
        <v/>
      </c>
      <c r="K14" s="538" t="str">
        <f aca="false" t="array" ref="K14:K14">IF(OR($B14="Manual",$B14="SemiAuto"),QCI.LoteManual,IF($B14="Automático",IF(TIPOORCAMENTO="Licitado",Import.CTEF,"LOTE 1"),""))</f>
        <v>LOTE 1</v>
      </c>
      <c r="L14" s="539" t="n">
        <f aca="false">ROUND($O14,2)-ROUND($M14,2)-ROUND($N14,2)</f>
        <v>0</v>
      </c>
      <c r="M14" s="540" t="n">
        <f aca="false">ROUND($AA14,2)-ROUND($AE14,2)</f>
        <v>0</v>
      </c>
      <c r="N14" s="541" t="n">
        <f aca="false">ROUND($AB14,2)</f>
        <v>0</v>
      </c>
      <c r="O14" s="542" t="n">
        <f aca="false" t="array" ref="O14:O14">IF($B14="Branco",0,IF(OR($B14="Manual",$B14="SemiAuto"),QCI.InvManual,INDEX(ORÇAMENTO!X$15:X$21,MATCH($A14,ORÇAMENTO!$E$15:$E$21,0))))</f>
        <v>0</v>
      </c>
      <c r="P14" s="543" t="str">
        <f aca="false">IF(O14=0,"",
  IF(E14="","ITEM",
  IF(F14="","SUBITEM",
  IF(H14="","SITUAÇÃO",
  IF(I14=0,"QUANT.","")))))</f>
        <v/>
      </c>
      <c r="R14" s="544"/>
      <c r="S14" s="545" t="str">
        <f aca="false">IF(R14="","",
  IF(T14=0,"► LOTE",
  IF(U14=0,"► INVEST",
  IF(V14=0,"► DIV",
  IF(AND(V14="Calculado",W14=""),"► CP",
  IF(AND(V14="Calculado",X14=""),"► OU",""))))))</f>
        <v/>
      </c>
      <c r="T14" s="546"/>
      <c r="U14" s="547"/>
      <c r="V14" s="548" t="s">
        <v>907</v>
      </c>
      <c r="W14" s="549"/>
      <c r="X14" s="550"/>
      <c r="Z14" s="0" t="n">
        <f aca="false">$O14-$AA14-$AB14</f>
        <v>0</v>
      </c>
      <c r="AA14" s="0" t="n">
        <f aca="false" t="array" ref="AA14:AA14">IF($B14="Branco",0,IF($B14="Manual",QCI.CPManual,IF($B14="SemiAuto",ROUND(QCI!$AA$3*QCI.InvManual,2),INDEX(ORÇAMENTO!$AA$15:$AA$21,MATCH($A14,ORÇAMENTO!$E$15:$E$21,0)))))</f>
        <v>0</v>
      </c>
      <c r="AB14" s="0" t="n">
        <f aca="false" t="array" ref="AB14:AB14">IF($B14="Branco",0,IF($B14="Manual",QCI.OutrosManual,IF($B14="SemiAuto",0,INDEX(ORÇAMENTO!$AB$15:$AB$21,MATCH($A14,ORÇAMENTO!$E$15:$E$21,0)))))</f>
        <v>0</v>
      </c>
      <c r="AD14" s="551" t="n">
        <f aca="false">AND($AA$3&gt;0,$AA$3&lt;1,$O14&gt;0,OR($B14="Automático",$B14="SemiAuto"),OR(QCI!$Z$3=QCI!$Z$7,QCI!$Z$3=QCI!$AA$7,QCI!$Z$3=QCI!$AB$7))</f>
        <v>0</v>
      </c>
      <c r="AE14" s="551" t="n">
        <f aca="true">IF(AND($AD14,$O14&gt;0,COUNTIF(OFFSET($AD14,1,0):$AD$24,TRUE())=0),CHOOSE(1+LOG(1+2*(QCI!$Z$3=QCI!$Z$7)+4*(QCI!$Z$3=QCI!$AA$7)+8*(QCI!$Z$3=QCI!$AB$7),2),0,$AA$24-ROUND(Import.CPMinPerc*$O$24,2),$AA$24-Import.CPMinAbsoluta,Import.Repasse-$Z$24),0)</f>
        <v>0</v>
      </c>
    </row>
    <row r="15" customFormat="false" ht="30" hidden="false" customHeight="true" outlineLevel="0" collapsed="false">
      <c r="A15" s="533" t="n">
        <f aca="true">IF(NOT(ISBLANK(QCI.DescManual)),OFFSET(A15,-1,0),D15)</f>
        <v>2</v>
      </c>
      <c r="B15" s="0" t="str">
        <f aca="false">IF(NOT(ISBLANK(QCI.DescManual)),IF(QCI.Divisao="Calculado","Manual","SemiAuto"),IF(ISERROR(MATCH($A15,ORÇAMENTO!$E$15:$E$21,0)),"Branco","Automático"))</f>
        <v>Branco</v>
      </c>
      <c r="C15" s="0" t="str">
        <f aca="false">IF(O15&gt;0,"F","")</f>
        <v/>
      </c>
      <c r="D15" s="534" t="n">
        <f aca="false">ROW()-ROW($D$13)</f>
        <v>2</v>
      </c>
      <c r="E15" s="535"/>
      <c r="F15" s="535"/>
      <c r="G15" s="339" t="str">
        <f aca="false">IF(OR($B15="Manual",$B15="SemiAuto"),QCI.DescManual,IF($B15="Automático",INDEX(ORÇAMENTO!$R$15:$R$21,MATCH($A15,ORÇAMENTO!$E$15:$E$21,0)),""))</f>
        <v/>
      </c>
      <c r="H15" s="535"/>
      <c r="I15" s="536"/>
      <c r="J15" s="537" t="str">
        <f aca="true">IF(AND(ISBLANK(E15),ISBLANK(F15)),"",VLOOKUP($F15,OFFSET(DADOS!$A$2,1,MATCH(QCI!$E15,DADOS!$2:$2,0)-1,100,50),2,FALSE()))</f>
        <v/>
      </c>
      <c r="K15" s="538" t="str">
        <f aca="false" t="array" ref="K15:K15">IF(OR($B15="Manual",$B15="SemiAuto"),QCI.LoteManual,IF($B15="Automático",IF(TIPOORCAMENTO="Licitado",Import.CTEF,"LOTE 1"),""))</f>
        <v/>
      </c>
      <c r="L15" s="539" t="n">
        <f aca="false">ROUND($O15,2)-ROUND($M15,2)-ROUND($N15,2)</f>
        <v>0</v>
      </c>
      <c r="M15" s="540" t="n">
        <f aca="false">ROUND($AA15,2)-ROUND($AE15,2)</f>
        <v>0</v>
      </c>
      <c r="N15" s="541" t="n">
        <f aca="false">ROUND($AB15,2)</f>
        <v>0</v>
      </c>
      <c r="O15" s="542" t="n">
        <f aca="false" t="array" ref="O15:O15">IF($B15="Branco",0,IF(OR($B15="Manual",$B15="SemiAuto"),QCI.InvManual,INDEX(ORÇAMENTO!X$15:X$21,MATCH($A15,ORÇAMENTO!$E$15:$E$21,0))))</f>
        <v>0</v>
      </c>
      <c r="P15" s="543" t="str">
        <f aca="false">IF(O15=0,"",
  IF(E15="","ITEM",
  IF(F15="","SUBITEM",
  IF(H15="","SITUAÇÃO",
  IF(I15=0,"QUANT.","")))))</f>
        <v/>
      </c>
      <c r="R15" s="544"/>
      <c r="S15" s="545" t="str">
        <f aca="false">IF(R15="","",
  IF(T15=0,"► LOTE",
  IF(U15=0,"► INVEST",
  IF(V15=0,"► DIV",
  IF(AND(V15="Calculado",W15=""),"► CP",
  IF(AND(V15="Calculado",X15=""),"► OU",""))))))</f>
        <v/>
      </c>
      <c r="T15" s="546"/>
      <c r="U15" s="547"/>
      <c r="V15" s="548" t="s">
        <v>907</v>
      </c>
      <c r="W15" s="549"/>
      <c r="X15" s="550"/>
      <c r="Z15" s="0" t="n">
        <f aca="false">$O15-$AA15-$AB15</f>
        <v>0</v>
      </c>
      <c r="AA15" s="0" t="n">
        <f aca="false" t="array" ref="AA15:AA15">IF($B15="Branco",0,IF($B15="Manual",QCI.CPManual,IF($B15="SemiAuto",ROUND(QCI!$AA$3*QCI.InvManual,2),INDEX(ORÇAMENTO!$AA$15:$AA$21,MATCH($A15,ORÇAMENTO!$E$15:$E$21,0)))))</f>
        <v>0</v>
      </c>
      <c r="AB15" s="0" t="n">
        <f aca="false" t="array" ref="AB15:AB15">IF($B15="Branco",0,IF($B15="Manual",QCI.OutrosManual,IF($B15="SemiAuto",0,INDEX(ORÇAMENTO!$AB$15:$AB$21,MATCH($A15,ORÇAMENTO!$E$15:$E$21,0)))))</f>
        <v>0</v>
      </c>
      <c r="AD15" s="551" t="n">
        <f aca="false">AND($AA$3&gt;0,$AA$3&lt;1,$O15&gt;0,OR($B15="Automático",$B15="SemiAuto"),OR(QCI!$Z$3=QCI!$Z$7,QCI!$Z$3=QCI!$AA$7,QCI!$Z$3=QCI!$AB$7))</f>
        <v>0</v>
      </c>
      <c r="AE15" s="551" t="n">
        <f aca="true">IF(AND($AD15,$O15&gt;0,COUNTIF(OFFSET($AD15,1,0):$AD$24,TRUE())=0),CHOOSE(1+LOG(1+2*(QCI!$Z$3=QCI!$Z$7)+4*(QCI!$Z$3=QCI!$AA$7)+8*(QCI!$Z$3=QCI!$AB$7),2),0,$AA$24-ROUND(Import.CPMinPerc*$O$24,2),$AA$24-Import.CPMinAbsoluta,Import.Repasse-$Z$24),0)</f>
        <v>0</v>
      </c>
    </row>
    <row r="16" customFormat="false" ht="30" hidden="false" customHeight="true" outlineLevel="0" collapsed="false">
      <c r="A16" s="533" t="n">
        <f aca="true">IF(NOT(ISBLANK(QCI.DescManual)),OFFSET(A16,-1,0),D16)</f>
        <v>3</v>
      </c>
      <c r="B16" s="0" t="str">
        <f aca="false">IF(NOT(ISBLANK(QCI.DescManual)),IF(QCI.Divisao="Calculado","Manual","SemiAuto"),IF(ISERROR(MATCH($A16,ORÇAMENTO!$E$15:$E$21,0)),"Branco","Automático"))</f>
        <v>Branco</v>
      </c>
      <c r="C16" s="0" t="str">
        <f aca="false">IF(O16&gt;0,"F","")</f>
        <v/>
      </c>
      <c r="D16" s="534" t="n">
        <f aca="false">ROW()-ROW($D$13)</f>
        <v>3</v>
      </c>
      <c r="E16" s="535"/>
      <c r="F16" s="535"/>
      <c r="G16" s="339" t="str">
        <f aca="false">IF(OR($B16="Manual",$B16="SemiAuto"),QCI.DescManual,IF($B16="Automático",INDEX(ORÇAMENTO!$R$15:$R$21,MATCH($A16,ORÇAMENTO!$E$15:$E$21,0)),""))</f>
        <v/>
      </c>
      <c r="H16" s="535"/>
      <c r="I16" s="536"/>
      <c r="J16" s="537" t="str">
        <f aca="true">IF(AND(ISBLANK(E16),ISBLANK(F16)),"",VLOOKUP($F16,OFFSET(DADOS!$A$2,1,MATCH(QCI!$E16,DADOS!$2:$2,0)-1,100,50),2,FALSE()))</f>
        <v/>
      </c>
      <c r="K16" s="538" t="str">
        <f aca="false" t="array" ref="K16:K16">IF(OR($B16="Manual",$B16="SemiAuto"),QCI.LoteManual,IF($B16="Automático",IF(TIPOORCAMENTO="Licitado",Import.CTEF,"LOTE 1"),""))</f>
        <v/>
      </c>
      <c r="L16" s="539" t="n">
        <f aca="false">ROUND($O16,2)-ROUND($M16,2)-ROUND($N16,2)</f>
        <v>0</v>
      </c>
      <c r="M16" s="540" t="n">
        <f aca="false">ROUND($AA16,2)-ROUND($AE16,2)</f>
        <v>0</v>
      </c>
      <c r="N16" s="541" t="n">
        <f aca="false">ROUND($AB16,2)</f>
        <v>0</v>
      </c>
      <c r="O16" s="542" t="n">
        <f aca="false" t="array" ref="O16:O16">IF($B16="Branco",0,IF(OR($B16="Manual",$B16="SemiAuto"),QCI.InvManual,INDEX(ORÇAMENTO!X$15:X$21,MATCH($A16,ORÇAMENTO!$E$15:$E$21,0))))</f>
        <v>0</v>
      </c>
      <c r="P16" s="543" t="str">
        <f aca="false">IF(O16=0,"",
  IF(E16="","ITEM",
  IF(F16="","SUBITEM",
  IF(H16="","SITUAÇÃO",
  IF(I16=0,"QUANT.","")))))</f>
        <v/>
      </c>
      <c r="R16" s="544"/>
      <c r="S16" s="545" t="str">
        <f aca="false">IF(R16="","",
  IF(T16=0,"► LOTE",
  IF(U16=0,"► INVEST",
  IF(V16=0,"► DIV",
  IF(AND(V16="Calculado",W16=""),"► CP",
  IF(AND(V16="Calculado",X16=""),"► OU",""))))))</f>
        <v/>
      </c>
      <c r="T16" s="546"/>
      <c r="U16" s="547"/>
      <c r="V16" s="548" t="s">
        <v>907</v>
      </c>
      <c r="W16" s="549"/>
      <c r="X16" s="550"/>
      <c r="Z16" s="0" t="n">
        <f aca="false">$O16-$AA16-$AB16</f>
        <v>0</v>
      </c>
      <c r="AA16" s="0" t="n">
        <f aca="false" t="array" ref="AA16:AA16">IF($B16="Branco",0,IF($B16="Manual",QCI.CPManual,IF($B16="SemiAuto",ROUND(QCI!$AA$3*QCI.InvManual,2),INDEX(ORÇAMENTO!$AA$15:$AA$21,MATCH($A16,ORÇAMENTO!$E$15:$E$21,0)))))</f>
        <v>0</v>
      </c>
      <c r="AB16" s="0" t="n">
        <f aca="false" t="array" ref="AB16:AB16">IF($B16="Branco",0,IF($B16="Manual",QCI.OutrosManual,IF($B16="SemiAuto",0,INDEX(ORÇAMENTO!$AB$15:$AB$21,MATCH($A16,ORÇAMENTO!$E$15:$E$21,0)))))</f>
        <v>0</v>
      </c>
      <c r="AD16" s="551" t="n">
        <f aca="false">AND($AA$3&gt;0,$AA$3&lt;1,$O16&gt;0,OR($B16="Automático",$B16="SemiAuto"),OR(QCI!$Z$3=QCI!$Z$7,QCI!$Z$3=QCI!$AA$7,QCI!$Z$3=QCI!$AB$7))</f>
        <v>0</v>
      </c>
      <c r="AE16" s="551" t="n">
        <f aca="true">IF(AND($AD16,$O16&gt;0,COUNTIF(OFFSET($AD16,1,0):$AD$24,TRUE())=0),CHOOSE(1+LOG(1+2*(QCI!$Z$3=QCI!$Z$7)+4*(QCI!$Z$3=QCI!$AA$7)+8*(QCI!$Z$3=QCI!$AB$7),2),0,$AA$24-ROUND(Import.CPMinPerc*$O$24,2),$AA$24-Import.CPMinAbsoluta,Import.Repasse-$Z$24),0)</f>
        <v>0</v>
      </c>
    </row>
    <row r="17" customFormat="false" ht="30" hidden="false" customHeight="true" outlineLevel="0" collapsed="false">
      <c r="A17" s="533" t="n">
        <f aca="true">IF(NOT(ISBLANK(QCI.DescManual)),OFFSET(A17,-1,0),D17)</f>
        <v>4</v>
      </c>
      <c r="B17" s="0" t="str">
        <f aca="false">IF(NOT(ISBLANK(QCI.DescManual)),IF(QCI.Divisao="Calculado","Manual","SemiAuto"),IF(ISERROR(MATCH($A17,ORÇAMENTO!$E$15:$E$21,0)),"Branco","Automático"))</f>
        <v>Branco</v>
      </c>
      <c r="C17" s="0" t="str">
        <f aca="false">IF(O17&gt;0,"F","")</f>
        <v/>
      </c>
      <c r="D17" s="534" t="n">
        <f aca="false">ROW()-ROW($D$13)</f>
        <v>4</v>
      </c>
      <c r="E17" s="535"/>
      <c r="F17" s="535"/>
      <c r="G17" s="339" t="str">
        <f aca="false">IF(OR($B17="Manual",$B17="SemiAuto"),QCI.DescManual,IF($B17="Automático",INDEX(ORÇAMENTO!$R$15:$R$21,MATCH($A17,ORÇAMENTO!$E$15:$E$21,0)),""))</f>
        <v/>
      </c>
      <c r="H17" s="535"/>
      <c r="I17" s="536"/>
      <c r="J17" s="537" t="str">
        <f aca="true">IF(AND(ISBLANK(E17),ISBLANK(F17)),"",VLOOKUP($F17,OFFSET(DADOS!$A$2,1,MATCH(QCI!$E17,DADOS!$2:$2,0)-1,100,50),2,FALSE()))</f>
        <v/>
      </c>
      <c r="K17" s="538" t="str">
        <f aca="false" t="array" ref="K17:K17">IF(OR($B17="Manual",$B17="SemiAuto"),QCI.LoteManual,IF($B17="Automático",IF(TIPOORCAMENTO="Licitado",Import.CTEF,"LOTE 1"),""))</f>
        <v/>
      </c>
      <c r="L17" s="539" t="n">
        <f aca="false">ROUND($O17,2)-ROUND($M17,2)-ROUND($N17,2)</f>
        <v>0</v>
      </c>
      <c r="M17" s="540" t="n">
        <f aca="false">ROUND($AA17,2)-ROUND($AE17,2)</f>
        <v>0</v>
      </c>
      <c r="N17" s="541" t="n">
        <f aca="false">ROUND($AB17,2)</f>
        <v>0</v>
      </c>
      <c r="O17" s="542" t="n">
        <f aca="false" t="array" ref="O17:O17">IF($B17="Branco",0,IF(OR($B17="Manual",$B17="SemiAuto"),QCI.InvManual,INDEX(ORÇAMENTO!X$15:X$21,MATCH($A17,ORÇAMENTO!$E$15:$E$21,0))))</f>
        <v>0</v>
      </c>
      <c r="P17" s="543" t="str">
        <f aca="false">IF(O17=0,"",
  IF(E17="","ITEM",
  IF(F17="","SUBITEM",
  IF(H17="","SITUAÇÃO",
  IF(I17=0,"QUANT.","")))))</f>
        <v/>
      </c>
      <c r="R17" s="544"/>
      <c r="S17" s="545" t="str">
        <f aca="false">IF(R17="","",
  IF(T17=0,"► LOTE",
  IF(U17=0,"► INVEST",
  IF(V17=0,"► DIV",
  IF(AND(V17="Calculado",W17=""),"► CP",
  IF(AND(V17="Calculado",X17=""),"► OU",""))))))</f>
        <v/>
      </c>
      <c r="T17" s="546"/>
      <c r="U17" s="547"/>
      <c r="V17" s="548" t="s">
        <v>907</v>
      </c>
      <c r="W17" s="549"/>
      <c r="X17" s="550"/>
      <c r="Z17" s="0" t="n">
        <f aca="false">$O17-$AA17-$AB17</f>
        <v>0</v>
      </c>
      <c r="AA17" s="0" t="n">
        <f aca="false" t="array" ref="AA17:AA17">IF($B17="Branco",0,IF($B17="Manual",QCI.CPManual,IF($B17="SemiAuto",ROUND(QCI!$AA$3*QCI.InvManual,2),INDEX(ORÇAMENTO!$AA$15:$AA$21,MATCH($A17,ORÇAMENTO!$E$15:$E$21,0)))))</f>
        <v>0</v>
      </c>
      <c r="AB17" s="0" t="n">
        <f aca="false" t="array" ref="AB17:AB17">IF($B17="Branco",0,IF($B17="Manual",QCI.OutrosManual,IF($B17="SemiAuto",0,INDEX(ORÇAMENTO!$AB$15:$AB$21,MATCH($A17,ORÇAMENTO!$E$15:$E$21,0)))))</f>
        <v>0</v>
      </c>
      <c r="AD17" s="551" t="n">
        <f aca="false">AND($AA$3&gt;0,$AA$3&lt;1,$O17&gt;0,OR($B17="Automático",$B17="SemiAuto"),OR(QCI!$Z$3=QCI!$Z$7,QCI!$Z$3=QCI!$AA$7,QCI!$Z$3=QCI!$AB$7))</f>
        <v>0</v>
      </c>
      <c r="AE17" s="551" t="n">
        <f aca="true">IF(AND($AD17,$O17&gt;0,COUNTIF(OFFSET($AD17,1,0):$AD$24,TRUE())=0),CHOOSE(1+LOG(1+2*(QCI!$Z$3=QCI!$Z$7)+4*(QCI!$Z$3=QCI!$AA$7)+8*(QCI!$Z$3=QCI!$AB$7),2),0,$AA$24-ROUND(Import.CPMinPerc*$O$24,2),$AA$24-Import.CPMinAbsoluta,Import.Repasse-$Z$24),0)</f>
        <v>0</v>
      </c>
    </row>
    <row r="18" customFormat="false" ht="30" hidden="false" customHeight="true" outlineLevel="0" collapsed="false">
      <c r="A18" s="533" t="n">
        <f aca="true">IF(NOT(ISBLANK(QCI.DescManual)),OFFSET(A18,-1,0),D18)</f>
        <v>5</v>
      </c>
      <c r="B18" s="0" t="str">
        <f aca="false">IF(NOT(ISBLANK(QCI.DescManual)),IF(QCI.Divisao="Calculado","Manual","SemiAuto"),IF(ISERROR(MATCH($A18,ORÇAMENTO!$E$15:$E$21,0)),"Branco","Automático"))</f>
        <v>Branco</v>
      </c>
      <c r="C18" s="0" t="str">
        <f aca="false">IF(O18&gt;0,"F","")</f>
        <v/>
      </c>
      <c r="D18" s="534" t="n">
        <f aca="false">ROW()-ROW($D$13)</f>
        <v>5</v>
      </c>
      <c r="E18" s="535"/>
      <c r="F18" s="535"/>
      <c r="G18" s="339" t="str">
        <f aca="false">IF(OR($B18="Manual",$B18="SemiAuto"),QCI.DescManual,IF($B18="Automático",INDEX(ORÇAMENTO!$R$15:$R$21,MATCH($A18,ORÇAMENTO!$E$15:$E$21,0)),""))</f>
        <v/>
      </c>
      <c r="H18" s="535"/>
      <c r="I18" s="536"/>
      <c r="J18" s="537" t="str">
        <f aca="true">IF(AND(ISBLANK(E18),ISBLANK(F18)),"",VLOOKUP($F18,OFFSET(DADOS!$A$2,1,MATCH(QCI!$E18,DADOS!$2:$2,0)-1,100,50),2,FALSE()))</f>
        <v/>
      </c>
      <c r="K18" s="538" t="str">
        <f aca="false" t="array" ref="K18:K18">IF(OR($B18="Manual",$B18="SemiAuto"),QCI.LoteManual,IF($B18="Automático",IF(TIPOORCAMENTO="Licitado",Import.CTEF,"LOTE 1"),""))</f>
        <v/>
      </c>
      <c r="L18" s="539" t="n">
        <f aca="false">ROUND($O18,2)-ROUND($M18,2)-ROUND($N18,2)</f>
        <v>0</v>
      </c>
      <c r="M18" s="540" t="n">
        <f aca="false">ROUND($AA18,2)-ROUND($AE18,2)</f>
        <v>0</v>
      </c>
      <c r="N18" s="541" t="n">
        <f aca="false">ROUND($AB18,2)</f>
        <v>0</v>
      </c>
      <c r="O18" s="542" t="n">
        <f aca="false" t="array" ref="O18:O18">IF($B18="Branco",0,IF(OR($B18="Manual",$B18="SemiAuto"),QCI.InvManual,INDEX(ORÇAMENTO!X$15:X$21,MATCH($A18,ORÇAMENTO!$E$15:$E$21,0))))</f>
        <v>0</v>
      </c>
      <c r="P18" s="543" t="str">
        <f aca="false">IF(O18=0,"",
  IF(E18="","ITEM",
  IF(F18="","SUBITEM",
  IF(H18="","SITUAÇÃO",
  IF(I18=0,"QUANT.","")))))</f>
        <v/>
      </c>
      <c r="R18" s="544"/>
      <c r="S18" s="545" t="str">
        <f aca="false">IF(R18="","",
  IF(T18=0,"► LOTE",
  IF(U18=0,"► INVEST",
  IF(V18=0,"► DIV",
  IF(AND(V18="Calculado",W18=""),"► CP",
  IF(AND(V18="Calculado",X18=""),"► OU",""))))))</f>
        <v/>
      </c>
      <c r="T18" s="546"/>
      <c r="U18" s="547"/>
      <c r="V18" s="548" t="s">
        <v>907</v>
      </c>
      <c r="W18" s="549"/>
      <c r="X18" s="550"/>
      <c r="Z18" s="0" t="n">
        <f aca="false">$O18-$AA18-$AB18</f>
        <v>0</v>
      </c>
      <c r="AA18" s="0" t="n">
        <f aca="false" t="array" ref="AA18:AA18">IF($B18="Branco",0,IF($B18="Manual",QCI.CPManual,IF($B18="SemiAuto",ROUND(QCI!$AA$3*QCI.InvManual,2),INDEX(ORÇAMENTO!$AA$15:$AA$21,MATCH($A18,ORÇAMENTO!$E$15:$E$21,0)))))</f>
        <v>0</v>
      </c>
      <c r="AB18" s="0" t="n">
        <f aca="false" t="array" ref="AB18:AB18">IF($B18="Branco",0,IF($B18="Manual",QCI.OutrosManual,IF($B18="SemiAuto",0,INDEX(ORÇAMENTO!$AB$15:$AB$21,MATCH($A18,ORÇAMENTO!$E$15:$E$21,0)))))</f>
        <v>0</v>
      </c>
      <c r="AD18" s="551" t="n">
        <f aca="false">AND($AA$3&gt;0,$AA$3&lt;1,$O18&gt;0,OR($B18="Automático",$B18="SemiAuto"),OR(QCI!$Z$3=QCI!$Z$7,QCI!$Z$3=QCI!$AA$7,QCI!$Z$3=QCI!$AB$7))</f>
        <v>0</v>
      </c>
      <c r="AE18" s="551" t="n">
        <f aca="true">IF(AND($AD18,$O18&gt;0,COUNTIF(OFFSET($AD18,1,0):$AD$24,TRUE())=0),CHOOSE(1+LOG(1+2*(QCI!$Z$3=QCI!$Z$7)+4*(QCI!$Z$3=QCI!$AA$7)+8*(QCI!$Z$3=QCI!$AB$7),2),0,$AA$24-ROUND(Import.CPMinPerc*$O$24,2),$AA$24-Import.CPMinAbsoluta,Import.Repasse-$Z$24),0)</f>
        <v>0</v>
      </c>
    </row>
    <row r="19" customFormat="false" ht="30" hidden="false" customHeight="true" outlineLevel="0" collapsed="false">
      <c r="A19" s="533" t="n">
        <f aca="true">IF(NOT(ISBLANK(QCI.DescManual)),OFFSET(A19,-1,0),D19)</f>
        <v>6</v>
      </c>
      <c r="B19" s="0" t="str">
        <f aca="false">IF(NOT(ISBLANK(QCI.DescManual)),IF(QCI.Divisao="Calculado","Manual","SemiAuto"),IF(ISERROR(MATCH($A19,ORÇAMENTO!$E$15:$E$21,0)),"Branco","Automático"))</f>
        <v>Branco</v>
      </c>
      <c r="C19" s="0" t="str">
        <f aca="false">IF(O19&gt;0,"F","")</f>
        <v/>
      </c>
      <c r="D19" s="534" t="n">
        <f aca="false">ROW()-ROW($D$13)</f>
        <v>6</v>
      </c>
      <c r="E19" s="535"/>
      <c r="F19" s="535"/>
      <c r="G19" s="339" t="str">
        <f aca="false">IF(OR($B19="Manual",$B19="SemiAuto"),QCI.DescManual,IF($B19="Automático",INDEX(ORÇAMENTO!$R$15:$R$21,MATCH($A19,ORÇAMENTO!$E$15:$E$21,0)),""))</f>
        <v/>
      </c>
      <c r="H19" s="535"/>
      <c r="I19" s="536"/>
      <c r="J19" s="537" t="str">
        <f aca="true">IF(AND(ISBLANK(E19),ISBLANK(F19)),"",VLOOKUP($F19,OFFSET(DADOS!$A$2,1,MATCH(QCI!$E19,DADOS!$2:$2,0)-1,100,50),2,FALSE()))</f>
        <v/>
      </c>
      <c r="K19" s="538" t="str">
        <f aca="false" t="array" ref="K19:K19">IF(OR($B19="Manual",$B19="SemiAuto"),QCI.LoteManual,IF($B19="Automático",IF(TIPOORCAMENTO="Licitado",Import.CTEF,"LOTE 1"),""))</f>
        <v/>
      </c>
      <c r="L19" s="539" t="n">
        <f aca="false">ROUND($O19,2)-ROUND($M19,2)-ROUND($N19,2)</f>
        <v>0</v>
      </c>
      <c r="M19" s="540" t="n">
        <f aca="false">ROUND($AA19,2)-ROUND($AE19,2)</f>
        <v>0</v>
      </c>
      <c r="N19" s="541" t="n">
        <f aca="false">ROUND($AB19,2)</f>
        <v>0</v>
      </c>
      <c r="O19" s="542" t="n">
        <f aca="false" t="array" ref="O19:O19">IF($B19="Branco",0,IF(OR($B19="Manual",$B19="SemiAuto"),QCI.InvManual,INDEX(ORÇAMENTO!X$15:X$21,MATCH($A19,ORÇAMENTO!$E$15:$E$21,0))))</f>
        <v>0</v>
      </c>
      <c r="P19" s="543" t="str">
        <f aca="false">IF(O19=0,"",
  IF(E19="","ITEM",
  IF(F19="","SUBITEM",
  IF(H19="","SITUAÇÃO",
  IF(I19=0,"QUANT.","")))))</f>
        <v/>
      </c>
      <c r="R19" s="544"/>
      <c r="S19" s="545" t="str">
        <f aca="false">IF(R19="","",
  IF(T19=0,"► LOTE",
  IF(U19=0,"► INVEST",
  IF(V19=0,"► DIV",
  IF(AND(V19="Calculado",W19=""),"► CP",
  IF(AND(V19="Calculado",X19=""),"► OU",""))))))</f>
        <v/>
      </c>
      <c r="T19" s="546"/>
      <c r="U19" s="547"/>
      <c r="V19" s="548" t="s">
        <v>907</v>
      </c>
      <c r="W19" s="549"/>
      <c r="X19" s="550"/>
      <c r="Z19" s="0" t="n">
        <f aca="false">$O19-$AA19-$AB19</f>
        <v>0</v>
      </c>
      <c r="AA19" s="0" t="n">
        <f aca="false" t="array" ref="AA19:AA19">IF($B19="Branco",0,IF($B19="Manual",QCI.CPManual,IF($B19="SemiAuto",ROUND(QCI!$AA$3*QCI.InvManual,2),INDEX(ORÇAMENTO!$AA$15:$AA$21,MATCH($A19,ORÇAMENTO!$E$15:$E$21,0)))))</f>
        <v>0</v>
      </c>
      <c r="AB19" s="0" t="n">
        <f aca="false" t="array" ref="AB19:AB19">IF($B19="Branco",0,IF($B19="Manual",QCI.OutrosManual,IF($B19="SemiAuto",0,INDEX(ORÇAMENTO!$AB$15:$AB$21,MATCH($A19,ORÇAMENTO!$E$15:$E$21,0)))))</f>
        <v>0</v>
      </c>
      <c r="AD19" s="551" t="n">
        <f aca="false">AND($AA$3&gt;0,$AA$3&lt;1,$O19&gt;0,OR($B19="Automático",$B19="SemiAuto"),OR(QCI!$Z$3=QCI!$Z$7,QCI!$Z$3=QCI!$AA$7,QCI!$Z$3=QCI!$AB$7))</f>
        <v>0</v>
      </c>
      <c r="AE19" s="551" t="n">
        <f aca="true">IF(AND($AD19,$O19&gt;0,COUNTIF(OFFSET($AD19,1,0):$AD$24,TRUE())=0),CHOOSE(1+LOG(1+2*(QCI!$Z$3=QCI!$Z$7)+4*(QCI!$Z$3=QCI!$AA$7)+8*(QCI!$Z$3=QCI!$AB$7),2),0,$AA$24-ROUND(Import.CPMinPerc*$O$24,2),$AA$24-Import.CPMinAbsoluta,Import.Repasse-$Z$24),0)</f>
        <v>0</v>
      </c>
    </row>
    <row r="20" customFormat="false" ht="30" hidden="false" customHeight="true" outlineLevel="0" collapsed="false">
      <c r="A20" s="533" t="n">
        <f aca="true">IF(NOT(ISBLANK(QCI.DescManual)),OFFSET(A20,-1,0),D20)</f>
        <v>7</v>
      </c>
      <c r="B20" s="0" t="str">
        <f aca="false">IF(NOT(ISBLANK(QCI.DescManual)),IF(QCI.Divisao="Calculado","Manual","SemiAuto"),IF(ISERROR(MATCH($A20,ORÇAMENTO!$E$15:$E$21,0)),"Branco","Automático"))</f>
        <v>Branco</v>
      </c>
      <c r="C20" s="0" t="str">
        <f aca="false">IF(O20&gt;0,"F","")</f>
        <v/>
      </c>
      <c r="D20" s="534" t="n">
        <f aca="false">ROW()-ROW($D$13)</f>
        <v>7</v>
      </c>
      <c r="E20" s="535"/>
      <c r="F20" s="535"/>
      <c r="G20" s="339" t="str">
        <f aca="false">IF(OR($B20="Manual",$B20="SemiAuto"),QCI.DescManual,IF($B20="Automático",INDEX(ORÇAMENTO!$R$15:$R$21,MATCH($A20,ORÇAMENTO!$E$15:$E$21,0)),""))</f>
        <v/>
      </c>
      <c r="H20" s="535"/>
      <c r="I20" s="536"/>
      <c r="J20" s="537" t="str">
        <f aca="true">IF(AND(ISBLANK(E20),ISBLANK(F20)),"",VLOOKUP($F20,OFFSET(DADOS!$A$2,1,MATCH(QCI!$E20,DADOS!$2:$2,0)-1,100,50),2,FALSE()))</f>
        <v/>
      </c>
      <c r="K20" s="538" t="str">
        <f aca="false" t="array" ref="K20:K20">IF(OR($B20="Manual",$B20="SemiAuto"),QCI.LoteManual,IF($B20="Automático",IF(TIPOORCAMENTO="Licitado",Import.CTEF,"LOTE 1"),""))</f>
        <v/>
      </c>
      <c r="L20" s="539" t="n">
        <f aca="false">ROUND($O20,2)-ROUND($M20,2)-ROUND($N20,2)</f>
        <v>0</v>
      </c>
      <c r="M20" s="540" t="n">
        <f aca="false">ROUND($AA20,2)-ROUND($AE20,2)</f>
        <v>0</v>
      </c>
      <c r="N20" s="541" t="n">
        <f aca="false">ROUND($AB20,2)</f>
        <v>0</v>
      </c>
      <c r="O20" s="542" t="n">
        <f aca="false" t="array" ref="O20:O20">IF($B20="Branco",0,IF(OR($B20="Manual",$B20="SemiAuto"),QCI.InvManual,INDEX(ORÇAMENTO!X$15:X$21,MATCH($A20,ORÇAMENTO!$E$15:$E$21,0))))</f>
        <v>0</v>
      </c>
      <c r="P20" s="543" t="str">
        <f aca="false">IF(O20=0,"",
  IF(E20="","ITEM",
  IF(F20="","SUBITEM",
  IF(H20="","SITUAÇÃO",
  IF(I20=0,"QUANT.","")))))</f>
        <v/>
      </c>
      <c r="R20" s="544"/>
      <c r="S20" s="545" t="str">
        <f aca="false">IF(R20="","",
  IF(T20=0,"► LOTE",
  IF(U20=0,"► INVEST",
  IF(V20=0,"► DIV",
  IF(AND(V20="Calculado",W20=""),"► CP",
  IF(AND(V20="Calculado",X20=""),"► OU",""))))))</f>
        <v/>
      </c>
      <c r="T20" s="546"/>
      <c r="U20" s="547"/>
      <c r="V20" s="548" t="s">
        <v>907</v>
      </c>
      <c r="W20" s="549"/>
      <c r="X20" s="550"/>
      <c r="Z20" s="0" t="n">
        <f aca="false">$O20-$AA20-$AB20</f>
        <v>0</v>
      </c>
      <c r="AA20" s="0" t="n">
        <f aca="false" t="array" ref="AA20:AA20">IF($B20="Branco",0,IF($B20="Manual",QCI.CPManual,IF($B20="SemiAuto",ROUND(QCI!$AA$3*QCI.InvManual,2),INDEX(ORÇAMENTO!$AA$15:$AA$21,MATCH($A20,ORÇAMENTO!$E$15:$E$21,0)))))</f>
        <v>0</v>
      </c>
      <c r="AB20" s="0" t="n">
        <f aca="false" t="array" ref="AB20:AB20">IF($B20="Branco",0,IF($B20="Manual",QCI.OutrosManual,IF($B20="SemiAuto",0,INDEX(ORÇAMENTO!$AB$15:$AB$21,MATCH($A20,ORÇAMENTO!$E$15:$E$21,0)))))</f>
        <v>0</v>
      </c>
      <c r="AD20" s="551" t="n">
        <f aca="false">AND($AA$3&gt;0,$AA$3&lt;1,$O20&gt;0,OR($B20="Automático",$B20="SemiAuto"),OR(QCI!$Z$3=QCI!$Z$7,QCI!$Z$3=QCI!$AA$7,QCI!$Z$3=QCI!$AB$7))</f>
        <v>0</v>
      </c>
      <c r="AE20" s="551" t="n">
        <f aca="true">IF(AND($AD20,$O20&gt;0,COUNTIF(OFFSET($AD20,1,0):$AD$24,TRUE())=0),CHOOSE(1+LOG(1+2*(QCI!$Z$3=QCI!$Z$7)+4*(QCI!$Z$3=QCI!$AA$7)+8*(QCI!$Z$3=QCI!$AB$7),2),0,$AA$24-ROUND(Import.CPMinPerc*$O$24,2),$AA$24-Import.CPMinAbsoluta,Import.Repasse-$Z$24),0)</f>
        <v>0</v>
      </c>
    </row>
    <row r="21" customFormat="false" ht="30" hidden="false" customHeight="true" outlineLevel="0" collapsed="false">
      <c r="A21" s="533" t="n">
        <f aca="true">IF(NOT(ISBLANK(QCI.DescManual)),OFFSET(A21,-1,0),D21)</f>
        <v>8</v>
      </c>
      <c r="B21" s="0" t="str">
        <f aca="false">IF(NOT(ISBLANK(QCI.DescManual)),IF(QCI.Divisao="Calculado","Manual","SemiAuto"),IF(ISERROR(MATCH($A21,ORÇAMENTO!$E$15:$E$21,0)),"Branco","Automático"))</f>
        <v>Branco</v>
      </c>
      <c r="C21" s="0" t="str">
        <f aca="false">IF(O21&gt;0,"F","")</f>
        <v/>
      </c>
      <c r="D21" s="534" t="n">
        <f aca="false">ROW()-ROW($D$13)</f>
        <v>8</v>
      </c>
      <c r="E21" s="535"/>
      <c r="F21" s="535"/>
      <c r="G21" s="339" t="str">
        <f aca="false">IF(OR($B21="Manual",$B21="SemiAuto"),QCI.DescManual,IF($B21="Automático",INDEX(ORÇAMENTO!$R$15:$R$21,MATCH($A21,ORÇAMENTO!$E$15:$E$21,0)),""))</f>
        <v/>
      </c>
      <c r="H21" s="535"/>
      <c r="I21" s="536"/>
      <c r="J21" s="537" t="str">
        <f aca="true">IF(AND(ISBLANK(E21),ISBLANK(F21)),"",VLOOKUP($F21,OFFSET(DADOS!$A$2,1,MATCH(QCI!$E21,DADOS!$2:$2,0)-1,100,50),2,FALSE()))</f>
        <v/>
      </c>
      <c r="K21" s="538" t="str">
        <f aca="false" t="array" ref="K21:K21">IF(OR($B21="Manual",$B21="SemiAuto"),QCI.LoteManual,IF($B21="Automático",IF(TIPOORCAMENTO="Licitado",Import.CTEF,"LOTE 1"),""))</f>
        <v/>
      </c>
      <c r="L21" s="539" t="n">
        <f aca="false">ROUND($O21,2)-ROUND($M21,2)-ROUND($N21,2)</f>
        <v>0</v>
      </c>
      <c r="M21" s="540" t="n">
        <f aca="false">ROUND($AA21,2)-ROUND($AE21,2)</f>
        <v>0</v>
      </c>
      <c r="N21" s="541" t="n">
        <f aca="false">ROUND($AB21,2)</f>
        <v>0</v>
      </c>
      <c r="O21" s="542" t="n">
        <f aca="false" t="array" ref="O21:O21">IF($B21="Branco",0,IF(OR($B21="Manual",$B21="SemiAuto"),QCI.InvManual,INDEX(ORÇAMENTO!X$15:X$21,MATCH($A21,ORÇAMENTO!$E$15:$E$21,0))))</f>
        <v>0</v>
      </c>
      <c r="P21" s="543" t="str">
        <f aca="false">IF(O21=0,"",
  IF(E21="","ITEM",
  IF(F21="","SUBITEM",
  IF(H21="","SITUAÇÃO",
  IF(I21=0,"QUANT.","")))))</f>
        <v/>
      </c>
      <c r="R21" s="544"/>
      <c r="S21" s="545" t="str">
        <f aca="false">IF(R21="","",
  IF(T21=0,"► LOTE",
  IF(U21=0,"► INVEST",
  IF(V21=0,"► DIV",
  IF(AND(V21="Calculado",W21=""),"► CP",
  IF(AND(V21="Calculado",X21=""),"► OU",""))))))</f>
        <v/>
      </c>
      <c r="T21" s="546"/>
      <c r="U21" s="547"/>
      <c r="V21" s="548" t="s">
        <v>907</v>
      </c>
      <c r="W21" s="549"/>
      <c r="X21" s="550"/>
      <c r="Z21" s="0" t="n">
        <f aca="false">$O21-$AA21-$AB21</f>
        <v>0</v>
      </c>
      <c r="AA21" s="0" t="n">
        <f aca="false" t="array" ref="AA21:AA21">IF($B21="Branco",0,IF($B21="Manual",QCI.CPManual,IF($B21="SemiAuto",ROUND(QCI!$AA$3*QCI.InvManual,2),INDEX(ORÇAMENTO!$AA$15:$AA$21,MATCH($A21,ORÇAMENTO!$E$15:$E$21,0)))))</f>
        <v>0</v>
      </c>
      <c r="AB21" s="0" t="n">
        <f aca="false" t="array" ref="AB21:AB21">IF($B21="Branco",0,IF($B21="Manual",QCI.OutrosManual,IF($B21="SemiAuto",0,INDEX(ORÇAMENTO!$AB$15:$AB$21,MATCH($A21,ORÇAMENTO!$E$15:$E$21,0)))))</f>
        <v>0</v>
      </c>
      <c r="AD21" s="551" t="n">
        <f aca="false">AND($AA$3&gt;0,$AA$3&lt;1,$O21&gt;0,OR($B21="Automático",$B21="SemiAuto"),OR(QCI!$Z$3=QCI!$Z$7,QCI!$Z$3=QCI!$AA$7,QCI!$Z$3=QCI!$AB$7))</f>
        <v>0</v>
      </c>
      <c r="AE21" s="551" t="n">
        <f aca="true">IF(AND($AD21,$O21&gt;0,COUNTIF(OFFSET($AD21,1,0):$AD$24,TRUE())=0),CHOOSE(1+LOG(1+2*(QCI!$Z$3=QCI!$Z$7)+4*(QCI!$Z$3=QCI!$AA$7)+8*(QCI!$Z$3=QCI!$AB$7),2),0,$AA$24-ROUND(Import.CPMinPerc*$O$24,2),$AA$24-Import.CPMinAbsoluta,Import.Repasse-$Z$24),0)</f>
        <v>0</v>
      </c>
    </row>
    <row r="22" customFormat="false" ht="30" hidden="false" customHeight="true" outlineLevel="0" collapsed="false">
      <c r="A22" s="533" t="n">
        <f aca="true">IF(NOT(ISBLANK(QCI.DescManual)),OFFSET(A22,-1,0),D22)</f>
        <v>9</v>
      </c>
      <c r="B22" s="0" t="str">
        <f aca="false">IF(NOT(ISBLANK(QCI.DescManual)),IF(QCI.Divisao="Calculado","Manual","SemiAuto"),IF(ISERROR(MATCH($A22,ORÇAMENTO!$E$15:$E$21,0)),"Branco","Automático"))</f>
        <v>Branco</v>
      </c>
      <c r="C22" s="0" t="str">
        <f aca="false">IF(O22&gt;0,"F","")</f>
        <v/>
      </c>
      <c r="D22" s="534" t="n">
        <f aca="false">ROW()-ROW($D$13)</f>
        <v>9</v>
      </c>
      <c r="E22" s="535"/>
      <c r="F22" s="535"/>
      <c r="G22" s="339" t="str">
        <f aca="false">IF(OR($B22="Manual",$B22="SemiAuto"),QCI.DescManual,IF($B22="Automático",INDEX(ORÇAMENTO!$R$15:$R$21,MATCH($A22,ORÇAMENTO!$E$15:$E$21,0)),""))</f>
        <v/>
      </c>
      <c r="H22" s="535"/>
      <c r="I22" s="536"/>
      <c r="J22" s="537" t="str">
        <f aca="true">IF(AND(ISBLANK(E22),ISBLANK(F22)),"",VLOOKUP($F22,OFFSET(DADOS!$A$2,1,MATCH(QCI!$E22,DADOS!$2:$2,0)-1,100,50),2,FALSE()))</f>
        <v/>
      </c>
      <c r="K22" s="538" t="str">
        <f aca="false" t="array" ref="K22:K22">IF(OR($B22="Manual",$B22="SemiAuto"),QCI.LoteManual,IF($B22="Automático",IF(TIPOORCAMENTO="Licitado",Import.CTEF,"LOTE 1"),""))</f>
        <v/>
      </c>
      <c r="L22" s="539" t="n">
        <f aca="false">ROUND($O22,2)-ROUND($M22,2)-ROUND($N22,2)</f>
        <v>0</v>
      </c>
      <c r="M22" s="540" t="n">
        <f aca="false">ROUND($AA22,2)-ROUND($AE22,2)</f>
        <v>0</v>
      </c>
      <c r="N22" s="541" t="n">
        <f aca="false">ROUND($AB22,2)</f>
        <v>0</v>
      </c>
      <c r="O22" s="542" t="n">
        <f aca="false" t="array" ref="O22:O22">IF($B22="Branco",0,IF(OR($B22="Manual",$B22="SemiAuto"),QCI.InvManual,INDEX(ORÇAMENTO!X$15:X$21,MATCH($A22,ORÇAMENTO!$E$15:$E$21,0))))</f>
        <v>0</v>
      </c>
      <c r="P22" s="543" t="str">
        <f aca="false">IF(O22=0,"",
  IF(E22="","ITEM",
  IF(F22="","SUBITEM",
  IF(H22="","SITUAÇÃO",
  IF(I22=0,"QUANT.","")))))</f>
        <v/>
      </c>
      <c r="R22" s="544"/>
      <c r="S22" s="545" t="str">
        <f aca="false">IF(R22="","",
  IF(T22=0,"► LOTE",
  IF(U22=0,"► INVEST",
  IF(V22=0,"► DIV",
  IF(AND(V22="Calculado",W22=""),"► CP",
  IF(AND(V22="Calculado",X22=""),"► OU",""))))))</f>
        <v/>
      </c>
      <c r="T22" s="546"/>
      <c r="U22" s="547"/>
      <c r="V22" s="548" t="s">
        <v>907</v>
      </c>
      <c r="W22" s="549"/>
      <c r="X22" s="550"/>
      <c r="Z22" s="0" t="n">
        <f aca="false">$O22-$AA22-$AB22</f>
        <v>0</v>
      </c>
      <c r="AA22" s="0" t="n">
        <f aca="false" t="array" ref="AA22:AA22">IF($B22="Branco",0,IF($B22="Manual",QCI.CPManual,IF($B22="SemiAuto",ROUND(QCI!$AA$3*QCI.InvManual,2),INDEX(ORÇAMENTO!$AA$15:$AA$21,MATCH($A22,ORÇAMENTO!$E$15:$E$21,0)))))</f>
        <v>0</v>
      </c>
      <c r="AB22" s="0" t="n">
        <f aca="false" t="array" ref="AB22:AB22">IF($B22="Branco",0,IF($B22="Manual",QCI.OutrosManual,IF($B22="SemiAuto",0,INDEX(ORÇAMENTO!$AB$15:$AB$21,MATCH($A22,ORÇAMENTO!$E$15:$E$21,0)))))</f>
        <v>0</v>
      </c>
      <c r="AD22" s="551" t="n">
        <f aca="false">AND($AA$3&gt;0,$AA$3&lt;1,$O22&gt;0,OR($B22="Automático",$B22="SemiAuto"),OR(QCI!$Z$3=QCI!$Z$7,QCI!$Z$3=QCI!$AA$7,QCI!$Z$3=QCI!$AB$7))</f>
        <v>0</v>
      </c>
      <c r="AE22" s="551" t="n">
        <f aca="true">IF(AND($AD22,$O22&gt;0,COUNTIF(OFFSET($AD22,1,0):$AD$24,TRUE())=0),CHOOSE(1+LOG(1+2*(QCI!$Z$3=QCI!$Z$7)+4*(QCI!$Z$3=QCI!$AA$7)+8*(QCI!$Z$3=QCI!$AB$7),2),0,$AA$24-ROUND(Import.CPMinPerc*$O$24,2),$AA$24-Import.CPMinAbsoluta,Import.Repasse-$Z$24),0)</f>
        <v>0</v>
      </c>
    </row>
    <row r="23" customFormat="false" ht="30" hidden="false" customHeight="true" outlineLevel="0" collapsed="false">
      <c r="A23" s="533" t="n">
        <f aca="true">IF(NOT(ISBLANK(QCI.DescManual)),OFFSET(A23,-1,0),D23)</f>
        <v>10</v>
      </c>
      <c r="B23" s="0" t="str">
        <f aca="false">IF(NOT(ISBLANK(QCI.DescManual)),IF(QCI.Divisao="Calculado","Manual","SemiAuto"),IF(ISERROR(MATCH($A23,ORÇAMENTO!$E$15:$E$21,0)),"Branco","Automático"))</f>
        <v>Branco</v>
      </c>
      <c r="C23" s="0" t="str">
        <f aca="false">IF(O23&gt;0,"F","")</f>
        <v/>
      </c>
      <c r="D23" s="534" t="n">
        <f aca="false">ROW()-ROW($D$13)</f>
        <v>10</v>
      </c>
      <c r="E23" s="535"/>
      <c r="F23" s="535"/>
      <c r="G23" s="339" t="str">
        <f aca="false">IF(OR($B23="Manual",$B23="SemiAuto"),QCI.DescManual,IF($B23="Automático",INDEX(ORÇAMENTO!$R$15:$R$21,MATCH($A23,ORÇAMENTO!$E$15:$E$21,0)),""))</f>
        <v/>
      </c>
      <c r="H23" s="535"/>
      <c r="I23" s="536"/>
      <c r="J23" s="537" t="str">
        <f aca="true">IF(AND(ISBLANK(E23),ISBLANK(F23)),"",VLOOKUP($F23,OFFSET(DADOS!$A$2,1,MATCH(QCI!$E23,DADOS!$2:$2,0)-1,100,50),2,FALSE()))</f>
        <v/>
      </c>
      <c r="K23" s="538" t="str">
        <f aca="false" t="array" ref="K23:K23">IF(OR($B23="Manual",$B23="SemiAuto"),QCI.LoteManual,IF($B23="Automático",IF(TIPOORCAMENTO="Licitado",Import.CTEF,"LOTE 1"),""))</f>
        <v/>
      </c>
      <c r="L23" s="539" t="n">
        <f aca="false">ROUND($O23,2)-ROUND($M23,2)-ROUND($N23,2)</f>
        <v>0</v>
      </c>
      <c r="M23" s="540" t="n">
        <f aca="false">ROUND($AA23,2)-ROUND($AE23,2)</f>
        <v>0</v>
      </c>
      <c r="N23" s="541" t="n">
        <f aca="false">ROUND($AB23,2)</f>
        <v>0</v>
      </c>
      <c r="O23" s="542" t="n">
        <f aca="false" t="array" ref="O23:O23">IF($B23="Branco",0,IF(OR($B23="Manual",$B23="SemiAuto"),QCI.InvManual,INDEX(ORÇAMENTO!X$15:X$21,MATCH($A23,ORÇAMENTO!$E$15:$E$21,0))))</f>
        <v>0</v>
      </c>
      <c r="P23" s="543" t="str">
        <f aca="false">IF(O23=0,"",
  IF(E23="","ITEM",
  IF(F23="","SUBITEM",
  IF(H23="","SITUAÇÃO",
  IF(I23=0,"QUANT.","")))))</f>
        <v/>
      </c>
      <c r="R23" s="544"/>
      <c r="S23" s="545" t="str">
        <f aca="false">IF(R23="","",
  IF(T23=0,"► LOTE",
  IF(U23=0,"► INVEST",
  IF(V23=0,"► DIV",
  IF(AND(V23="Calculado",W23=""),"► CP",
  IF(AND(V23="Calculado",X23=""),"► OU",""))))))</f>
        <v/>
      </c>
      <c r="T23" s="546"/>
      <c r="U23" s="547"/>
      <c r="V23" s="548" t="s">
        <v>907</v>
      </c>
      <c r="W23" s="549"/>
      <c r="X23" s="550"/>
      <c r="Z23" s="0" t="n">
        <f aca="false">$O23-$AA23-$AB23</f>
        <v>0</v>
      </c>
      <c r="AA23" s="0" t="n">
        <f aca="false" t="array" ref="AA23:AA23">IF($B23="Branco",0,IF($B23="Manual",QCI.CPManual,IF($B23="SemiAuto",ROUND(QCI!$AA$3*QCI.InvManual,2),INDEX(ORÇAMENTO!$AA$15:$AA$21,MATCH($A23,ORÇAMENTO!$E$15:$E$21,0)))))</f>
        <v>0</v>
      </c>
      <c r="AB23" s="0" t="n">
        <f aca="false" t="array" ref="AB23:AB23">IF($B23="Branco",0,IF($B23="Manual",QCI.OutrosManual,IF($B23="SemiAuto",0,INDEX(ORÇAMENTO!$AB$15:$AB$21,MATCH($A23,ORÇAMENTO!$E$15:$E$21,0)))))</f>
        <v>0</v>
      </c>
      <c r="AD23" s="551" t="n">
        <f aca="false">AND($AA$3&gt;0,$AA$3&lt;1,$O23&gt;0,OR($B23="Automático",$B23="SemiAuto"),OR(QCI!$Z$3=QCI!$Z$7,QCI!$Z$3=QCI!$AA$7,QCI!$Z$3=QCI!$AB$7))</f>
        <v>0</v>
      </c>
      <c r="AE23" s="551" t="n">
        <f aca="true">IF(AND($AD23,$O23&gt;0,COUNTIF(OFFSET($AD23,1,0):$AD$24,TRUE())=0),CHOOSE(1+LOG(1+2*(QCI!$Z$3=QCI!$Z$7)+4*(QCI!$Z$3=QCI!$AA$7)+8*(QCI!$Z$3=QCI!$AB$7),2),0,$AA$24-ROUND(Import.CPMinPerc*$O$24,2),$AA$24-Import.CPMinAbsoluta,Import.Repasse-$Z$24),0)</f>
        <v>0</v>
      </c>
    </row>
    <row r="24" customFormat="false" ht="14.15" hidden="false" customHeight="false" outlineLevel="0" collapsed="false">
      <c r="B24" s="0" t="s">
        <v>922</v>
      </c>
      <c r="C24" s="0" t="s">
        <v>594</v>
      </c>
      <c r="D24" s="557"/>
      <c r="E24" s="558"/>
      <c r="F24" s="558"/>
      <c r="G24" s="558"/>
      <c r="H24" s="558"/>
      <c r="I24" s="558"/>
      <c r="J24" s="558"/>
      <c r="K24" s="559" t="s">
        <v>923</v>
      </c>
      <c r="L24" s="560" t="n">
        <f aca="true">SUM(L13:OFFSET(L24,-1,0))</f>
        <v>0</v>
      </c>
      <c r="M24" s="561" t="n">
        <f aca="true">SUM(M13:OFFSET(M24,-1,0))</f>
        <v>0</v>
      </c>
      <c r="N24" s="562" t="n">
        <f aca="true">SUM(N13:OFFSET(N24,-1,0))</f>
        <v>0</v>
      </c>
      <c r="O24" s="563" t="n">
        <f aca="true">SUM(O13:OFFSET(O24,-1,0))</f>
        <v>0</v>
      </c>
      <c r="R24" s="564"/>
      <c r="T24" s="565"/>
      <c r="U24" s="566"/>
      <c r="V24" s="567"/>
      <c r="W24" s="568"/>
      <c r="X24" s="569"/>
      <c r="Z24" s="169" t="n">
        <f aca="true">SUMPRODUCT(ROUND(Z13:OFFSET(Z24,-1,0),2))</f>
        <v>0</v>
      </c>
      <c r="AA24" s="169" t="n">
        <f aca="true">SUMPRODUCT(ROUND(AA13:OFFSET(AA24,-1,0),2))</f>
        <v>0</v>
      </c>
      <c r="AB24" s="169" t="n">
        <f aca="true">SUM(AB13:OFFSET(AB24,-1,0))</f>
        <v>0</v>
      </c>
    </row>
    <row r="25" customFormat="false" ht="12.75" hidden="false" customHeight="false" outlineLevel="0" collapsed="false">
      <c r="B25" s="0" t="s">
        <v>924</v>
      </c>
      <c r="C25" s="0" t="s">
        <v>594</v>
      </c>
      <c r="D25" s="570"/>
      <c r="E25" s="571"/>
      <c r="F25" s="571"/>
      <c r="G25" s="571"/>
      <c r="H25" s="571"/>
      <c r="I25" s="571"/>
      <c r="J25" s="571"/>
      <c r="K25" s="559"/>
      <c r="L25" s="572" t="n">
        <f aca="false">IF(ISERROR(L24/$O24),0,ROUND(L24/$O24,4))</f>
        <v>0</v>
      </c>
      <c r="M25" s="573" t="n">
        <f aca="false">IF(ISERROR(M24/$O24),0,ROUND(M24/$O24,4))</f>
        <v>0</v>
      </c>
      <c r="N25" s="574" t="n">
        <f aca="false">IF(ISERROR(N24/$O24),0,ROUND(N24/$O24,4))</f>
        <v>0</v>
      </c>
      <c r="O25" s="575" t="n">
        <f aca="false">IF(ISERROR(O24/$O24),0,ROUND(O24/$O24,4))</f>
        <v>0</v>
      </c>
      <c r="R25" s="576"/>
      <c r="T25" s="577"/>
      <c r="U25" s="578"/>
      <c r="V25" s="579"/>
      <c r="W25" s="580"/>
      <c r="X25" s="581"/>
    </row>
    <row r="27" customFormat="false" ht="13.8" hidden="false" customHeight="false" outlineLevel="0" collapsed="false">
      <c r="D27" s="248" t="s">
        <v>749</v>
      </c>
    </row>
    <row r="28" customFormat="false" ht="12.75" hidden="false" customHeight="true" outlineLevel="0" collapsed="false">
      <c r="D28" s="249"/>
      <c r="E28" s="249"/>
      <c r="F28" s="249"/>
      <c r="G28" s="249"/>
      <c r="H28" s="249"/>
      <c r="I28" s="249"/>
      <c r="J28" s="249"/>
      <c r="K28" s="249"/>
      <c r="L28" s="249"/>
      <c r="M28" s="249"/>
      <c r="N28" s="249"/>
      <c r="O28" s="249"/>
    </row>
    <row r="29" customFormat="false" ht="12.75" hidden="false" customHeight="true" outlineLevel="0" collapsed="false">
      <c r="D29" s="249"/>
      <c r="E29" s="249"/>
      <c r="F29" s="249"/>
      <c r="G29" s="249"/>
      <c r="H29" s="249"/>
      <c r="I29" s="249"/>
      <c r="J29" s="249"/>
      <c r="K29" s="249"/>
      <c r="L29" s="249"/>
      <c r="M29" s="249"/>
      <c r="N29" s="249"/>
      <c r="O29" s="249"/>
    </row>
    <row r="30" customFormat="false" ht="12.75" hidden="false" customHeight="true" outlineLevel="0" collapsed="false">
      <c r="D30" s="249"/>
      <c r="E30" s="249"/>
      <c r="F30" s="249"/>
      <c r="G30" s="249"/>
      <c r="H30" s="249"/>
      <c r="I30" s="249"/>
      <c r="J30" s="249"/>
      <c r="K30" s="249"/>
      <c r="L30" s="249"/>
      <c r="M30" s="249"/>
      <c r="N30" s="249"/>
      <c r="O30" s="249"/>
    </row>
    <row r="33" customFormat="false" ht="13.8" hidden="false" customHeight="false" outlineLevel="0" collapsed="false">
      <c r="D33" s="255" t="n">
        <f aca="false">Import.Município</f>
        <v>0</v>
      </c>
      <c r="E33" s="255"/>
      <c r="F33" s="255"/>
      <c r="I33" s="256"/>
      <c r="J33" s="256"/>
      <c r="K33" s="46"/>
      <c r="L33" s="46"/>
    </row>
    <row r="34" customFormat="false" ht="12.75" hidden="false" customHeight="false" outlineLevel="0" collapsed="false">
      <c r="D34" s="52" t="s">
        <v>753</v>
      </c>
      <c r="I34" s="257" t="s">
        <v>925</v>
      </c>
      <c r="J34" s="257"/>
    </row>
    <row r="35" customFormat="false" ht="12.75" hidden="false" customHeight="false" outlineLevel="0" collapsed="false">
      <c r="I35" s="147" t="str">
        <f aca="false">"Nome:" &amp;  " " &amp; DADOS!C28</f>
        <v>Nome: DARLENE TORRADA PEREIRA</v>
      </c>
    </row>
    <row r="36" customFormat="false" ht="12.75" hidden="false" customHeight="false" outlineLevel="0" collapsed="false">
      <c r="D36" s="258" t="n">
        <f aca="false">DADOS!$C$25</f>
        <v>45991</v>
      </c>
      <c r="E36" s="258"/>
      <c r="F36" s="258"/>
      <c r="I36" s="147" t="str">
        <f aca="false">"Cargo:"  &amp; " " &amp; DADOS!C29</f>
        <v>Cargo: PREFEITA MUNICIPAL</v>
      </c>
    </row>
    <row r="37" customFormat="false" ht="12.75" hidden="false" customHeight="false" outlineLevel="0" collapsed="false">
      <c r="D37" s="259" t="s">
        <v>754</v>
      </c>
      <c r="E37" s="32"/>
      <c r="F37" s="32"/>
      <c r="K37" s="147"/>
      <c r="L37" s="148"/>
    </row>
  </sheetData>
  <sheetProtection algorithmName="SHA-512" hashValue="5ToV8LapGXKZI6ZpCdqpmvMFOo96J+KWTSaf4rt14mYzWT7XRd2sWkPYjIRM6BLaPDHfANJAsk0B5V9/B90CgQ==" saltValue="DLtI9veSKyN/1AdX9sVBiA==" spinCount="100000" sheet="true" objects="true" scenarios="true" autoFilter="false"/>
  <autoFilter ref="C13:C25"/>
  <mergeCells count="20">
    <mergeCell ref="D3:E3"/>
    <mergeCell ref="G3:I3"/>
    <mergeCell ref="J3:L3"/>
    <mergeCell ref="M3:O4"/>
    <mergeCell ref="D4:E4"/>
    <mergeCell ref="G4:I4"/>
    <mergeCell ref="J4:L4"/>
    <mergeCell ref="D6:K6"/>
    <mergeCell ref="C7:C11"/>
    <mergeCell ref="D7:K7"/>
    <mergeCell ref="G9:H10"/>
    <mergeCell ref="K9:K10"/>
    <mergeCell ref="AD9:AE9"/>
    <mergeCell ref="A10:A11"/>
    <mergeCell ref="Z10:AB10"/>
    <mergeCell ref="AD10:AE10"/>
    <mergeCell ref="K24:K25"/>
    <mergeCell ref="D28:O30"/>
    <mergeCell ref="D33:F33"/>
    <mergeCell ref="D36:F36"/>
  </mergeCells>
  <conditionalFormatting sqref="T12:V12 T14:V22 T23:V23">
    <cfRule type="expression" priority="2" aboveAverage="0" equalAverage="0" bottom="0" percent="0" rank="0" text="" dxfId="89">
      <formula>OR($B12="Automático",$B12="Branco")</formula>
    </cfRule>
  </conditionalFormatting>
  <conditionalFormatting sqref="L12 L14:L22 L23">
    <cfRule type="expression" priority="3" aboveAverage="0" equalAverage="0" bottom="0" percent="0" rank="0" text="" dxfId="90">
      <formula>OR(L12&lt;0,AND(L$13="Contrapartida Financeira (R$)",$B12="T%",OR(L12&lt;Import.CPMinPerc,AND(L12&gt;Import.CPMaxPerc,Import.CPMaxPerc&gt;0))),AND(L$13="Contrapartida Financeira (R$)",$B12="TR$",L12&lt;Import.CPMinAbsoluta))</formula>
    </cfRule>
  </conditionalFormatting>
  <conditionalFormatting sqref="W12:X12 W14:X22 W23:X23">
    <cfRule type="expression" priority="4" aboveAverage="0" equalAverage="0" bottom="0" percent="0" rank="0" text="" dxfId="91">
      <formula>OR($B12="Automático",$B12="Branco",$V12&lt;&gt;"Calculado")</formula>
    </cfRule>
  </conditionalFormatting>
  <conditionalFormatting sqref="M25">
    <cfRule type="expression" priority="5" aboveAverage="0" equalAverage="0" bottom="0" percent="0" rank="0" text="" dxfId="92">
      <formula>AND($G$9&lt;&gt;"",OR($M$25&lt;Import.CPMinPerc,$M$25&gt;Import.CPMaxPerc))</formula>
    </cfRule>
  </conditionalFormatting>
  <conditionalFormatting sqref="M24">
    <cfRule type="expression" priority="6" aboveAverage="0" equalAverage="0" bottom="0" percent="0" rank="0" text="" dxfId="93">
      <formula>AND($G$9&lt;&gt;"",$M$24&lt;Import.CPMinAbsoluta)</formula>
    </cfRule>
  </conditionalFormatting>
  <conditionalFormatting sqref="L10:M10">
    <cfRule type="cellIs" priority="7" operator="lessThan" aboveAverage="0" equalAverage="0" bottom="0" percent="0" rank="0" text="" dxfId="94">
      <formula>0</formula>
    </cfRule>
  </conditionalFormatting>
  <conditionalFormatting sqref="G12 G14:G22 G23">
    <cfRule type="cellIs" priority="8" operator="equal" aboveAverage="0" equalAverage="0" bottom="0" percent="0" rank="0" text="" dxfId="95">
      <formula>"(digite a descrição aqui)"</formula>
    </cfRule>
  </conditionalFormatting>
  <dataValidations count="9">
    <dataValidation allowBlank="true" error="Digite apenas números decimais maiores do que 0." errorStyle="stop" operator="greaterThan" showDropDown="false" showErrorMessage="true" showInputMessage="false" sqref="U12 U14:U23" type="decimal">
      <formula1>0</formula1>
      <formula2>0</formula2>
    </dataValidation>
    <dataValidation allowBlank="true" error="Digite valores maiores do que 0." errorStyle="stop" errorTitle="Erro" operator="greaterThan" showDropDown="false" showErrorMessage="true" showInputMessage="false" sqref="I12 I14:I23" type="decimal">
      <formula1>0</formula1>
      <formula2>0</formula2>
    </dataValidation>
    <dataValidation allowBlank="true" error="Digite somente valor de 0,00 ao valor do Investimento. A Somatória dos valores não deve ultrapassar o valor de Investimento." errorStyle="stop" errorTitle="Erro de valor" operator="between" prompt="Digite o valor de Contrapartida Financeira para esta Meta." promptTitle="Contrapartida Financeira:" showDropDown="false" showErrorMessage="true" showInputMessage="true" sqref="W12 W14:W23" type="decimal">
      <formula1>0</formula1>
      <formula2>QCI.MaxCPManual</formula2>
    </dataValidation>
    <dataValidation allowBlank="true" error="Digite somente valor de 0,00 ao valor do Investimento. A Somatória dos valores não deve ultrapassar o valor de Investimento." errorStyle="stop" errorTitle="Erro de valor" operator="between" prompt="Digite o valor de Contrapartida Física / Outros para esta Meta." promptTitle="Contrapartida Física / Outros:" showDropDown="false" showErrorMessage="true" showInputMessage="true" sqref="X12 X14:X23" type="decimal">
      <formula1>0</formula1>
      <formula2>QCI.MaxOUManual</formula2>
    </dataValidation>
    <dataValidation allowBlank="true" errorStyle="stop" operator="between" prompt="Preencha somente se a meta não fizer parte do Orçamento desta Plan. Mult." showDropDown="false" showErrorMessage="true" showInputMessage="true" sqref="R12 R14:R23" type="none">
      <formula1>0</formula1>
      <formula2>0</formula2>
    </dataValidation>
    <dataValidation allowBlank="true" error="Selecione uma opção da lista." errorStyle="stop" errorTitle="Erro:" operator="between" prompt="Selecione uma opção da lista." showDropDown="false" showErrorMessage="true" showInputMessage="true" sqref="H12 H14:H23" type="list">
      <formula1>QCI.Lista.Situação</formula1>
      <formula2>0</formula2>
    </dataValidation>
    <dataValidation allowBlank="true" error="Selecione uma opção da lista." errorStyle="stop" errorTitle="Erro:" operator="between" prompt="Selecione uma opção da lista." showDropDown="false" showErrorMessage="true" showInputMessage="true" sqref="F12 F14:F23" type="list">
      <formula1>QCI.SubItemInvestimento</formula1>
      <formula2>0</formula2>
    </dataValidation>
    <dataValidation allowBlank="true" error="Selecione uma opção da lista." errorStyle="stop" errorTitle="Erro:" operator="between" prompt="Selecione uma opção da lista." showDropDown="false" showErrorMessage="true" showInputMessage="true" sqref="E12 E14:E23" type="list">
      <formula1>QCI.ItemInvestimento</formula1>
      <formula2>0</formula2>
    </dataValidation>
    <dataValidation allowBlank="true" error="Selecione uma opção da lista." errorStyle="stop" errorTitle="Erro:" operator="between" prompt="Selecione uma opção da lista." showDropDown="false" showErrorMessage="true" showInputMessage="true" sqref="V12 V14:V23" type="list">
      <formula1>QCI.Lista.DivisãoInvest</formula1>
      <formula2>0</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100" fitToWidth="1" fitToHeight="0" pageOrder="downThenOver" orientation="landscape" blackAndWhite="false" draft="false" cellComments="none" horizontalDpi="300" verticalDpi="300" copies="1"/>
  <headerFooter differentFirst="false" differentOddEven="false">
    <oddHeader>&amp;L_&amp;C&amp;14I</oddHeader>
    <oddFooter>&amp;LPMv3.16&amp;R&amp;P / &amp;N</oddFooter>
  </headerFooter>
  <colBreaks count="1" manualBreakCount="1">
    <brk id="15" man="true" max="65535" min="0"/>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G5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4" ySplit="13" topLeftCell="E14" activePane="bottomRight" state="frozen"/>
      <selection pane="topLeft" activeCell="A1" activeCellId="0" sqref="A1"/>
      <selection pane="topRight" activeCell="E1" activeCellId="0" sqref="E1"/>
      <selection pane="bottomLeft" activeCell="A14" activeCellId="0" sqref="A14"/>
      <selection pane="bottomRight" activeCell="A1" activeCellId="0" sqref="A1"/>
    </sheetView>
  </sheetViews>
  <sheetFormatPr defaultColWidth="8.6796875" defaultRowHeight="12.75" customHeight="false" zeroHeight="false" outlineLevelRow="0" outlineLevelCol="0"/>
  <cols>
    <col collapsed="false" customWidth="true" hidden="false" outlineLevel="0" max="1" min="1" style="0" width="3.57"/>
    <col collapsed="false" customWidth="true" hidden="false" outlineLevel="0" max="2" min="2" style="0" width="8.15"/>
    <col collapsed="false" customWidth="true" hidden="false" outlineLevel="0" max="3" min="3" style="0" width="17"/>
    <col collapsed="false" customWidth="true" hidden="false" outlineLevel="0" max="4" min="4" style="0" width="19.86"/>
    <col collapsed="false" customWidth="true" hidden="false" outlineLevel="0" max="5" min="5" style="0" width="0.86"/>
    <col collapsed="false" customWidth="true" hidden="true" outlineLevel="0" max="6" min="6" style="0" width="5.57"/>
    <col collapsed="false" customWidth="true" hidden="true" outlineLevel="0" max="7" min="7" style="0" width="9.14"/>
    <col collapsed="false" customWidth="true" hidden="false" outlineLevel="0" max="32" min="8" style="0" width="5.57"/>
    <col collapsed="false" customWidth="true" hidden="true" outlineLevel="0" max="33" min="33" style="0" width="8.57"/>
    <col collapsed="false" customWidth="true" hidden="false" outlineLevel="0" max="34" min="34" style="0" width="8.57"/>
  </cols>
  <sheetData>
    <row r="1" customFormat="false" ht="19.5" hidden="true" customHeight="true" outlineLevel="0" collapsed="false">
      <c r="A1" s="48" t="e">
        <f aca="false">IF(C1=0,"","F")</f>
        <v>#VALUE!</v>
      </c>
      <c r="B1" s="372" t="e">
        <f aca="true">OFFSET(B1,-1,0)+1</f>
        <v>#VALUE!</v>
      </c>
      <c r="C1" s="373" t="e">
        <f aca="true">IF(AUTOEVENTO="Manual",OFFSET(EVENTOS!$D$15,$B1-$B$15,0),IF(B1&lt;=MAX(CÁLCULO!$M$15:$M$21),VLOOKUP($B1,CÁLCULO!$M$15:$N$21,2,FALSE()),0))</f>
        <v>#VALUE!</v>
      </c>
      <c r="D1" s="373"/>
      <c r="F1" s="375"/>
      <c r="H1" s="375"/>
      <c r="I1" s="375"/>
      <c r="J1" s="375"/>
      <c r="K1" s="375"/>
      <c r="L1" s="375"/>
      <c r="M1" s="375"/>
      <c r="N1" s="375"/>
      <c r="O1" s="375"/>
      <c r="P1" s="375"/>
      <c r="Q1" s="375"/>
      <c r="R1" s="375"/>
      <c r="S1" s="375"/>
      <c r="T1" s="375"/>
      <c r="U1" s="375"/>
      <c r="V1" s="375"/>
      <c r="W1" s="375"/>
      <c r="X1" s="375"/>
      <c r="Y1" s="375"/>
      <c r="Z1" s="375"/>
      <c r="AA1" s="375"/>
      <c r="AB1" s="375"/>
      <c r="AC1" s="375"/>
      <c r="AD1" s="375"/>
      <c r="AE1" s="375"/>
      <c r="AF1" s="375"/>
    </row>
    <row r="2" customFormat="false" ht="16.5" hidden="true" customHeight="true" outlineLevel="0" collapsed="false">
      <c r="A2" s="48"/>
      <c r="B2" s="48"/>
      <c r="C2" s="63"/>
      <c r="D2" s="63"/>
      <c r="F2" s="582"/>
    </row>
    <row r="3" customFormat="false" ht="15" hidden="false" customHeight="false" outlineLevel="0" collapsed="false">
      <c r="H3" s="442" t="s">
        <v>926</v>
      </c>
      <c r="AD3" s="97" t="s">
        <v>702</v>
      </c>
      <c r="AE3" s="97"/>
      <c r="AF3" s="97"/>
    </row>
    <row r="4" customFormat="false" ht="15" hidden="false" customHeight="false" outlineLevel="0" collapsed="false">
      <c r="B4" s="155"/>
      <c r="C4" s="155"/>
      <c r="H4" s="157" t="str">
        <f aca="false">import.recurso</f>
        <v>(SELECIONAR)</v>
      </c>
      <c r="AD4" s="58" t="s">
        <v>705</v>
      </c>
      <c r="AE4" s="58"/>
      <c r="AF4" s="58"/>
    </row>
    <row r="6" customFormat="false" ht="12.75" hidden="false" customHeight="false" outlineLevel="0" collapsed="false">
      <c r="B6" s="266" t="s">
        <v>708</v>
      </c>
      <c r="C6" s="583"/>
      <c r="D6" s="446" t="s">
        <v>772</v>
      </c>
      <c r="E6" s="8"/>
      <c r="H6" s="447" t="s">
        <v>873</v>
      </c>
      <c r="I6" s="380"/>
      <c r="J6" s="380"/>
      <c r="K6" s="380"/>
      <c r="L6" s="418"/>
      <c r="M6" s="418"/>
      <c r="N6" s="584"/>
      <c r="O6" s="266" t="s">
        <v>832</v>
      </c>
      <c r="P6" s="379"/>
      <c r="R6" s="380"/>
      <c r="S6" s="380"/>
      <c r="T6" s="380"/>
      <c r="U6" s="445"/>
      <c r="V6" s="266" t="str">
        <f aca="false" t="array" ref="V6:V6">IF(TIPOORCAMENTO="Licitado","NOME DA EMPRESA","DESCRIÇÃO DO LOTE")</f>
        <v>DESCRIÇÃO DO LOTE</v>
      </c>
      <c r="W6" s="380"/>
      <c r="X6" s="380"/>
      <c r="Y6" s="380"/>
      <c r="AD6" s="8"/>
      <c r="AE6" s="448" t="str">
        <f aca="false" t="array" ref="AE6:AE6">IF(TIPOORCAMENTO="Licitado","Nº CTEF","")</f>
        <v/>
      </c>
      <c r="AF6" s="448"/>
    </row>
    <row r="7" customFormat="false" ht="12.75" hidden="false" customHeight="false" outlineLevel="0" collapsed="false">
      <c r="B7" s="271" t="n">
        <f aca="false">Import.CR</f>
        <v>0</v>
      </c>
      <c r="C7" s="271"/>
      <c r="D7" s="449" t="n">
        <f aca="false">Import.TransfereGOV</f>
        <v>0</v>
      </c>
      <c r="E7" s="2"/>
      <c r="H7" s="450" t="n">
        <f aca="false">Import.Proponente</f>
        <v>0</v>
      </c>
      <c r="I7" s="450"/>
      <c r="J7" s="450"/>
      <c r="K7" s="450"/>
      <c r="L7" s="450"/>
      <c r="M7" s="450"/>
      <c r="N7" s="450"/>
      <c r="O7" s="271" t="str">
        <f aca="false">Import.Apelido</f>
        <v>REVITALIZAÇÃO DIVERSAS RUAS</v>
      </c>
      <c r="P7" s="271"/>
      <c r="Q7" s="271"/>
      <c r="R7" s="271"/>
      <c r="S7" s="271"/>
      <c r="T7" s="271"/>
      <c r="U7" s="271"/>
      <c r="V7" s="271" t="str">
        <f aca="false" t="array" ref="V7:V7">IF(TIPOORCAMENTO="Licitado",Import.empresa,Import.DescLote)</f>
        <v>REVITALIZAÇÃO DIVERSAS RUAS</v>
      </c>
      <c r="W7" s="271"/>
      <c r="X7" s="271"/>
      <c r="Y7" s="271"/>
      <c r="Z7" s="271"/>
      <c r="AA7" s="271"/>
      <c r="AB7" s="271"/>
      <c r="AC7" s="271"/>
      <c r="AD7" s="271"/>
      <c r="AE7" s="439" t="str">
        <f aca="false" t="array" ref="AE7:AE7">IF(TIPOORCAMENTO="Licitado",Import.CTEF,"")</f>
        <v/>
      </c>
      <c r="AF7" s="439"/>
      <c r="AG7" s="35"/>
    </row>
    <row r="9" customFormat="false" ht="15" hidden="false" customHeight="false" outlineLevel="0" collapsed="false">
      <c r="A9" s="344" t="n">
        <v>0</v>
      </c>
      <c r="B9" s="585"/>
      <c r="C9" s="585"/>
      <c r="I9" s="586" t="s">
        <v>927</v>
      </c>
      <c r="J9" s="587" t="n">
        <v>1</v>
      </c>
      <c r="K9" s="587"/>
      <c r="M9" s="586" t="s">
        <v>884</v>
      </c>
      <c r="N9" s="588" t="str">
        <f aca="true">TEXT(IF(PLE.Medicao=1,Import.DataInicioObra,OFFSET($H$36,0,1+(PLE.Medicao-$I$37)*2-2)+1),"dd/mm/aaaa")&amp;" a "&amp;TEXT(OFFSET($H$36,0,1+(PLE.Medicao-$I$37)*2),"dd/mm/aaaa")</f>
        <v>30/12/1899 a 30/12/1899</v>
      </c>
      <c r="O9" s="588"/>
      <c r="P9" s="588"/>
      <c r="Q9" s="588"/>
      <c r="R9" s="588"/>
      <c r="S9" s="588"/>
      <c r="T9" s="588"/>
      <c r="U9" s="589"/>
      <c r="X9" s="586" t="s">
        <v>928</v>
      </c>
      <c r="Y9" s="590" t="e">
        <f aca="true">OFFSET($I$37,1+8*(ROUNDUP(($J$9-0)/((COLUMN($AG$14)-COLUMN($G$14)-1)/25*12),0)-1),ROUNDDOWN((($J$9-0)-OFFSET($I$37,8*(ROUNDUP(($J$9-0)/((COLUMN($AG$14)-COLUMN($G$14)-1)/25*12),0)-1),0))*(2+1/12),0))</f>
        <v>#DIV/0!</v>
      </c>
      <c r="Z9" s="590"/>
      <c r="AD9" s="586" t="s">
        <v>929</v>
      </c>
      <c r="AE9" s="590" t="e">
        <f aca="true">OFFSET($I$37,3+8*(ROUNDUP(($J$9-0)/((COLUMN($AG$14)-COLUMN($G$14)-1)/25*12),0)-1),ROUNDDOWN((($J$9-0)-OFFSET($I$37,8*(ROUNDUP(($J$9-0)/((COLUMN($AG$14)-COLUMN($G$14)-1)/25*12),0)-1),0))*(2+1/12),0))</f>
        <v>#DIV/0!</v>
      </c>
      <c r="AF9" s="590"/>
    </row>
    <row r="11" customFormat="false" ht="65.25" hidden="false" customHeight="true" outlineLevel="0" collapsed="false">
      <c r="A11" s="591" t="s">
        <v>930</v>
      </c>
      <c r="C11" s="592" t="str">
        <f aca="false" t="array" ref="C11:C11">IF(TIPOORCAMENTO="proposto","ALTERE O TIPO DE ORÇAMENTO NA ABA 'MENU' PARA LICITADO.",
 IF(ACOMPANHAMENTO="BM","FOI SELECIONADO NA ABA 'MENU' O ACOMPANHAMENTO POR BM.",
 IF(AND(PLE.Medicao=1,DADOS!$C$47=0),"PREENCHER A DATA DE INÍCIO DA OBRA, NA ABA DADOS",
 IF($Y$9=0,"PREENCHER A MEDIÇÃO "&amp;PLE.Medicao,
 IF($H$36&lt;&gt;"",UPPER($H$36),
 IF($S$45&lt;&gt;"",UPPER($S$45),""))))))</f>
        <v>ALTERE O TIPO DE ORÇAMENTO NA ABA 'MENU' PARA LICITADO.</v>
      </c>
      <c r="D11" s="592"/>
      <c r="F11" s="384" t="str">
        <f aca="true" t="array" ref="F11:F11">IF(F$12&gt;CÁLCULO.NúmeroDeFrentes,"",OFFSET(CÁLCULO!$P$12,0,F$12))</f>
        <v>FRENTE 1 </v>
      </c>
      <c r="H11" s="384" t="str">
        <f aca="true" t="array" ref="H11:H11">IF(H$12&gt;CÁLCULO.NúmeroDeFrentes,"",OFFSET(CÁLCULO!$P$12,0,H$12))</f>
        <v>FRENTE 1 </v>
      </c>
      <c r="I11" s="384" t="str">
        <f aca="true" t="array" ref="I11:I11">IF(I$12&gt;CÁLCULO.NúmeroDeFrentes,"",OFFSET(CÁLCULO!$P$12,0,I$12))</f>
        <v>FRENTE 2</v>
      </c>
      <c r="J11" s="384" t="str">
        <f aca="true" t="array" ref="J11:J11">IF(J$12&gt;CÁLCULO.NúmeroDeFrentes,"",OFFSET(CÁLCULO!$P$12,0,J$12))</f>
        <v>FRENTE 3</v>
      </c>
      <c r="K11" s="384" t="str">
        <f aca="true" t="array" ref="K11:K11">IF(K$12&gt;CÁLCULO.NúmeroDeFrentes,"",OFFSET(CÁLCULO!$P$12,0,K$12))</f>
        <v>FRENTE 4</v>
      </c>
      <c r="L11" s="384" t="str">
        <f aca="true" t="array" ref="L11:L11">IF(L$12&gt;CÁLCULO.NúmeroDeFrentes,"",OFFSET(CÁLCULO!$P$12,0,L$12))</f>
        <v>FRENTE 5</v>
      </c>
      <c r="M11" s="384" t="str">
        <f aca="true" t="array" ref="M11:M11">IF(M$12&gt;CÁLCULO.NúmeroDeFrentes,"",OFFSET(CÁLCULO!$P$12,0,M$12))</f>
        <v>FRENTE 6 </v>
      </c>
      <c r="N11" s="384" t="n">
        <f aca="true">IF(N$12&gt;CÁLCULO.NúmeroDeFrentes,"",OFFSET(CÁLCULO!$P$12,0,N$12))</f>
        <v>0</v>
      </c>
      <c r="O11" s="384" t="n">
        <f aca="true">IF(O$12&gt;CÁLCULO.NúmeroDeFrentes,"",OFFSET(CÁLCULO!$P$12,0,O$12))</f>
        <v>0</v>
      </c>
      <c r="P11" s="384" t="n">
        <f aca="true">IF(P$12&gt;CÁLCULO.NúmeroDeFrentes,"",OFFSET(CÁLCULO!$P$12,0,P$12))</f>
        <v>0</v>
      </c>
      <c r="Q11" s="384" t="n">
        <f aca="true">IF(Q$12&gt;CÁLCULO.NúmeroDeFrentes,"",OFFSET(CÁLCULO!$P$12,0,Q$12))</f>
        <v>0</v>
      </c>
      <c r="R11" s="384" t="str">
        <f aca="true" t="array" ref="R11:R11">IF(R$12&gt;CÁLCULO.NúmeroDeFrentes,"",OFFSET(CÁLCULO!$P$12,0,R$12))</f>
        <v/>
      </c>
      <c r="S11" s="384" t="str">
        <f aca="true" t="array" ref="S11:S11">IF(S$12&gt;CÁLCULO.NúmeroDeFrentes,"",OFFSET(CÁLCULO!$P$12,0,S$12))</f>
        <v/>
      </c>
      <c r="T11" s="384" t="str">
        <f aca="true" t="array" ref="T11:T11">IF(T$12&gt;CÁLCULO.NúmeroDeFrentes,"",OFFSET(CÁLCULO!$P$12,0,T$12))</f>
        <v/>
      </c>
      <c r="U11" s="384" t="str">
        <f aca="true" t="array" ref="U11:U11">IF(U$12&gt;CÁLCULO.NúmeroDeFrentes,"",OFFSET(CÁLCULO!$P$12,0,U$12))</f>
        <v/>
      </c>
      <c r="V11" s="384" t="str">
        <f aca="true" t="array" ref="V11:V11">IF(V$12&gt;CÁLCULO.NúmeroDeFrentes,"",OFFSET(CÁLCULO!$P$12,0,V$12))</f>
        <v/>
      </c>
      <c r="W11" s="384" t="str">
        <f aca="true" t="array" ref="W11:W11">IF(W$12&gt;CÁLCULO.NúmeroDeFrentes,"",OFFSET(CÁLCULO!$P$12,0,W$12))</f>
        <v/>
      </c>
      <c r="X11" s="384" t="str">
        <f aca="true" t="array" ref="X11:X11">IF(X$12&gt;CÁLCULO.NúmeroDeFrentes,"",OFFSET(CÁLCULO!$P$12,0,X$12))</f>
        <v/>
      </c>
      <c r="Y11" s="384" t="str">
        <f aca="true" t="array" ref="Y11:Y11">IF(Y$12&gt;CÁLCULO.NúmeroDeFrentes,"",OFFSET(CÁLCULO!$P$12,0,Y$12))</f>
        <v/>
      </c>
      <c r="Z11" s="384" t="str">
        <f aca="true" t="array" ref="Z11:Z11">IF(Z$12&gt;CÁLCULO.NúmeroDeFrentes,"",OFFSET(CÁLCULO!$P$12,0,Z$12))</f>
        <v/>
      </c>
      <c r="AA11" s="384" t="str">
        <f aca="true" t="array" ref="AA11:AA11">IF(AA$12&gt;CÁLCULO.NúmeroDeFrentes,"",OFFSET(CÁLCULO!$P$12,0,AA$12))</f>
        <v/>
      </c>
      <c r="AB11" s="384" t="str">
        <f aca="true" t="array" ref="AB11:AB11">IF(AB$12&gt;CÁLCULO.NúmeroDeFrentes,"",OFFSET(CÁLCULO!$P$12,0,AB$12))</f>
        <v/>
      </c>
      <c r="AC11" s="384" t="str">
        <f aca="true" t="array" ref="AC11:AC11">IF(AC$12&gt;CÁLCULO.NúmeroDeFrentes,"",OFFSET(CÁLCULO!$P$12,0,AC$12))</f>
        <v/>
      </c>
      <c r="AD11" s="384" t="str">
        <f aca="true" t="array" ref="AD11:AD11">IF(AD$12&gt;CÁLCULO.NúmeroDeFrentes,"",OFFSET(CÁLCULO!$P$12,0,AD$12))</f>
        <v/>
      </c>
      <c r="AE11" s="384" t="str">
        <f aca="true" t="array" ref="AE11:AE11">IF(AE$12&gt;CÁLCULO.NúmeroDeFrentes,"",OFFSET(CÁLCULO!$P$12,0,AE$12))</f>
        <v/>
      </c>
      <c r="AF11" s="384" t="str">
        <f aca="true" t="array" ref="AF11:AF11">IF(AF$12&gt;CÁLCULO.NúmeroDeFrentes,"",OFFSET(CÁLCULO!$P$12,0,AF$12))</f>
        <v/>
      </c>
    </row>
    <row r="12" customFormat="false" ht="12.75" hidden="false" customHeight="true" outlineLevel="0" collapsed="false">
      <c r="A12" s="109" t="s">
        <v>718</v>
      </c>
      <c r="B12" s="385" t="s">
        <v>838</v>
      </c>
      <c r="C12" s="385" t="s">
        <v>863</v>
      </c>
      <c r="D12" s="385"/>
      <c r="F12" s="386" t="n">
        <f aca="true">OFFSET(F12,0,-1)+1</f>
        <v>1</v>
      </c>
      <c r="H12" s="386" t="n">
        <f aca="true">OFFSET(H12,0,-1)+1</f>
        <v>1</v>
      </c>
      <c r="I12" s="386" t="n">
        <f aca="true">OFFSET(I12,0,-1)+1</f>
        <v>2</v>
      </c>
      <c r="J12" s="386" t="n">
        <f aca="true">OFFSET(J12,0,-1)+1</f>
        <v>3</v>
      </c>
      <c r="K12" s="386" t="n">
        <f aca="true">OFFSET(K12,0,-1)+1</f>
        <v>4</v>
      </c>
      <c r="L12" s="386" t="n">
        <f aca="true">OFFSET(L12,0,-1)+1</f>
        <v>5</v>
      </c>
      <c r="M12" s="386" t="n">
        <f aca="true">OFFSET(M12,0,-1)+1</f>
        <v>6</v>
      </c>
      <c r="N12" s="386" t="n">
        <f aca="true">OFFSET(N12,0,-1)+1</f>
        <v>7</v>
      </c>
      <c r="O12" s="386" t="n">
        <f aca="true">OFFSET(O12,0,-1)+1</f>
        <v>8</v>
      </c>
      <c r="P12" s="386" t="n">
        <f aca="true">OFFSET(P12,0,-1)+1</f>
        <v>9</v>
      </c>
      <c r="Q12" s="386" t="n">
        <f aca="true">OFFSET(Q12,0,-1)+1</f>
        <v>10</v>
      </c>
      <c r="R12" s="386" t="n">
        <f aca="true">OFFSET(R12,0,-1)+1</f>
        <v>11</v>
      </c>
      <c r="S12" s="386" t="n">
        <f aca="true">OFFSET(S12,0,-1)+1</f>
        <v>12</v>
      </c>
      <c r="T12" s="386" t="n">
        <f aca="true">OFFSET(T12,0,-1)+1</f>
        <v>13</v>
      </c>
      <c r="U12" s="386" t="n">
        <f aca="true">OFFSET(U12,0,-1)+1</f>
        <v>14</v>
      </c>
      <c r="V12" s="386" t="n">
        <f aca="true">OFFSET(V12,0,-1)+1</f>
        <v>15</v>
      </c>
      <c r="W12" s="386" t="n">
        <f aca="true">OFFSET(W12,0,-1)+1</f>
        <v>16</v>
      </c>
      <c r="X12" s="386" t="n">
        <f aca="true">OFFSET(X12,0,-1)+1</f>
        <v>17</v>
      </c>
      <c r="Y12" s="386" t="n">
        <f aca="true">OFFSET(Y12,0,-1)+1</f>
        <v>18</v>
      </c>
      <c r="Z12" s="386" t="n">
        <f aca="true">OFFSET(Z12,0,-1)+1</f>
        <v>19</v>
      </c>
      <c r="AA12" s="386" t="n">
        <f aca="true">OFFSET(AA12,0,-1)+1</f>
        <v>20</v>
      </c>
      <c r="AB12" s="386" t="n">
        <f aca="true">OFFSET(AB12,0,-1)+1</f>
        <v>21</v>
      </c>
      <c r="AC12" s="386" t="n">
        <f aca="true">OFFSET(AC12,0,-1)+1</f>
        <v>22</v>
      </c>
      <c r="AD12" s="386" t="n">
        <f aca="true">OFFSET(AD12,0,-1)+1</f>
        <v>23</v>
      </c>
      <c r="AE12" s="386" t="n">
        <f aca="true">OFFSET(AE12,0,-1)+1</f>
        <v>24</v>
      </c>
      <c r="AF12" s="386" t="n">
        <f aca="true">OFFSET(AF12,0,-1)+1</f>
        <v>25</v>
      </c>
    </row>
    <row r="13" customFormat="false" ht="12.75" hidden="false" customHeight="false" outlineLevel="0" collapsed="false">
      <c r="A13" s="387"/>
      <c r="B13" s="385"/>
      <c r="C13" s="385"/>
      <c r="D13" s="385"/>
      <c r="F13" s="389"/>
      <c r="H13" s="389"/>
      <c r="I13" s="388"/>
      <c r="J13" s="388"/>
      <c r="K13" s="388"/>
      <c r="L13" s="388"/>
      <c r="M13" s="388"/>
      <c r="N13" s="388" t="s">
        <v>931</v>
      </c>
      <c r="O13" s="388"/>
      <c r="P13" s="388"/>
      <c r="Q13" s="388"/>
      <c r="R13" s="388"/>
      <c r="S13" s="388"/>
      <c r="T13" s="388"/>
      <c r="U13" s="388"/>
      <c r="V13" s="388"/>
      <c r="W13" s="388"/>
      <c r="X13" s="388"/>
      <c r="Y13" s="388"/>
      <c r="Z13" s="388"/>
      <c r="AA13" s="388"/>
      <c r="AB13" s="388"/>
      <c r="AC13" s="388"/>
      <c r="AD13" s="388"/>
      <c r="AE13" s="388"/>
      <c r="AF13" s="391"/>
    </row>
    <row r="14" customFormat="false" ht="3.75" hidden="false" customHeight="true" outlineLevel="0" collapsed="false">
      <c r="A14" s="48" t="s">
        <v>594</v>
      </c>
    </row>
    <row r="15" customFormat="false" ht="12.75" hidden="false" customHeight="false" outlineLevel="0" collapsed="false">
      <c r="A15" s="48" t="str">
        <f aca="false">IF(B15=0,"","F")</f>
        <v/>
      </c>
      <c r="B15" s="392" t="n">
        <f aca="false">EVENTOS!$C$15</f>
        <v>0</v>
      </c>
      <c r="C15" s="393" t="str">
        <f aca="false">EVENTOS!$D$15</f>
        <v/>
      </c>
      <c r="D15" s="393"/>
      <c r="F15" s="395"/>
      <c r="H15" s="395" t="str">
        <f aca="false">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394"/>
      <c r="J15" s="394"/>
      <c r="K15" s="394"/>
      <c r="L15" s="394"/>
      <c r="M15" s="394"/>
      <c r="N15" s="394"/>
      <c r="O15" s="394"/>
      <c r="P15" s="394"/>
      <c r="Q15" s="394"/>
      <c r="R15" s="394"/>
      <c r="S15" s="394"/>
      <c r="T15" s="394"/>
      <c r="U15" s="394"/>
      <c r="V15" s="394"/>
      <c r="W15" s="394"/>
      <c r="X15" s="394"/>
      <c r="Y15" s="394"/>
      <c r="Z15" s="394"/>
      <c r="AA15" s="394"/>
      <c r="AB15" s="394"/>
      <c r="AC15" s="394"/>
      <c r="AD15" s="394"/>
      <c r="AE15" s="394"/>
      <c r="AF15" s="396"/>
    </row>
    <row r="16" customFormat="false" ht="19.5" hidden="false" customHeight="true" outlineLevel="0" collapsed="false">
      <c r="A16" s="48" t="str">
        <f aca="false">IF(C16=0,"","F")</f>
        <v>F</v>
      </c>
      <c r="B16" s="372" t="n">
        <f aca="true">OFFSET(B16,-1,0)+1</f>
        <v>1</v>
      </c>
      <c r="C16" s="373" t="str">
        <f aca="true">IF(AUTOEVENTO="Manual",OFFSET(EVENTOS!$D$15,$B16-$B$15,0),IF(B16&lt;=MAX(CÁLCULO!$M$15:$M$21),VLOOKUP($B16,CÁLCULO!$M$15:$N$21,2,FALSE()),0))</f>
        <v>PAVIMENTAÇÃO DE PARALELEPÍPEDOS</v>
      </c>
      <c r="D16" s="373"/>
      <c r="F16" s="375"/>
      <c r="H16" s="375"/>
      <c r="I16" s="375"/>
      <c r="J16" s="375"/>
      <c r="K16" s="375"/>
      <c r="L16" s="375"/>
      <c r="M16" s="375"/>
      <c r="N16" s="375"/>
      <c r="O16" s="375"/>
      <c r="P16" s="375"/>
      <c r="Q16" s="375"/>
      <c r="R16" s="375"/>
      <c r="S16" s="375"/>
      <c r="T16" s="375"/>
      <c r="U16" s="375"/>
      <c r="V16" s="375"/>
      <c r="W16" s="375"/>
      <c r="X16" s="375"/>
      <c r="Y16" s="375"/>
      <c r="Z16" s="375"/>
      <c r="AA16" s="375"/>
      <c r="AB16" s="375"/>
      <c r="AC16" s="375"/>
      <c r="AD16" s="375"/>
      <c r="AE16" s="375"/>
      <c r="AF16" s="375"/>
    </row>
    <row r="17" customFormat="false" ht="19.5" hidden="false" customHeight="true" outlineLevel="0" collapsed="false">
      <c r="A17" s="48" t="str">
        <f aca="false">IF(C17=0,"","F")</f>
        <v>F</v>
      </c>
      <c r="B17" s="372" t="n">
        <f aca="true">OFFSET(B17,-1,0)+1</f>
        <v>2</v>
      </c>
      <c r="C17" s="373" t="str">
        <f aca="true">IF(AUTOEVENTO="Manual",OFFSET(EVENTOS!$D$15,$B17-$B$15,0),IF(B17&lt;=MAX(CÁLCULO!$M$15:$M$21),VLOOKUP($B17,CÁLCULO!$M$15:$N$21,2,FALSE()),0))</f>
        <v>ACAMENTO DE PAVIMENTAÇÃO COM PARALELPÍPEDOS</v>
      </c>
      <c r="D17" s="373"/>
      <c r="F17" s="375"/>
      <c r="H17" s="375"/>
      <c r="I17" s="375"/>
      <c r="J17" s="375"/>
      <c r="K17" s="375"/>
      <c r="L17" s="375"/>
      <c r="M17" s="375"/>
      <c r="N17" s="375"/>
      <c r="O17" s="375"/>
      <c r="P17" s="375"/>
      <c r="Q17" s="375"/>
      <c r="R17" s="375"/>
      <c r="S17" s="375"/>
      <c r="T17" s="375"/>
      <c r="U17" s="375"/>
      <c r="V17" s="375"/>
      <c r="W17" s="375"/>
      <c r="X17" s="375"/>
      <c r="Y17" s="375"/>
      <c r="Z17" s="375"/>
      <c r="AA17" s="375"/>
      <c r="AB17" s="375"/>
      <c r="AC17" s="375"/>
      <c r="AD17" s="375"/>
      <c r="AE17" s="375"/>
      <c r="AF17" s="375"/>
    </row>
    <row r="18" customFormat="false" ht="19.5" hidden="false" customHeight="true" outlineLevel="0" collapsed="false">
      <c r="A18" s="48" t="str">
        <f aca="false">IF(C18=0,"","F")</f>
        <v/>
      </c>
      <c r="B18" s="372" t="n">
        <f aca="true">OFFSET(B18,-1,0)+1</f>
        <v>3</v>
      </c>
      <c r="C18" s="373" t="n">
        <f aca="true">IF(AUTOEVENTO="Manual",OFFSET(EVENTOS!$D$15,$B18-$B$15,0),IF(B18&lt;=MAX(CÁLCULO!$M$15:$M$21),VLOOKUP($B18,CÁLCULO!$M$15:$N$21,2,FALSE()),0))</f>
        <v>0</v>
      </c>
      <c r="D18" s="373"/>
      <c r="F18" s="375"/>
      <c r="H18" s="375"/>
      <c r="I18" s="375"/>
      <c r="J18" s="375"/>
      <c r="K18" s="375"/>
      <c r="L18" s="375"/>
      <c r="M18" s="375"/>
      <c r="N18" s="375"/>
      <c r="O18" s="375"/>
      <c r="P18" s="375"/>
      <c r="Q18" s="375"/>
      <c r="R18" s="375"/>
      <c r="S18" s="375"/>
      <c r="T18" s="375"/>
      <c r="U18" s="375"/>
      <c r="V18" s="375"/>
      <c r="W18" s="375"/>
      <c r="X18" s="375"/>
      <c r="Y18" s="375"/>
      <c r="Z18" s="375"/>
      <c r="AA18" s="375"/>
      <c r="AB18" s="375"/>
      <c r="AC18" s="375"/>
      <c r="AD18" s="375"/>
      <c r="AE18" s="375"/>
      <c r="AF18" s="375"/>
    </row>
    <row r="19" customFormat="false" ht="19.5" hidden="false" customHeight="true" outlineLevel="0" collapsed="false">
      <c r="A19" s="48" t="str">
        <f aca="false">IF(C19=0,"","F")</f>
        <v/>
      </c>
      <c r="B19" s="372" t="n">
        <f aca="true">OFFSET(B19,-1,0)+1</f>
        <v>4</v>
      </c>
      <c r="C19" s="373" t="n">
        <f aca="true">IF(AUTOEVENTO="Manual",OFFSET(EVENTOS!$D$15,$B19-$B$15,0),IF(B19&lt;=MAX(CÁLCULO!$M$15:$M$21),VLOOKUP($B19,CÁLCULO!$M$15:$N$21,2,FALSE()),0))</f>
        <v>0</v>
      </c>
      <c r="D19" s="373"/>
      <c r="F19" s="375"/>
      <c r="H19" s="375"/>
      <c r="I19" s="375"/>
      <c r="J19" s="375"/>
      <c r="K19" s="375"/>
      <c r="L19" s="375"/>
      <c r="M19" s="375"/>
      <c r="N19" s="375"/>
      <c r="O19" s="375"/>
      <c r="P19" s="375"/>
      <c r="Q19" s="375"/>
      <c r="R19" s="375"/>
      <c r="S19" s="375"/>
      <c r="T19" s="375"/>
      <c r="U19" s="375"/>
      <c r="V19" s="375"/>
      <c r="W19" s="375"/>
      <c r="X19" s="375"/>
      <c r="Y19" s="375"/>
      <c r="Z19" s="375"/>
      <c r="AA19" s="375"/>
      <c r="AB19" s="375"/>
      <c r="AC19" s="375"/>
      <c r="AD19" s="375"/>
      <c r="AE19" s="375"/>
      <c r="AF19" s="375"/>
    </row>
    <row r="20" customFormat="false" ht="19.5" hidden="false" customHeight="true" outlineLevel="0" collapsed="false">
      <c r="A20" s="48" t="str">
        <f aca="false">IF(C20=0,"","F")</f>
        <v/>
      </c>
      <c r="B20" s="372" t="n">
        <f aca="true">OFFSET(B20,-1,0)+1</f>
        <v>5</v>
      </c>
      <c r="C20" s="373" t="n">
        <f aca="true">IF(AUTOEVENTO="Manual",OFFSET(EVENTOS!$D$15,$B20-$B$15,0),IF(B20&lt;=MAX(CÁLCULO!$M$15:$M$21),VLOOKUP($B20,CÁLCULO!$M$15:$N$21,2,FALSE()),0))</f>
        <v>0</v>
      </c>
      <c r="D20" s="373"/>
      <c r="F20" s="375"/>
      <c r="H20" s="375"/>
      <c r="I20" s="375"/>
      <c r="J20" s="375"/>
      <c r="K20" s="375"/>
      <c r="L20" s="375"/>
      <c r="M20" s="375"/>
      <c r="N20" s="375"/>
      <c r="O20" s="375"/>
      <c r="P20" s="375"/>
      <c r="Q20" s="375"/>
      <c r="R20" s="375"/>
      <c r="S20" s="375"/>
      <c r="T20" s="375"/>
      <c r="U20" s="375"/>
      <c r="V20" s="375"/>
      <c r="W20" s="375"/>
      <c r="X20" s="375"/>
      <c r="Y20" s="375"/>
      <c r="Z20" s="375"/>
      <c r="AA20" s="375"/>
      <c r="AB20" s="375"/>
      <c r="AC20" s="375"/>
      <c r="AD20" s="375"/>
      <c r="AE20" s="375"/>
      <c r="AF20" s="375"/>
    </row>
    <row r="21" customFormat="false" ht="19.5" hidden="false" customHeight="true" outlineLevel="0" collapsed="false">
      <c r="A21" s="48" t="str">
        <f aca="false">IF(C21=0,"","F")</f>
        <v/>
      </c>
      <c r="B21" s="372" t="n">
        <f aca="true">OFFSET(B21,-1,0)+1</f>
        <v>6</v>
      </c>
      <c r="C21" s="373" t="n">
        <f aca="true">IF(AUTOEVENTO="Manual",OFFSET(EVENTOS!$D$15,$B21-$B$15,0),IF(B21&lt;=MAX(CÁLCULO!$M$15:$M$21),VLOOKUP($B21,CÁLCULO!$M$15:$N$21,2,FALSE()),0))</f>
        <v>0</v>
      </c>
      <c r="D21" s="373"/>
      <c r="F21" s="375"/>
      <c r="H21" s="375"/>
      <c r="I21" s="375"/>
      <c r="J21" s="375"/>
      <c r="K21" s="375"/>
      <c r="L21" s="375"/>
      <c r="M21" s="375"/>
      <c r="N21" s="375"/>
      <c r="O21" s="375"/>
      <c r="P21" s="375"/>
      <c r="Q21" s="375"/>
      <c r="R21" s="375"/>
      <c r="S21" s="375"/>
      <c r="T21" s="375"/>
      <c r="U21" s="375"/>
      <c r="V21" s="375"/>
      <c r="W21" s="375"/>
      <c r="X21" s="375"/>
      <c r="Y21" s="375"/>
      <c r="Z21" s="375"/>
      <c r="AA21" s="375"/>
      <c r="AB21" s="375"/>
      <c r="AC21" s="375"/>
      <c r="AD21" s="375"/>
      <c r="AE21" s="375"/>
      <c r="AF21" s="375"/>
    </row>
    <row r="22" customFormat="false" ht="19.5" hidden="false" customHeight="true" outlineLevel="0" collapsed="false">
      <c r="A22" s="48" t="str">
        <f aca="false">IF(C22=0,"","F")</f>
        <v/>
      </c>
      <c r="B22" s="372" t="n">
        <f aca="true">OFFSET(B22,-1,0)+1</f>
        <v>7</v>
      </c>
      <c r="C22" s="373" t="n">
        <f aca="true">IF(AUTOEVENTO="Manual",OFFSET(EVENTOS!$D$15,$B22-$B$15,0),IF(B22&lt;=MAX(CÁLCULO!$M$15:$M$21),VLOOKUP($B22,CÁLCULO!$M$15:$N$21,2,FALSE()),0))</f>
        <v>0</v>
      </c>
      <c r="D22" s="373"/>
      <c r="F22" s="375"/>
      <c r="H22" s="375"/>
      <c r="I22" s="375"/>
      <c r="J22" s="375"/>
      <c r="K22" s="375"/>
      <c r="L22" s="375"/>
      <c r="M22" s="375"/>
      <c r="N22" s="375"/>
      <c r="O22" s="375"/>
      <c r="P22" s="375"/>
      <c r="Q22" s="375"/>
      <c r="R22" s="375"/>
      <c r="S22" s="375"/>
      <c r="T22" s="375"/>
      <c r="U22" s="375"/>
      <c r="V22" s="375"/>
      <c r="W22" s="375"/>
      <c r="X22" s="375"/>
      <c r="Y22" s="375"/>
      <c r="Z22" s="375"/>
      <c r="AA22" s="375"/>
      <c r="AB22" s="375"/>
      <c r="AC22" s="375"/>
      <c r="AD22" s="375"/>
      <c r="AE22" s="375"/>
      <c r="AF22" s="375"/>
    </row>
    <row r="23" customFormat="false" ht="19.5" hidden="false" customHeight="true" outlineLevel="0" collapsed="false">
      <c r="A23" s="48" t="str">
        <f aca="false">IF(C23=0,"","F")</f>
        <v/>
      </c>
      <c r="B23" s="372" t="n">
        <f aca="true">OFFSET(B23,-1,0)+1</f>
        <v>8</v>
      </c>
      <c r="C23" s="373" t="n">
        <f aca="true">IF(AUTOEVENTO="Manual",OFFSET(EVENTOS!$D$15,$B23-$B$15,0),IF(B23&lt;=MAX(CÁLCULO!$M$15:$M$21),VLOOKUP($B23,CÁLCULO!$M$15:$N$21,2,FALSE()),0))</f>
        <v>0</v>
      </c>
      <c r="D23" s="373"/>
      <c r="F23" s="375"/>
      <c r="H23" s="375"/>
      <c r="I23" s="375"/>
      <c r="J23" s="375"/>
      <c r="K23" s="375"/>
      <c r="L23" s="375"/>
      <c r="M23" s="375"/>
      <c r="N23" s="375"/>
      <c r="O23" s="375"/>
      <c r="P23" s="375"/>
      <c r="Q23" s="375"/>
      <c r="R23" s="375"/>
      <c r="S23" s="375"/>
      <c r="T23" s="375"/>
      <c r="U23" s="375"/>
      <c r="V23" s="375"/>
      <c r="W23" s="375"/>
      <c r="X23" s="375"/>
      <c r="Y23" s="375"/>
      <c r="Z23" s="375"/>
      <c r="AA23" s="375"/>
      <c r="AB23" s="375"/>
      <c r="AC23" s="375"/>
      <c r="AD23" s="375"/>
      <c r="AE23" s="375"/>
      <c r="AF23" s="375"/>
    </row>
    <row r="24" customFormat="false" ht="19.5" hidden="false" customHeight="true" outlineLevel="0" collapsed="false">
      <c r="A24" s="48" t="str">
        <f aca="false">IF(C24=0,"","F")</f>
        <v/>
      </c>
      <c r="B24" s="372" t="n">
        <f aca="true">OFFSET(B24,-1,0)+1</f>
        <v>9</v>
      </c>
      <c r="C24" s="373" t="n">
        <f aca="true">IF(AUTOEVENTO="Manual",OFFSET(EVENTOS!$D$15,$B24-$B$15,0),IF(B24&lt;=MAX(CÁLCULO!$M$15:$M$21),VLOOKUP($B24,CÁLCULO!$M$15:$N$21,2,FALSE()),0))</f>
        <v>0</v>
      </c>
      <c r="D24" s="373"/>
      <c r="F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row>
    <row r="25" customFormat="false" ht="19.5" hidden="false" customHeight="true" outlineLevel="0" collapsed="false">
      <c r="A25" s="48" t="str">
        <f aca="false">IF(C25=0,"","F")</f>
        <v/>
      </c>
      <c r="B25" s="372" t="n">
        <f aca="true">OFFSET(B25,-1,0)+1</f>
        <v>10</v>
      </c>
      <c r="C25" s="373" t="n">
        <f aca="true">IF(AUTOEVENTO="Manual",OFFSET(EVENTOS!$D$15,$B25-$B$15,0),IF(B25&lt;=MAX(CÁLCULO!$M$15:$M$21),VLOOKUP($B25,CÁLCULO!$M$15:$N$21,2,FALSE()),0))</f>
        <v>0</v>
      </c>
      <c r="D25" s="373"/>
      <c r="F25" s="375"/>
      <c r="H25" s="375"/>
      <c r="I25" s="375"/>
      <c r="J25" s="375"/>
      <c r="K25" s="375"/>
      <c r="L25" s="375"/>
      <c r="M25" s="375"/>
      <c r="N25" s="375"/>
      <c r="O25" s="375"/>
      <c r="P25" s="375"/>
      <c r="Q25" s="375"/>
      <c r="R25" s="375"/>
      <c r="S25" s="375"/>
      <c r="T25" s="375"/>
      <c r="U25" s="375"/>
      <c r="V25" s="375"/>
      <c r="W25" s="375"/>
      <c r="X25" s="375"/>
      <c r="Y25" s="375"/>
      <c r="Z25" s="375"/>
      <c r="AA25" s="375"/>
      <c r="AB25" s="375"/>
      <c r="AC25" s="375"/>
      <c r="AD25" s="375"/>
      <c r="AE25" s="375"/>
      <c r="AF25" s="375"/>
    </row>
    <row r="26" customFormat="false" ht="19.5" hidden="false" customHeight="true" outlineLevel="0" collapsed="false">
      <c r="A26" s="48" t="str">
        <f aca="false">IF(C26=0,"","F")</f>
        <v/>
      </c>
      <c r="B26" s="372" t="n">
        <f aca="true">OFFSET(B26,-1,0)+1</f>
        <v>11</v>
      </c>
      <c r="C26" s="373" t="n">
        <f aca="true">IF(AUTOEVENTO="Manual",OFFSET(EVENTOS!$D$15,$B26-$B$15,0),IF(B26&lt;=MAX(CÁLCULO!$M$15:$M$21),VLOOKUP($B26,CÁLCULO!$M$15:$N$21,2,FALSE()),0))</f>
        <v>0</v>
      </c>
      <c r="D26" s="373"/>
      <c r="F26" s="375"/>
      <c r="H26" s="375"/>
      <c r="I26" s="375"/>
      <c r="J26" s="375"/>
      <c r="K26" s="375"/>
      <c r="L26" s="375"/>
      <c r="M26" s="375"/>
      <c r="N26" s="375"/>
      <c r="O26" s="375"/>
      <c r="P26" s="375"/>
      <c r="Q26" s="375"/>
      <c r="R26" s="375"/>
      <c r="S26" s="375"/>
      <c r="T26" s="375"/>
      <c r="U26" s="375"/>
      <c r="V26" s="375"/>
      <c r="W26" s="375"/>
      <c r="X26" s="375"/>
      <c r="Y26" s="375"/>
      <c r="Z26" s="375"/>
      <c r="AA26" s="375"/>
      <c r="AB26" s="375"/>
      <c r="AC26" s="375"/>
      <c r="AD26" s="375"/>
      <c r="AE26" s="375"/>
      <c r="AF26" s="375"/>
    </row>
    <row r="27" customFormat="false" ht="19.5" hidden="false" customHeight="true" outlineLevel="0" collapsed="false">
      <c r="A27" s="48" t="str">
        <f aca="false">IF(C27=0,"","F")</f>
        <v/>
      </c>
      <c r="B27" s="372" t="n">
        <f aca="true">OFFSET(B27,-1,0)+1</f>
        <v>12</v>
      </c>
      <c r="C27" s="373" t="n">
        <f aca="true">IF(AUTOEVENTO="Manual",OFFSET(EVENTOS!$D$15,$B27-$B$15,0),IF(B27&lt;=MAX(CÁLCULO!$M$15:$M$21),VLOOKUP($B27,CÁLCULO!$M$15:$N$21,2,FALSE()),0))</f>
        <v>0</v>
      </c>
      <c r="D27" s="373"/>
      <c r="F27" s="375"/>
      <c r="H27" s="375"/>
      <c r="I27" s="375"/>
      <c r="J27" s="375"/>
      <c r="K27" s="375"/>
      <c r="L27" s="375"/>
      <c r="M27" s="375"/>
      <c r="N27" s="375"/>
      <c r="O27" s="375"/>
      <c r="P27" s="375"/>
      <c r="Q27" s="375"/>
      <c r="R27" s="375"/>
      <c r="S27" s="375"/>
      <c r="T27" s="375"/>
      <c r="U27" s="375"/>
      <c r="V27" s="375"/>
      <c r="W27" s="375"/>
      <c r="X27" s="375"/>
      <c r="Y27" s="375"/>
      <c r="Z27" s="375"/>
      <c r="AA27" s="375"/>
      <c r="AB27" s="375"/>
      <c r="AC27" s="375"/>
      <c r="AD27" s="375"/>
      <c r="AE27" s="375"/>
      <c r="AF27" s="375"/>
    </row>
    <row r="28" customFormat="false" ht="19.5" hidden="false" customHeight="true" outlineLevel="0" collapsed="false">
      <c r="A28" s="48" t="str">
        <f aca="false">IF(C28=0,"","F")</f>
        <v/>
      </c>
      <c r="B28" s="372" t="n">
        <f aca="true">OFFSET(B28,-1,0)+1</f>
        <v>13</v>
      </c>
      <c r="C28" s="373" t="n">
        <f aca="true">IF(AUTOEVENTO="Manual",OFFSET(EVENTOS!$D$15,$B28-$B$15,0),IF(B28&lt;=MAX(CÁLCULO!$M$15:$M$21),VLOOKUP($B28,CÁLCULO!$M$15:$N$21,2,FALSE()),0))</f>
        <v>0</v>
      </c>
      <c r="D28" s="373"/>
      <c r="F28" s="375"/>
      <c r="H28" s="375"/>
      <c r="I28" s="375"/>
      <c r="J28" s="375"/>
      <c r="K28" s="375"/>
      <c r="L28" s="375"/>
      <c r="M28" s="375"/>
      <c r="N28" s="375"/>
      <c r="O28" s="375"/>
      <c r="P28" s="375"/>
      <c r="Q28" s="375"/>
      <c r="R28" s="375"/>
      <c r="S28" s="375"/>
      <c r="T28" s="375"/>
      <c r="U28" s="375"/>
      <c r="V28" s="375"/>
      <c r="W28" s="375"/>
      <c r="X28" s="375"/>
      <c r="Y28" s="375"/>
      <c r="Z28" s="375"/>
      <c r="AA28" s="375"/>
      <c r="AB28" s="375"/>
      <c r="AC28" s="375"/>
      <c r="AD28" s="375"/>
      <c r="AE28" s="375"/>
      <c r="AF28" s="375"/>
    </row>
    <row r="29" customFormat="false" ht="19.5" hidden="false" customHeight="true" outlineLevel="0" collapsed="false">
      <c r="A29" s="48" t="str">
        <f aca="false">IF(C29=0,"","F")</f>
        <v/>
      </c>
      <c r="B29" s="372" t="n">
        <f aca="true">OFFSET(B29,-1,0)+1</f>
        <v>14</v>
      </c>
      <c r="C29" s="373" t="n">
        <f aca="true">IF(AUTOEVENTO="Manual",OFFSET(EVENTOS!$D$15,$B29-$B$15,0),IF(B29&lt;=MAX(CÁLCULO!$M$15:$M$21),VLOOKUP($B29,CÁLCULO!$M$15:$N$21,2,FALSE()),0))</f>
        <v>0</v>
      </c>
      <c r="D29" s="373"/>
      <c r="F29" s="375"/>
      <c r="H29" s="375"/>
      <c r="I29" s="375"/>
      <c r="J29" s="375"/>
      <c r="K29" s="375"/>
      <c r="L29" s="375"/>
      <c r="M29" s="375"/>
      <c r="N29" s="375"/>
      <c r="O29" s="375"/>
      <c r="P29" s="375"/>
      <c r="Q29" s="375"/>
      <c r="R29" s="375"/>
      <c r="S29" s="375"/>
      <c r="T29" s="375"/>
      <c r="U29" s="375"/>
      <c r="V29" s="375"/>
      <c r="W29" s="375"/>
      <c r="X29" s="375"/>
      <c r="Y29" s="375"/>
      <c r="Z29" s="375"/>
      <c r="AA29" s="375"/>
      <c r="AB29" s="375"/>
      <c r="AC29" s="375"/>
      <c r="AD29" s="375"/>
      <c r="AE29" s="375"/>
      <c r="AF29" s="375"/>
    </row>
    <row r="30" customFormat="false" ht="19.5" hidden="false" customHeight="true" outlineLevel="0" collapsed="false">
      <c r="A30" s="48" t="str">
        <f aca="false">IF(C30=0,"","F")</f>
        <v/>
      </c>
      <c r="B30" s="372" t="n">
        <f aca="true">OFFSET(B30,-1,0)+1</f>
        <v>15</v>
      </c>
      <c r="C30" s="373" t="n">
        <f aca="true">IF(AUTOEVENTO="Manual",OFFSET(EVENTOS!$D$15,$B30-$B$15,0),IF(B30&lt;=MAX(CÁLCULO!$M$15:$M$21),VLOOKUP($B30,CÁLCULO!$M$15:$N$21,2,FALSE()),0))</f>
        <v>0</v>
      </c>
      <c r="D30" s="373"/>
      <c r="F30" s="375"/>
      <c r="H30" s="375"/>
      <c r="I30" s="375"/>
      <c r="J30" s="375"/>
      <c r="K30" s="375"/>
      <c r="L30" s="375"/>
      <c r="M30" s="375"/>
      <c r="N30" s="375"/>
      <c r="O30" s="375"/>
      <c r="P30" s="375"/>
      <c r="Q30" s="375"/>
      <c r="R30" s="375"/>
      <c r="S30" s="375"/>
      <c r="T30" s="375"/>
      <c r="U30" s="375"/>
      <c r="V30" s="375"/>
      <c r="W30" s="375"/>
      <c r="X30" s="375"/>
      <c r="Y30" s="375"/>
      <c r="Z30" s="375"/>
      <c r="AA30" s="375"/>
      <c r="AB30" s="375"/>
      <c r="AC30" s="375"/>
      <c r="AD30" s="375"/>
      <c r="AE30" s="375"/>
      <c r="AF30" s="375"/>
    </row>
    <row r="31" customFormat="false" ht="19.5" hidden="false" customHeight="true" outlineLevel="0" collapsed="false">
      <c r="A31" s="48" t="str">
        <f aca="false">IF(C31=0,"","F")</f>
        <v/>
      </c>
      <c r="B31" s="372" t="n">
        <f aca="true">OFFSET(B31,-1,0)+1</f>
        <v>16</v>
      </c>
      <c r="C31" s="373" t="n">
        <f aca="true">IF(AUTOEVENTO="Manual",OFFSET(EVENTOS!$D$15,$B31-$B$15,0),IF(B31&lt;=MAX(CÁLCULO!$M$15:$M$21),VLOOKUP($B31,CÁLCULO!$M$15:$N$21,2,FALSE()),0))</f>
        <v>0</v>
      </c>
      <c r="D31" s="373"/>
      <c r="F31" s="375"/>
      <c r="H31" s="375"/>
      <c r="I31" s="375"/>
      <c r="J31" s="375"/>
      <c r="K31" s="375"/>
      <c r="L31" s="375"/>
      <c r="M31" s="375"/>
      <c r="N31" s="375"/>
      <c r="O31" s="375"/>
      <c r="P31" s="375"/>
      <c r="Q31" s="375"/>
      <c r="R31" s="375"/>
      <c r="S31" s="375"/>
      <c r="T31" s="375"/>
      <c r="U31" s="375"/>
      <c r="V31" s="375"/>
      <c r="W31" s="375"/>
      <c r="X31" s="375"/>
      <c r="Y31" s="375"/>
      <c r="Z31" s="375"/>
      <c r="AA31" s="375"/>
      <c r="AB31" s="375"/>
      <c r="AC31" s="375"/>
      <c r="AD31" s="375"/>
      <c r="AE31" s="375"/>
      <c r="AF31" s="375"/>
    </row>
    <row r="32" customFormat="false" ht="19.5" hidden="false" customHeight="true" outlineLevel="0" collapsed="false">
      <c r="A32" s="48" t="str">
        <f aca="false">IF(C32=0,"","F")</f>
        <v/>
      </c>
      <c r="B32" s="372" t="n">
        <f aca="true">OFFSET(B32,-1,0)+1</f>
        <v>17</v>
      </c>
      <c r="C32" s="373" t="n">
        <f aca="true">IF(AUTOEVENTO="Manual",OFFSET(EVENTOS!$D$15,$B32-$B$15,0),IF(B32&lt;=MAX(CÁLCULO!$M$15:$M$21),VLOOKUP($B32,CÁLCULO!$M$15:$N$21,2,FALSE()),0))</f>
        <v>0</v>
      </c>
      <c r="D32" s="373"/>
      <c r="F32" s="375"/>
      <c r="H32" s="375"/>
      <c r="I32" s="375"/>
      <c r="J32" s="375"/>
      <c r="K32" s="375"/>
      <c r="L32" s="375"/>
      <c r="M32" s="375"/>
      <c r="N32" s="375"/>
      <c r="O32" s="375"/>
      <c r="P32" s="375"/>
      <c r="Q32" s="375"/>
      <c r="R32" s="375"/>
      <c r="S32" s="375"/>
      <c r="T32" s="375"/>
      <c r="U32" s="375"/>
      <c r="V32" s="375"/>
      <c r="W32" s="375"/>
      <c r="X32" s="375"/>
      <c r="Y32" s="375"/>
      <c r="Z32" s="375"/>
      <c r="AA32" s="375"/>
      <c r="AB32" s="375"/>
      <c r="AC32" s="375"/>
      <c r="AD32" s="375"/>
      <c r="AE32" s="375"/>
      <c r="AF32" s="375"/>
    </row>
    <row r="33" customFormat="false" ht="4.5" hidden="false" customHeight="true" outlineLevel="0" collapsed="false">
      <c r="A33" s="48" t="s">
        <v>594</v>
      </c>
      <c r="B33" s="242"/>
      <c r="C33" s="245"/>
      <c r="D33" s="243"/>
      <c r="F33" s="368"/>
      <c r="H33" s="242"/>
      <c r="I33" s="245"/>
      <c r="J33" s="245"/>
      <c r="K33" s="245"/>
      <c r="L33" s="245"/>
      <c r="M33" s="245"/>
      <c r="N33" s="245"/>
      <c r="O33" s="245"/>
      <c r="P33" s="245"/>
      <c r="Q33" s="245"/>
      <c r="R33" s="245"/>
      <c r="S33" s="245"/>
      <c r="T33" s="245"/>
      <c r="U33" s="245"/>
      <c r="V33" s="245"/>
      <c r="W33" s="245"/>
      <c r="X33" s="245"/>
      <c r="Y33" s="245"/>
      <c r="Z33" s="245"/>
      <c r="AA33" s="245"/>
      <c r="AB33" s="245"/>
      <c r="AC33" s="245"/>
      <c r="AD33" s="245"/>
      <c r="AE33" s="245"/>
      <c r="AF33" s="243"/>
    </row>
    <row r="34" customFormat="false" ht="12.75" hidden="false" customHeight="false" outlineLevel="0" collapsed="false">
      <c r="A34" s="48" t="s">
        <v>594</v>
      </c>
    </row>
    <row r="35" customFormat="false" ht="12.75" hidden="false" customHeight="false" outlineLevel="0" collapsed="false">
      <c r="A35" s="48" t="s">
        <v>594</v>
      </c>
      <c r="I35" s="593" t="s">
        <v>932</v>
      </c>
      <c r="J35" s="593"/>
      <c r="K35" s="593"/>
      <c r="L35" s="593"/>
      <c r="M35" s="593"/>
      <c r="N35" s="593"/>
      <c r="O35" s="593"/>
      <c r="P35" s="593"/>
      <c r="Q35" s="593"/>
      <c r="R35" s="593"/>
      <c r="S35" s="593"/>
      <c r="T35" s="593"/>
      <c r="U35" s="593"/>
      <c r="V35" s="593"/>
      <c r="W35" s="593"/>
      <c r="X35" s="593"/>
      <c r="Y35" s="593"/>
      <c r="Z35" s="593"/>
      <c r="AA35" s="593"/>
      <c r="AB35" s="593"/>
      <c r="AC35" s="593"/>
      <c r="AD35" s="593"/>
      <c r="AE35" s="593"/>
      <c r="AF35" s="593"/>
    </row>
    <row r="36" customFormat="false" ht="12.75" hidden="false" customHeight="false" outlineLevel="0" collapsed="false">
      <c r="A36" s="48" t="s">
        <v>594</v>
      </c>
      <c r="H36" s="415" t="str">
        <f aca="false">IF(INDEX($I$36:$AG$36,MATCH(PLE.Medicao,$I$37:$AG$37,0))="","Preencher a data da medição "&amp;PLE.Medicao,"")</f>
        <v>Preencher a data da medição 1</v>
      </c>
      <c r="I36" s="594"/>
      <c r="J36" s="594"/>
      <c r="K36" s="595"/>
      <c r="L36" s="595"/>
      <c r="M36" s="595"/>
      <c r="N36" s="595"/>
      <c r="O36" s="595"/>
      <c r="P36" s="595"/>
      <c r="Q36" s="595"/>
      <c r="R36" s="595"/>
      <c r="S36" s="595"/>
      <c r="T36" s="595"/>
      <c r="U36" s="595"/>
      <c r="V36" s="595"/>
      <c r="W36" s="595"/>
      <c r="X36" s="595"/>
      <c r="Y36" s="595"/>
      <c r="Z36" s="595"/>
      <c r="AA36" s="595"/>
      <c r="AB36" s="595"/>
      <c r="AC36" s="595"/>
      <c r="AD36" s="595"/>
      <c r="AE36" s="596"/>
      <c r="AF36" s="596"/>
    </row>
    <row r="37" customFormat="false" ht="12.75" hidden="false" customHeight="false" outlineLevel="0" collapsed="false">
      <c r="A37" s="48" t="s">
        <v>594</v>
      </c>
      <c r="D37" s="593" t="s">
        <v>933</v>
      </c>
      <c r="I37" s="597" t="n">
        <f aca="false">IF(PLE.Medicao&lt;=12,1,TRUNC((PLE.Medicao - 2)/11,0) * 11 + 1)</f>
        <v>1</v>
      </c>
      <c r="J37" s="597"/>
      <c r="K37" s="597" t="n">
        <f aca="false">I37+1</f>
        <v>2</v>
      </c>
      <c r="L37" s="597"/>
      <c r="M37" s="597" t="n">
        <f aca="false">K37+1</f>
        <v>3</v>
      </c>
      <c r="N37" s="597"/>
      <c r="O37" s="597" t="n">
        <f aca="false">M37+1</f>
        <v>4</v>
      </c>
      <c r="P37" s="597"/>
      <c r="Q37" s="597" t="n">
        <f aca="false">O37+1</f>
        <v>5</v>
      </c>
      <c r="R37" s="597"/>
      <c r="S37" s="597" t="n">
        <f aca="false">Q37+1</f>
        <v>6</v>
      </c>
      <c r="T37" s="597"/>
      <c r="U37" s="597" t="n">
        <f aca="false">S37+1</f>
        <v>7</v>
      </c>
      <c r="V37" s="597"/>
      <c r="W37" s="597" t="n">
        <f aca="false">U37+1</f>
        <v>8</v>
      </c>
      <c r="X37" s="597"/>
      <c r="Y37" s="597" t="n">
        <f aca="false">W37+1</f>
        <v>9</v>
      </c>
      <c r="Z37" s="597"/>
      <c r="AA37" s="597" t="n">
        <f aca="false">Y37+1</f>
        <v>10</v>
      </c>
      <c r="AB37" s="597"/>
      <c r="AC37" s="597" t="n">
        <f aca="false">AA37+1</f>
        <v>11</v>
      </c>
      <c r="AD37" s="597"/>
      <c r="AE37" s="597" t="n">
        <f aca="false">AC37+1</f>
        <v>12</v>
      </c>
      <c r="AF37" s="597"/>
    </row>
    <row r="38" customFormat="false" ht="12.75" hidden="false" customHeight="false" outlineLevel="0" collapsed="false">
      <c r="A38" s="48" t="s">
        <v>594</v>
      </c>
      <c r="D38" s="598" t="s">
        <v>884</v>
      </c>
      <c r="H38" s="314" t="s">
        <v>866</v>
      </c>
      <c r="I38" s="599" t="e">
        <f aca="false">ROUND(I39,2)/ORÇAMENTO!$X$15</f>
        <v>#DIV/0!</v>
      </c>
      <c r="J38" s="599"/>
      <c r="K38" s="600" t="e">
        <f aca="false">ROUND(K39,2)/ORÇAMENTO!$X$15</f>
        <v>#DIV/0!</v>
      </c>
      <c r="L38" s="600"/>
      <c r="M38" s="600" t="e">
        <f aca="false">ROUND(M39,2)/ORÇAMENTO!$X$15</f>
        <v>#DIV/0!</v>
      </c>
      <c r="N38" s="600"/>
      <c r="O38" s="600" t="e">
        <f aca="false">ROUND(O39,2)/ORÇAMENTO!$X$15</f>
        <v>#DIV/0!</v>
      </c>
      <c r="P38" s="600"/>
      <c r="Q38" s="600" t="e">
        <f aca="false">ROUND(Q39,2)/ORÇAMENTO!$X$15</f>
        <v>#DIV/0!</v>
      </c>
      <c r="R38" s="600"/>
      <c r="S38" s="600" t="e">
        <f aca="false">ROUND(S39,2)/ORÇAMENTO!$X$15</f>
        <v>#DIV/0!</v>
      </c>
      <c r="T38" s="600"/>
      <c r="U38" s="600" t="e">
        <f aca="false">ROUND(U39,2)/ORÇAMENTO!$X$15</f>
        <v>#DIV/0!</v>
      </c>
      <c r="V38" s="600"/>
      <c r="W38" s="600" t="e">
        <f aca="false">ROUND(W39,2)/ORÇAMENTO!$X$15</f>
        <v>#DIV/0!</v>
      </c>
      <c r="X38" s="600"/>
      <c r="Y38" s="600" t="e">
        <f aca="false">ROUND(Y39,2)/ORÇAMENTO!$X$15</f>
        <v>#DIV/0!</v>
      </c>
      <c r="Z38" s="600"/>
      <c r="AA38" s="600" t="e">
        <f aca="false">ROUND(AA39,2)/ORÇAMENTO!$X$15</f>
        <v>#DIV/0!</v>
      </c>
      <c r="AB38" s="600"/>
      <c r="AC38" s="600" t="e">
        <f aca="false">ROUND(AC39,2)/ORÇAMENTO!$X$15</f>
        <v>#DIV/0!</v>
      </c>
      <c r="AD38" s="600"/>
      <c r="AE38" s="600" t="e">
        <f aca="false">ROUND(AE39,2)/ORÇAMENTO!$X$15</f>
        <v>#DIV/0!</v>
      </c>
      <c r="AF38" s="600"/>
    </row>
    <row r="39" customFormat="false" ht="12.75" hidden="false" customHeight="false" outlineLevel="0" collapsed="false">
      <c r="A39" s="48" t="s">
        <v>594</v>
      </c>
      <c r="D39" s="598"/>
      <c r="H39" s="58" t="s">
        <v>867</v>
      </c>
      <c r="I39" s="601" t="n">
        <f aca="false" t="array" ref="I39:I39">IF(I37=1,I41,ROUND(I41,2)-ROUND(SUMIF(CÁLCULO!$AX$15:$BH$21,"&lt;="&amp;PLE!I37-1,CÁLCULO!$AB$15:$AL$21)*IF(AdmLocal="Automática",(1+CÁLCULO.TotalAdmLocal/(ORÇAMENTO!$X$15-CÁLCULO.TotalAdmLocal)),1),2))</f>
        <v>0</v>
      </c>
      <c r="J39" s="601"/>
      <c r="K39" s="601" t="n">
        <f aca="false">ROUND(K41,2)-ROUND(I41,2)</f>
        <v>0</v>
      </c>
      <c r="L39" s="601"/>
      <c r="M39" s="601" t="n">
        <f aca="false">ROUND(M41,2)-ROUND(K41,2)</f>
        <v>0</v>
      </c>
      <c r="N39" s="601"/>
      <c r="O39" s="601" t="n">
        <f aca="false">ROUND(O41,2)-ROUND(M41,2)</f>
        <v>0</v>
      </c>
      <c r="P39" s="601"/>
      <c r="Q39" s="601" t="n">
        <f aca="false">ROUND(Q41,2)-ROUND(O41,2)</f>
        <v>0</v>
      </c>
      <c r="R39" s="601"/>
      <c r="S39" s="601" t="n">
        <f aca="false">ROUND(S41,2)-ROUND(Q41,2)</f>
        <v>0</v>
      </c>
      <c r="T39" s="601"/>
      <c r="U39" s="601" t="n">
        <f aca="false">ROUND(U41,2)-ROUND(S41,2)</f>
        <v>0</v>
      </c>
      <c r="V39" s="601"/>
      <c r="W39" s="601" t="n">
        <f aca="false">ROUND(W41,2)-ROUND(U41,2)</f>
        <v>0</v>
      </c>
      <c r="X39" s="601"/>
      <c r="Y39" s="601" t="n">
        <f aca="false">ROUND(Y41,2)-ROUND(W41,2)</f>
        <v>0</v>
      </c>
      <c r="Z39" s="601"/>
      <c r="AA39" s="601" t="n">
        <f aca="false">ROUND(AA41,2)-ROUND(Y41,2)</f>
        <v>0</v>
      </c>
      <c r="AB39" s="601"/>
      <c r="AC39" s="601" t="n">
        <f aca="false">ROUND(AC41,2)-ROUND(AA41,2)</f>
        <v>0</v>
      </c>
      <c r="AD39" s="601"/>
      <c r="AE39" s="601" t="n">
        <f aca="false">ROUND(AE41,2)-ROUND(AC41,2)</f>
        <v>0</v>
      </c>
      <c r="AF39" s="601"/>
    </row>
    <row r="40" customFormat="false" ht="12.75" hidden="false" customHeight="false" outlineLevel="0" collapsed="false">
      <c r="A40" s="48" t="s">
        <v>594</v>
      </c>
      <c r="D40" s="598" t="s">
        <v>888</v>
      </c>
      <c r="H40" s="314" t="s">
        <v>866</v>
      </c>
      <c r="I40" s="602" t="e">
        <f aca="false">ROUND(I41,2)/ORÇAMENTO!$X$15</f>
        <v>#DIV/0!</v>
      </c>
      <c r="J40" s="602"/>
      <c r="K40" s="603" t="e">
        <f aca="false">ROUND(K41,2)/ORÇAMENTO!$X$15</f>
        <v>#DIV/0!</v>
      </c>
      <c r="L40" s="603"/>
      <c r="M40" s="603" t="e">
        <f aca="false">ROUND(M41,2)/ORÇAMENTO!$X$15</f>
        <v>#DIV/0!</v>
      </c>
      <c r="N40" s="603"/>
      <c r="O40" s="603" t="e">
        <f aca="false">ROUND(O41,2)/ORÇAMENTO!$X$15</f>
        <v>#DIV/0!</v>
      </c>
      <c r="P40" s="603"/>
      <c r="Q40" s="603" t="e">
        <f aca="false">ROUND(Q41,2)/ORÇAMENTO!$X$15</f>
        <v>#DIV/0!</v>
      </c>
      <c r="R40" s="603"/>
      <c r="S40" s="603" t="e">
        <f aca="false">ROUND(S41,2)/ORÇAMENTO!$X$15</f>
        <v>#DIV/0!</v>
      </c>
      <c r="T40" s="603"/>
      <c r="U40" s="603" t="e">
        <f aca="false">ROUND(U41,2)/ORÇAMENTO!$X$15</f>
        <v>#DIV/0!</v>
      </c>
      <c r="V40" s="603"/>
      <c r="W40" s="603" t="e">
        <f aca="false">ROUND(W41,2)/ORÇAMENTO!$X$15</f>
        <v>#DIV/0!</v>
      </c>
      <c r="X40" s="603"/>
      <c r="Y40" s="603" t="e">
        <f aca="false">ROUND(Y41,2)/ORÇAMENTO!$X$15</f>
        <v>#DIV/0!</v>
      </c>
      <c r="Z40" s="603"/>
      <c r="AA40" s="603" t="e">
        <f aca="false">ROUND(AA41,2)/ORÇAMENTO!$X$15</f>
        <v>#DIV/0!</v>
      </c>
      <c r="AB40" s="603"/>
      <c r="AC40" s="603" t="e">
        <f aca="false">ROUND(AC41,2)/ORÇAMENTO!$X$15</f>
        <v>#DIV/0!</v>
      </c>
      <c r="AD40" s="603"/>
      <c r="AE40" s="603" t="e">
        <f aca="false">ROUND(AE41,2)/ORÇAMENTO!$X$15</f>
        <v>#DIV/0!</v>
      </c>
      <c r="AF40" s="603"/>
    </row>
    <row r="41" customFormat="false" ht="12.75" hidden="false" customHeight="false" outlineLevel="0" collapsed="false">
      <c r="A41" s="48" t="s">
        <v>594</v>
      </c>
      <c r="D41" s="598"/>
      <c r="H41" s="58" t="s">
        <v>867</v>
      </c>
      <c r="I41" s="604" t="n">
        <f aca="false" t="array" ref="I41:I41">SUMIF(CÁLCULO!$AX$15:$BH$21,"&lt;="&amp;PLE!I37,CÁLCULO!$AB$15:$AL$21)*IF(AdmLocal="Automática",(1+CÁLCULO.TotalAdmLocal/(ORÇAMENTO!$X$15-CÁLCULO.TotalAdmLocal)),1)</f>
        <v>0</v>
      </c>
      <c r="J41" s="604"/>
      <c r="K41" s="601" t="n">
        <f aca="false" t="array" ref="K41:K41">SUMIF(CÁLCULO!$AX$15:$BH$21,"&lt;="&amp;PLE!K37,CÁLCULO!$AB$15:$AL$21)*IF(AdmLocal="Automática",(1+CÁLCULO.TotalAdmLocal/(ORÇAMENTO!$X$15-CÁLCULO.TotalAdmLocal)),1)</f>
        <v>0</v>
      </c>
      <c r="L41" s="601"/>
      <c r="M41" s="601" t="n">
        <f aca="false" t="array" ref="M41:M41">SUMIF(CÁLCULO!$AX$15:$BH$21,"&lt;="&amp;PLE!M37,CÁLCULO!$AB$15:$AL$21)*IF(AdmLocal="Automática",(1+CÁLCULO.TotalAdmLocal/(ORÇAMENTO!$X$15-CÁLCULO.TotalAdmLocal)),1)</f>
        <v>0</v>
      </c>
      <c r="N41" s="601"/>
      <c r="O41" s="601" t="n">
        <f aca="false" t="array" ref="O41:O41">SUMIF(CÁLCULO!$AX$15:$BH$21,"&lt;="&amp;PLE!O37,CÁLCULO!$AB$15:$AL$21)*IF(AdmLocal="Automática",(1+CÁLCULO.TotalAdmLocal/(ORÇAMENTO!$X$15-CÁLCULO.TotalAdmLocal)),1)</f>
        <v>0</v>
      </c>
      <c r="P41" s="601"/>
      <c r="Q41" s="601" t="n">
        <f aca="false" t="array" ref="Q41:Q41">SUMIF(CÁLCULO!$AX$15:$BH$21,"&lt;="&amp;PLE!Q37,CÁLCULO!$AB$15:$AL$21)*IF(AdmLocal="Automática",(1+CÁLCULO.TotalAdmLocal/(ORÇAMENTO!$X$15-CÁLCULO.TotalAdmLocal)),1)</f>
        <v>0</v>
      </c>
      <c r="R41" s="601"/>
      <c r="S41" s="601" t="n">
        <f aca="false" t="array" ref="S41:S41">SUMIF(CÁLCULO!$AX$15:$BH$21,"&lt;="&amp;PLE!S37,CÁLCULO!$AB$15:$AL$21)*IF(AdmLocal="Automática",(1+CÁLCULO.TotalAdmLocal/(ORÇAMENTO!$X$15-CÁLCULO.TotalAdmLocal)),1)</f>
        <v>0</v>
      </c>
      <c r="T41" s="601"/>
      <c r="U41" s="601" t="n">
        <f aca="false" t="array" ref="U41:U41">SUMIF(CÁLCULO!$AX$15:$BH$21,"&lt;="&amp;PLE!U37,CÁLCULO!$AB$15:$AL$21)*IF(AdmLocal="Automática",(1+CÁLCULO.TotalAdmLocal/(ORÇAMENTO!$X$15-CÁLCULO.TotalAdmLocal)),1)</f>
        <v>0</v>
      </c>
      <c r="V41" s="601"/>
      <c r="W41" s="601" t="n">
        <f aca="false" t="array" ref="W41:W41">SUMIF(CÁLCULO!$AX$15:$BH$21,"&lt;="&amp;PLE!W37,CÁLCULO!$AB$15:$AL$21)*IF(AdmLocal="Automática",(1+CÁLCULO.TotalAdmLocal/(ORÇAMENTO!$X$15-CÁLCULO.TotalAdmLocal)),1)</f>
        <v>0</v>
      </c>
      <c r="X41" s="601"/>
      <c r="Y41" s="601" t="n">
        <f aca="false" t="array" ref="Y41:Y41">SUMIF(CÁLCULO!$AX$15:$BH$21,"&lt;="&amp;PLE!Y37,CÁLCULO!$AB$15:$AL$21)*IF(AdmLocal="Automática",(1+CÁLCULO.TotalAdmLocal/(ORÇAMENTO!$X$15-CÁLCULO.TotalAdmLocal)),1)</f>
        <v>0</v>
      </c>
      <c r="Z41" s="601"/>
      <c r="AA41" s="601" t="n">
        <f aca="false" t="array" ref="AA41:AA41">SUMIF(CÁLCULO!$AX$15:$BH$21,"&lt;="&amp;PLE!AA37,CÁLCULO!$AB$15:$AL$21)*IF(AdmLocal="Automática",(1+CÁLCULO.TotalAdmLocal/(ORÇAMENTO!$X$15-CÁLCULO.TotalAdmLocal)),1)</f>
        <v>0</v>
      </c>
      <c r="AB41" s="601"/>
      <c r="AC41" s="601" t="n">
        <f aca="false" t="array" ref="AC41:AC41">SUMIF(CÁLCULO!$AX$15:$BH$21,"&lt;="&amp;PLE!AC37,CÁLCULO!$AB$15:$AL$21)*IF(AdmLocal="Automática",(1+CÁLCULO.TotalAdmLocal/(ORÇAMENTO!$X$15-CÁLCULO.TotalAdmLocal)),1)</f>
        <v>0</v>
      </c>
      <c r="AD41" s="601"/>
      <c r="AE41" s="601" t="n">
        <f aca="false" t="array" ref="AE41:AE41">SUMIF(CÁLCULO!$AX$15:$BH$21,"&lt;="&amp;PLE!AE37,CÁLCULO!$AB$15:$AL$21)*IF(AdmLocal="Automática",(1+CÁLCULO.TotalAdmLocal/(ORÇAMENTO!$X$15-CÁLCULO.TotalAdmLocal)),1)</f>
        <v>0</v>
      </c>
      <c r="AF41" s="601"/>
    </row>
    <row r="42" customFormat="false" ht="12.75" hidden="false" customHeight="true" outlineLevel="0" collapsed="false">
      <c r="A42" s="48"/>
      <c r="D42" s="411" t="s">
        <v>869</v>
      </c>
      <c r="H42" s="405" t="s">
        <v>866</v>
      </c>
      <c r="I42" s="406" t="e">
        <f aca="true">IF(OR(ACOMPANHAMENTO&lt;&gt;"PLE",I37&gt;PLE.Medicao),0,
   IF(AUTOEVENTO="Manual",
      IF(AdmLocal="Automática",I40,
         IF(Import.EventoAdmLocal="","",SUMIF(OFFSET($G$14,CRONOPLE!$A$8+1,1,1,OFFSET($AG$12,0,-1)),"&lt;="&amp;I37,OFFSET(EVENTOS!$G$14,CRONOPLE!$A$8+1,1,1,OFFSET($AG$12,0,-1)))/OFFSET(EVENTOS!$G$14,CRONOPLE!$A$8+1,-1))),
      IF(Import.EventoAdmLocal="","",SUMIF(OFFSET(CÁLCULO!$AW$15,CRONOPLE!$A$10,1,OFFSET(ORÇAMENTO!$D$15,CRONOPLE!$A$10,0),COLUMN(CÁLCULO!$BH$15)-COLUMN(CÁLCULO!$AW$15)-1),"&lt;="&amp;I37,OFFSET(CÁLCULO!$AA$15,CRONOPLE!$A$10,1,OFFSET(ORÇAMENTO!$D$15,CRONOPLE!$A$10,0),COLUMN(CÁLCULO!$AL$15)-COLUMN(CÁLCULO!$AA$15)-1))/OFFSET(ORÇAMENTO!$X$15,CRONOPLE!$A$10,0))))</f>
        <v>#DIV/0!</v>
      </c>
      <c r="J42" s="406"/>
      <c r="K42" s="406" t="n">
        <f aca="true">IF(OR(ACOMPANHAMENTO&lt;&gt;"PLE",K37&gt;PLE.Medicao),0,
   IF(AUTOEVENTO="Manual",
      IF(AdmLocal="Automática",K40,
         IF(Import.EventoAdmLocal="","",SUMIF(OFFSET($G$14,CRONOPLE!$A$8+1,1,1,OFFSET($AG$12,0,-1)),"&lt;="&amp;K37,OFFSET(EVENTOS!$G$14,CRONOPLE!$A$8+1,1,1,OFFSET($AG$12,0,-1)))/OFFSET(EVENTOS!$G$14,CRONOPLE!$A$8+1,-1))),
      IF(Import.EventoAdmLocal="","",SUMIF(OFFSET(CÁLCULO!$AW$15,CRONOPLE!$A$10,1,OFFSET(ORÇAMENTO!$D$15,CRONOPLE!$A$10,0),COLUMN(CÁLCULO!$BH$15)-COLUMN(CÁLCULO!$AW$15)-1),"&lt;="&amp;K37,OFFSET(CÁLCULO!$AA$15,CRONOPLE!$A$10,1,OFFSET(ORÇAMENTO!$D$15,CRONOPLE!$A$10,0),COLUMN(CÁLCULO!$AL$15)-COLUMN(CÁLCULO!$AA$15)-1))/OFFSET(ORÇAMENTO!$X$15,CRONOPLE!$A$10,0))))</f>
        <v>0</v>
      </c>
      <c r="L42" s="406"/>
      <c r="M42" s="406" t="n">
        <f aca="true">IF(OR(ACOMPANHAMENTO&lt;&gt;"PLE",M37&gt;PLE.Medicao),0,
   IF(AUTOEVENTO="Manual",
      IF(AdmLocal="Automática",M40,
         IF(Import.EventoAdmLocal="","",SUMIF(OFFSET($G$14,CRONOPLE!$A$8+1,1,1,OFFSET($AG$12,0,-1)),"&lt;="&amp;M37,OFFSET(EVENTOS!$G$14,CRONOPLE!$A$8+1,1,1,OFFSET($AG$12,0,-1)))/OFFSET(EVENTOS!$G$14,CRONOPLE!$A$8+1,-1))),
      IF(Import.EventoAdmLocal="","",SUMIF(OFFSET(CÁLCULO!$AW$15,CRONOPLE!$A$10,1,OFFSET(ORÇAMENTO!$D$15,CRONOPLE!$A$10,0),COLUMN(CÁLCULO!$BH$15)-COLUMN(CÁLCULO!$AW$15)-1),"&lt;="&amp;M37,OFFSET(CÁLCULO!$AA$15,CRONOPLE!$A$10,1,OFFSET(ORÇAMENTO!$D$15,CRONOPLE!$A$10,0),COLUMN(CÁLCULO!$AL$15)-COLUMN(CÁLCULO!$AA$15)-1))/OFFSET(ORÇAMENTO!$X$15,CRONOPLE!$A$10,0))))</f>
        <v>0</v>
      </c>
      <c r="N42" s="406"/>
      <c r="O42" s="406" t="n">
        <f aca="true">IF(OR(ACOMPANHAMENTO&lt;&gt;"PLE",O37&gt;PLE.Medicao),0,
   IF(AUTOEVENTO="Manual",
      IF(AdmLocal="Automática",O40,
         IF(Import.EventoAdmLocal="","",SUMIF(OFFSET($G$14,CRONOPLE!$A$8+1,1,1,OFFSET($AG$12,0,-1)),"&lt;="&amp;O37,OFFSET(EVENTOS!$G$14,CRONOPLE!$A$8+1,1,1,OFFSET($AG$12,0,-1)))/OFFSET(EVENTOS!$G$14,CRONOPLE!$A$8+1,-1))),
      IF(Import.EventoAdmLocal="","",SUMIF(OFFSET(CÁLCULO!$AW$15,CRONOPLE!$A$10,1,OFFSET(ORÇAMENTO!$D$15,CRONOPLE!$A$10,0),COLUMN(CÁLCULO!$BH$15)-COLUMN(CÁLCULO!$AW$15)-1),"&lt;="&amp;O37,OFFSET(CÁLCULO!$AA$15,CRONOPLE!$A$10,1,OFFSET(ORÇAMENTO!$D$15,CRONOPLE!$A$10,0),COLUMN(CÁLCULO!$AL$15)-COLUMN(CÁLCULO!$AA$15)-1))/OFFSET(ORÇAMENTO!$X$15,CRONOPLE!$A$10,0))))</f>
        <v>0</v>
      </c>
      <c r="P42" s="406"/>
      <c r="Q42" s="406" t="n">
        <f aca="true">IF(OR(ACOMPANHAMENTO&lt;&gt;"PLE",Q37&gt;PLE.Medicao),0,
   IF(AUTOEVENTO="Manual",
      IF(AdmLocal="Automática",Q40,
         IF(Import.EventoAdmLocal="","",SUMIF(OFFSET($G$14,CRONOPLE!$A$8+1,1,1,OFFSET($AG$12,0,-1)),"&lt;="&amp;Q37,OFFSET(EVENTOS!$G$14,CRONOPLE!$A$8+1,1,1,OFFSET($AG$12,0,-1)))/OFFSET(EVENTOS!$G$14,CRONOPLE!$A$8+1,-1))),
      IF(Import.EventoAdmLocal="","",SUMIF(OFFSET(CÁLCULO!$AW$15,CRONOPLE!$A$10,1,OFFSET(ORÇAMENTO!$D$15,CRONOPLE!$A$10,0),COLUMN(CÁLCULO!$BH$15)-COLUMN(CÁLCULO!$AW$15)-1),"&lt;="&amp;Q37,OFFSET(CÁLCULO!$AA$15,CRONOPLE!$A$10,1,OFFSET(ORÇAMENTO!$D$15,CRONOPLE!$A$10,0),COLUMN(CÁLCULO!$AL$15)-COLUMN(CÁLCULO!$AA$15)-1))/OFFSET(ORÇAMENTO!$X$15,CRONOPLE!$A$10,0))))</f>
        <v>0</v>
      </c>
      <c r="R42" s="406"/>
      <c r="S42" s="406" t="n">
        <f aca="true">IF(OR(ACOMPANHAMENTO&lt;&gt;"PLE",S37&gt;PLE.Medicao),0,
   IF(AUTOEVENTO="Manual",
      IF(AdmLocal="Automática",S40,
         IF(Import.EventoAdmLocal="","",SUMIF(OFFSET($G$14,CRONOPLE!$A$8+1,1,1,OFFSET($AG$12,0,-1)),"&lt;="&amp;S37,OFFSET(EVENTOS!$G$14,CRONOPLE!$A$8+1,1,1,OFFSET($AG$12,0,-1)))/OFFSET(EVENTOS!$G$14,CRONOPLE!$A$8+1,-1))),
      IF(Import.EventoAdmLocal="","",SUMIF(OFFSET(CÁLCULO!$AW$15,CRONOPLE!$A$10,1,OFFSET(ORÇAMENTO!$D$15,CRONOPLE!$A$10,0),COLUMN(CÁLCULO!$BH$15)-COLUMN(CÁLCULO!$AW$15)-1),"&lt;="&amp;S37,OFFSET(CÁLCULO!$AA$15,CRONOPLE!$A$10,1,OFFSET(ORÇAMENTO!$D$15,CRONOPLE!$A$10,0),COLUMN(CÁLCULO!$AL$15)-COLUMN(CÁLCULO!$AA$15)-1))/OFFSET(ORÇAMENTO!$X$15,CRONOPLE!$A$10,0))))</f>
        <v>0</v>
      </c>
      <c r="T42" s="406"/>
      <c r="U42" s="406" t="n">
        <f aca="true">IF(OR(ACOMPANHAMENTO&lt;&gt;"PLE",U37&gt;PLE.Medicao),0,
   IF(AUTOEVENTO="Manual",
      IF(AdmLocal="Automática",U40,
         IF(Import.EventoAdmLocal="","",SUMIF(OFFSET($G$14,CRONOPLE!$A$8+1,1,1,OFFSET($AG$12,0,-1)),"&lt;="&amp;U37,OFFSET(EVENTOS!$G$14,CRONOPLE!$A$8+1,1,1,OFFSET($AG$12,0,-1)))/OFFSET(EVENTOS!$G$14,CRONOPLE!$A$8+1,-1))),
      IF(Import.EventoAdmLocal="","",SUMIF(OFFSET(CÁLCULO!$AW$15,CRONOPLE!$A$10,1,OFFSET(ORÇAMENTO!$D$15,CRONOPLE!$A$10,0),COLUMN(CÁLCULO!$BH$15)-COLUMN(CÁLCULO!$AW$15)-1),"&lt;="&amp;U37,OFFSET(CÁLCULO!$AA$15,CRONOPLE!$A$10,1,OFFSET(ORÇAMENTO!$D$15,CRONOPLE!$A$10,0),COLUMN(CÁLCULO!$AL$15)-COLUMN(CÁLCULO!$AA$15)-1))/OFFSET(ORÇAMENTO!$X$15,CRONOPLE!$A$10,0))))</f>
        <v>0</v>
      </c>
      <c r="V42" s="406"/>
      <c r="W42" s="406" t="n">
        <f aca="true">IF(OR(ACOMPANHAMENTO&lt;&gt;"PLE",W37&gt;PLE.Medicao),0,
   IF(AUTOEVENTO="Manual",
      IF(AdmLocal="Automática",W40,
         IF(Import.EventoAdmLocal="","",SUMIF(OFFSET($G$14,CRONOPLE!$A$8+1,1,1,OFFSET($AG$12,0,-1)),"&lt;="&amp;W37,OFFSET(EVENTOS!$G$14,CRONOPLE!$A$8+1,1,1,OFFSET($AG$12,0,-1)))/OFFSET(EVENTOS!$G$14,CRONOPLE!$A$8+1,-1))),
      IF(Import.EventoAdmLocal="","",SUMIF(OFFSET(CÁLCULO!$AW$15,CRONOPLE!$A$10,1,OFFSET(ORÇAMENTO!$D$15,CRONOPLE!$A$10,0),COLUMN(CÁLCULO!$BH$15)-COLUMN(CÁLCULO!$AW$15)-1),"&lt;="&amp;W37,OFFSET(CÁLCULO!$AA$15,CRONOPLE!$A$10,1,OFFSET(ORÇAMENTO!$D$15,CRONOPLE!$A$10,0),COLUMN(CÁLCULO!$AL$15)-COLUMN(CÁLCULO!$AA$15)-1))/OFFSET(ORÇAMENTO!$X$15,CRONOPLE!$A$10,0))))</f>
        <v>0</v>
      </c>
      <c r="X42" s="406"/>
      <c r="Y42" s="406" t="n">
        <f aca="true">IF(OR(ACOMPANHAMENTO&lt;&gt;"PLE",Y37&gt;PLE.Medicao),0,
   IF(AUTOEVENTO="Manual",
      IF(AdmLocal="Automática",Y40,
         IF(Import.EventoAdmLocal="","",SUMIF(OFFSET($G$14,CRONOPLE!$A$8+1,1,1,OFFSET($AG$12,0,-1)),"&lt;="&amp;Y37,OFFSET(EVENTOS!$G$14,CRONOPLE!$A$8+1,1,1,OFFSET($AG$12,0,-1)))/OFFSET(EVENTOS!$G$14,CRONOPLE!$A$8+1,-1))),
      IF(Import.EventoAdmLocal="","",SUMIF(OFFSET(CÁLCULO!$AW$15,CRONOPLE!$A$10,1,OFFSET(ORÇAMENTO!$D$15,CRONOPLE!$A$10,0),COLUMN(CÁLCULO!$BH$15)-COLUMN(CÁLCULO!$AW$15)-1),"&lt;="&amp;Y37,OFFSET(CÁLCULO!$AA$15,CRONOPLE!$A$10,1,OFFSET(ORÇAMENTO!$D$15,CRONOPLE!$A$10,0),COLUMN(CÁLCULO!$AL$15)-COLUMN(CÁLCULO!$AA$15)-1))/OFFSET(ORÇAMENTO!$X$15,CRONOPLE!$A$10,0))))</f>
        <v>0</v>
      </c>
      <c r="Z42" s="406"/>
      <c r="AA42" s="406" t="n">
        <f aca="true">IF(OR(ACOMPANHAMENTO&lt;&gt;"PLE",AA37&gt;PLE.Medicao),0,
   IF(AUTOEVENTO="Manual",
      IF(AdmLocal="Automática",AA40,
         IF(Import.EventoAdmLocal="","",SUMIF(OFFSET($G$14,CRONOPLE!$A$8+1,1,1,OFFSET($AG$12,0,-1)),"&lt;="&amp;AA37,OFFSET(EVENTOS!$G$14,CRONOPLE!$A$8+1,1,1,OFFSET($AG$12,0,-1)))/OFFSET(EVENTOS!$G$14,CRONOPLE!$A$8+1,-1))),
      IF(Import.EventoAdmLocal="","",SUMIF(OFFSET(CÁLCULO!$AW$15,CRONOPLE!$A$10,1,OFFSET(ORÇAMENTO!$D$15,CRONOPLE!$A$10,0),COLUMN(CÁLCULO!$BH$15)-COLUMN(CÁLCULO!$AW$15)-1),"&lt;="&amp;AA37,OFFSET(CÁLCULO!$AA$15,CRONOPLE!$A$10,1,OFFSET(ORÇAMENTO!$D$15,CRONOPLE!$A$10,0),COLUMN(CÁLCULO!$AL$15)-COLUMN(CÁLCULO!$AA$15)-1))/OFFSET(ORÇAMENTO!$X$15,CRONOPLE!$A$10,0))))</f>
        <v>0</v>
      </c>
      <c r="AB42" s="406"/>
      <c r="AC42" s="406" t="n">
        <f aca="true">IF(OR(ACOMPANHAMENTO&lt;&gt;"PLE",AC37&gt;PLE.Medicao),0,
   IF(AUTOEVENTO="Manual",
      IF(AdmLocal="Automática",AC40,
         IF(Import.EventoAdmLocal="","",SUMIF(OFFSET($G$14,CRONOPLE!$A$8+1,1,1,OFFSET($AG$12,0,-1)),"&lt;="&amp;AC37,OFFSET(EVENTOS!$G$14,CRONOPLE!$A$8+1,1,1,OFFSET($AG$12,0,-1)))/OFFSET(EVENTOS!$G$14,CRONOPLE!$A$8+1,-1))),
      IF(Import.EventoAdmLocal="","",SUMIF(OFFSET(CÁLCULO!$AW$15,CRONOPLE!$A$10,1,OFFSET(ORÇAMENTO!$D$15,CRONOPLE!$A$10,0),COLUMN(CÁLCULO!$BH$15)-COLUMN(CÁLCULO!$AW$15)-1),"&lt;="&amp;AC37,OFFSET(CÁLCULO!$AA$15,CRONOPLE!$A$10,1,OFFSET(ORÇAMENTO!$D$15,CRONOPLE!$A$10,0),COLUMN(CÁLCULO!$AL$15)-COLUMN(CÁLCULO!$AA$15)-1))/OFFSET(ORÇAMENTO!$X$15,CRONOPLE!$A$10,0))))</f>
        <v>0</v>
      </c>
      <c r="AD42" s="406"/>
      <c r="AE42" s="406" t="n">
        <f aca="true">IF(OR(ACOMPANHAMENTO&lt;&gt;"PLE",AE37&gt;PLE.Medicao),0,
   IF(AUTOEVENTO="Manual",
      IF(AdmLocal="Automática",AE40,
         IF(Import.EventoAdmLocal="","",SUMIF(OFFSET($G$14,CRONOPLE!$A$8+1,1,1,OFFSET($AG$12,0,-1)),"&lt;="&amp;AE37,OFFSET(EVENTOS!$G$14,CRONOPLE!$A$8+1,1,1,OFFSET($AG$12,0,-1)))/OFFSET(EVENTOS!$G$14,CRONOPLE!$A$8+1,-1))),
      IF(Import.EventoAdmLocal="","",SUMIF(OFFSET(CÁLCULO!$AW$15,CRONOPLE!$A$10,1,OFFSET(ORÇAMENTO!$D$15,CRONOPLE!$A$10,0),COLUMN(CÁLCULO!$BH$15)-COLUMN(CÁLCULO!$AW$15)-1),"&lt;="&amp;AE37,OFFSET(CÁLCULO!$AA$15,CRONOPLE!$A$10,1,OFFSET(ORÇAMENTO!$D$15,CRONOPLE!$A$10,0),COLUMN(CÁLCULO!$AL$15)-COLUMN(CÁLCULO!$AA$15)-1))/OFFSET(ORÇAMENTO!$X$15,CRONOPLE!$A$10,0))))</f>
        <v>0</v>
      </c>
      <c r="AF42" s="406"/>
    </row>
    <row r="43" customFormat="false" ht="12.75" hidden="false" customHeight="false" outlineLevel="0" collapsed="false">
      <c r="A43" s="48" t="s">
        <v>594</v>
      </c>
      <c r="D43" s="605"/>
      <c r="H43" s="415" t="str">
        <f aca="false">IF(COUNTIF(I43:AG43,"%Adm&gt;%Global")&gt;0,"Verificar proporcionalidade da Administração Local","")</f>
        <v/>
      </c>
      <c r="I43" s="416" t="e">
        <f aca="false">IF(I42="","",IF(ROUND(I42,4)&gt;ROUND(I40,4),"%Adm&gt;%Global",""))</f>
        <v>#DIV/0!</v>
      </c>
      <c r="J43" s="606"/>
      <c r="K43" s="416" t="e">
        <f aca="false">IF(K42="","",IF(ROUND(K42,4)&gt;ROUND(K40,4),"%Adm&gt;%Global",""))</f>
        <v>#DIV/0!</v>
      </c>
      <c r="L43" s="606"/>
      <c r="M43" s="416" t="e">
        <f aca="false">IF(M42="","",IF(ROUND(M42,4)&gt;ROUND(M40,4),"%Adm&gt;%Global",""))</f>
        <v>#DIV/0!</v>
      </c>
      <c r="N43" s="606"/>
      <c r="O43" s="416" t="e">
        <f aca="false">IF(O42="","",IF(ROUND(O42,4)&gt;ROUND(O40,4),"%Adm&gt;%Global",""))</f>
        <v>#DIV/0!</v>
      </c>
      <c r="P43" s="606"/>
      <c r="Q43" s="416" t="e">
        <f aca="false">IF(Q42="","",IF(ROUND(Q42,4)&gt;ROUND(Q40,4),"%Adm&gt;%Global",""))</f>
        <v>#DIV/0!</v>
      </c>
      <c r="R43" s="606"/>
      <c r="S43" s="416" t="e">
        <f aca="false">IF(S42="","",IF(ROUND(S42,4)&gt;ROUND(S40,4),"%Adm&gt;%Global",""))</f>
        <v>#DIV/0!</v>
      </c>
      <c r="T43" s="606"/>
      <c r="U43" s="416" t="e">
        <f aca="false">IF(U42="","",IF(ROUND(U42,4)&gt;ROUND(U40,4),"%Adm&gt;%Global",""))</f>
        <v>#DIV/0!</v>
      </c>
      <c r="V43" s="606"/>
      <c r="W43" s="416" t="e">
        <f aca="false">IF(W42="","",IF(ROUND(W42,4)&gt;ROUND(W40,4),"%Adm&gt;%Global",""))</f>
        <v>#DIV/0!</v>
      </c>
      <c r="X43" s="606"/>
      <c r="Y43" s="416" t="e">
        <f aca="false">IF(Y42="","",IF(ROUND(Y42,4)&gt;ROUND(Y40,4),"%Adm&gt;%Global",""))</f>
        <v>#DIV/0!</v>
      </c>
      <c r="Z43" s="606"/>
      <c r="AA43" s="416" t="e">
        <f aca="false">IF(AA42="","",IF(ROUND(AA42,4)&gt;ROUND(AA40,4),"%Adm&gt;%Global",""))</f>
        <v>#DIV/0!</v>
      </c>
      <c r="AB43" s="606"/>
      <c r="AC43" s="416" t="e">
        <f aca="false">IF(AC42="","",IF(ROUND(AC42,4)&gt;ROUND(AC40,4),"%Adm&gt;%Global",""))</f>
        <v>#DIV/0!</v>
      </c>
      <c r="AD43" s="606"/>
      <c r="AE43" s="416" t="e">
        <f aca="false">IF(AE42="","",IF(ROUND(AE42,4)&gt;ROUND(AE40,4),"%Adm&gt;%Global",""))</f>
        <v>#DIV/0!</v>
      </c>
      <c r="AF43" s="606"/>
    </row>
    <row r="44" customFormat="false" ht="20.25" hidden="false" customHeight="true" outlineLevel="0" collapsed="false">
      <c r="A44" s="48" t="s">
        <v>594</v>
      </c>
      <c r="I44" s="607"/>
      <c r="J44" s="607"/>
    </row>
    <row r="45" customFormat="false" ht="13.8" hidden="false" customHeight="false" outlineLevel="0" collapsed="false">
      <c r="A45" s="48" t="s">
        <v>594</v>
      </c>
      <c r="B45" s="255" t="n">
        <f aca="false">Import.Município</f>
        <v>0</v>
      </c>
      <c r="C45" s="255"/>
      <c r="D45" s="255"/>
      <c r="S45" s="62" t="str">
        <f aca="false">IF(DADOS!$D$50&lt;&gt;"","Preencher os Dados do Responsável pela Fiscalização, na aba DADOS.","")</f>
        <v/>
      </c>
      <c r="U45" s="256"/>
      <c r="V45" s="256"/>
      <c r="W45" s="256"/>
      <c r="X45" s="256"/>
      <c r="Y45" s="46"/>
      <c r="Z45" s="46"/>
      <c r="AA45" s="46"/>
      <c r="AB45" s="46"/>
      <c r="AC45" s="46"/>
      <c r="AD45" s="46"/>
    </row>
    <row r="46" customFormat="false" ht="12.75" hidden="false" customHeight="false" outlineLevel="0" collapsed="false">
      <c r="A46" s="48" t="s">
        <v>594</v>
      </c>
      <c r="B46" s="52" t="s">
        <v>753</v>
      </c>
      <c r="U46" s="257" t="s">
        <v>934</v>
      </c>
    </row>
    <row r="47" customFormat="false" ht="12.75" hidden="false" customHeight="false" outlineLevel="0" collapsed="false">
      <c r="A47" s="48" t="s">
        <v>594</v>
      </c>
      <c r="I47" s="149"/>
      <c r="U47" s="147" t="s">
        <v>295</v>
      </c>
      <c r="W47" s="608" t="n">
        <f aca="false" t="array" ref="W47:W50">Import.RespFiscalização</f>
        <v>0</v>
      </c>
    </row>
    <row r="48" customFormat="false" ht="12.75" hidden="false" customHeight="false" outlineLevel="0" collapsed="false">
      <c r="A48" s="48" t="s">
        <v>594</v>
      </c>
      <c r="B48" s="258" t="n">
        <f aca="false">DADOS!$C$48</f>
        <v>0</v>
      </c>
      <c r="C48" s="258"/>
      <c r="D48" s="258"/>
      <c r="I48" s="149"/>
      <c r="U48" s="147" t="s">
        <v>377</v>
      </c>
      <c r="W48" s="608" t="n">
        <v>0</v>
      </c>
    </row>
    <row r="49" customFormat="false" ht="12.75" hidden="false" customHeight="false" outlineLevel="0" collapsed="false">
      <c r="A49" s="48" t="s">
        <v>594</v>
      </c>
      <c r="B49" s="259" t="s">
        <v>754</v>
      </c>
      <c r="C49" s="32"/>
      <c r="D49" s="32"/>
      <c r="I49" s="149"/>
      <c r="U49" s="147" t="s">
        <v>299</v>
      </c>
      <c r="W49" s="608" t="n">
        <v>0</v>
      </c>
    </row>
    <row r="50" customFormat="false" ht="12.75" hidden="false" customHeight="false" outlineLevel="0" collapsed="false">
      <c r="U50" s="147" t="s">
        <v>303</v>
      </c>
      <c r="W50" s="63" t="n">
        <v>0</v>
      </c>
    </row>
  </sheetData>
  <sheetProtection algorithmName="SHA-512" hashValue="ppdGgSbLVOLqRUnv4YbsrBbPwCFJiwQgsxE9ASi+tJQOdHXsisp9xQHFx4/bWVvwzeMxMpuBGXQJKCAE3d+upA==" saltValue="j9SJ222kdjZqInEZ5FWr6w==" spinCount="100000" sheet="true" objects="true" scenarios="true" autoFilter="false"/>
  <autoFilter ref="A13:A49"/>
  <mergeCells count="124">
    <mergeCell ref="C1:D1"/>
    <mergeCell ref="AD3:AF3"/>
    <mergeCell ref="AD4:AF4"/>
    <mergeCell ref="AE6:AF6"/>
    <mergeCell ref="B7:C7"/>
    <mergeCell ref="H7:N7"/>
    <mergeCell ref="O7:U7"/>
    <mergeCell ref="V7:AD7"/>
    <mergeCell ref="AE7:AF7"/>
    <mergeCell ref="J9:K9"/>
    <mergeCell ref="N9:T9"/>
    <mergeCell ref="Y9:Z9"/>
    <mergeCell ref="AE9:AF9"/>
    <mergeCell ref="C11:D11"/>
    <mergeCell ref="B12:B13"/>
    <mergeCell ref="C12:D13"/>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I35:AF35"/>
    <mergeCell ref="I36:J36"/>
    <mergeCell ref="K36:L36"/>
    <mergeCell ref="M36:N36"/>
    <mergeCell ref="O36:P36"/>
    <mergeCell ref="Q36:R36"/>
    <mergeCell ref="S36:T36"/>
    <mergeCell ref="U36:V36"/>
    <mergeCell ref="W36:X36"/>
    <mergeCell ref="Y36:Z36"/>
    <mergeCell ref="AA36:AB36"/>
    <mergeCell ref="AC36:AD36"/>
    <mergeCell ref="AE36:AF36"/>
    <mergeCell ref="I37:J37"/>
    <mergeCell ref="K37:L37"/>
    <mergeCell ref="M37:N37"/>
    <mergeCell ref="O37:P37"/>
    <mergeCell ref="Q37:R37"/>
    <mergeCell ref="S37:T37"/>
    <mergeCell ref="U37:V37"/>
    <mergeCell ref="W37:X37"/>
    <mergeCell ref="Y37:Z37"/>
    <mergeCell ref="AA37:AB37"/>
    <mergeCell ref="AC37:AD37"/>
    <mergeCell ref="AE37:AF37"/>
    <mergeCell ref="D38:D39"/>
    <mergeCell ref="I38:J38"/>
    <mergeCell ref="K38:L38"/>
    <mergeCell ref="M38:N38"/>
    <mergeCell ref="O38:P38"/>
    <mergeCell ref="Q38:R38"/>
    <mergeCell ref="S38:T38"/>
    <mergeCell ref="U38:V38"/>
    <mergeCell ref="W38:X38"/>
    <mergeCell ref="Y38:Z38"/>
    <mergeCell ref="AA38:AB38"/>
    <mergeCell ref="AC38:AD38"/>
    <mergeCell ref="AE38:AF38"/>
    <mergeCell ref="I39:J39"/>
    <mergeCell ref="K39:L39"/>
    <mergeCell ref="M39:N39"/>
    <mergeCell ref="O39:P39"/>
    <mergeCell ref="Q39:R39"/>
    <mergeCell ref="S39:T39"/>
    <mergeCell ref="U39:V39"/>
    <mergeCell ref="W39:X39"/>
    <mergeCell ref="Y39:Z39"/>
    <mergeCell ref="AA39:AB39"/>
    <mergeCell ref="AC39:AD39"/>
    <mergeCell ref="AE39:AF39"/>
    <mergeCell ref="D40:D41"/>
    <mergeCell ref="I40:J40"/>
    <mergeCell ref="K40:L40"/>
    <mergeCell ref="M40:N40"/>
    <mergeCell ref="O40:P40"/>
    <mergeCell ref="Q40:R40"/>
    <mergeCell ref="S40:T40"/>
    <mergeCell ref="U40:V40"/>
    <mergeCell ref="W40:X40"/>
    <mergeCell ref="Y40:Z40"/>
    <mergeCell ref="AA40:AB40"/>
    <mergeCell ref="AC40:AD40"/>
    <mergeCell ref="AE40:AF40"/>
    <mergeCell ref="I41:J41"/>
    <mergeCell ref="K41:L41"/>
    <mergeCell ref="M41:N41"/>
    <mergeCell ref="O41:P41"/>
    <mergeCell ref="Q41:R41"/>
    <mergeCell ref="S41:T41"/>
    <mergeCell ref="U41:V41"/>
    <mergeCell ref="W41:X41"/>
    <mergeCell ref="Y41:Z41"/>
    <mergeCell ref="AA41:AB41"/>
    <mergeCell ref="AC41:AD41"/>
    <mergeCell ref="AE41:AF41"/>
    <mergeCell ref="I42:J42"/>
    <mergeCell ref="K42:L42"/>
    <mergeCell ref="M42:N42"/>
    <mergeCell ref="O42:P42"/>
    <mergeCell ref="Q42:R42"/>
    <mergeCell ref="S42:T42"/>
    <mergeCell ref="U42:V42"/>
    <mergeCell ref="W42:X42"/>
    <mergeCell ref="Y42:Z42"/>
    <mergeCell ref="AA42:AB42"/>
    <mergeCell ref="AC42:AD42"/>
    <mergeCell ref="AE42:AF42"/>
    <mergeCell ref="I44:J44"/>
    <mergeCell ref="B45:D45"/>
    <mergeCell ref="B48:D48"/>
  </mergeCells>
  <conditionalFormatting sqref="N13">
    <cfRule type="expression" priority="2" aboveAverage="0" equalAverage="0" bottom="0" percent="0" rank="0" text="" dxfId="96">
      <formula>$Y$9=0</formula>
    </cfRule>
  </conditionalFormatting>
  <conditionalFormatting sqref="I42:AF42">
    <cfRule type="expression" priority="3" aboveAverage="0" equalAverage="0" bottom="0" percent="0" rank="0" text="" dxfId="97">
      <formula>ROUND(I42,4)&gt;ROUND(I40,4)</formula>
    </cfRule>
  </conditionalFormatting>
  <conditionalFormatting sqref="K42:AF42">
    <cfRule type="expression" priority="4" aboveAverage="0" equalAverage="0" bottom="0" percent="0" rank="0" text="" dxfId="98">
      <formula>OFFSET(K42,-2,-2)=1</formula>
    </cfRule>
  </conditionalFormatting>
  <conditionalFormatting sqref="K38:AF41">
    <cfRule type="expression" priority="5" aboveAverage="0" equalAverage="0" bottom="0" percent="0" rank="0" text="" dxfId="99">
      <formula>I$40=100%</formula>
    </cfRule>
  </conditionalFormatting>
  <conditionalFormatting sqref="I37:J37">
    <cfRule type="cellIs" priority="6" operator="notEqual" aboveAverage="0" equalAverage="0" bottom="0" percent="0" rank="0" text="" dxfId="100">
      <formula>1</formula>
    </cfRule>
  </conditionalFormatting>
  <conditionalFormatting sqref="F1:F2 F16:F24 F25:F32">
    <cfRule type="expression" priority="7" aboveAverage="0" equalAverage="0" bottom="0" percent="0" rank="0" text="" dxfId="101">
      <formula>IF(OR(ACOMPANHAMENTO="BM",F$12&gt;CÁLCULO.NúmeroDeFrentes),1,PLE.ValorDoEvento=0)</formula>
    </cfRule>
    <cfRule type="cellIs" priority="8" operator="equal" aboveAverage="0" equalAverage="0" bottom="0" percent="0" rank="0" text="" dxfId="102">
      <formula>$J$9</formula>
    </cfRule>
  </conditionalFormatting>
  <conditionalFormatting sqref="I38:AF38">
    <cfRule type="expression" priority="9" aboveAverage="0" equalAverage="0" bottom="0" percent="0" rank="0" text="" dxfId="103">
      <formula>I37=$J$9</formula>
    </cfRule>
  </conditionalFormatting>
  <conditionalFormatting sqref="I39:AF39">
    <cfRule type="expression" priority="10" aboveAverage="0" equalAverage="0" bottom="0" percent="0" rank="0" text="" dxfId="104">
      <formula>I37=$J$9</formula>
    </cfRule>
  </conditionalFormatting>
  <conditionalFormatting sqref="I40:AF40">
    <cfRule type="expression" priority="11" aboveAverage="0" equalAverage="0" bottom="0" percent="0" rank="0" text="" dxfId="105">
      <formula>I37=$J$9</formula>
    </cfRule>
  </conditionalFormatting>
  <conditionalFormatting sqref="I41:AF41">
    <cfRule type="expression" priority="12" aboveAverage="0" equalAverage="0" bottom="0" percent="0" rank="0" text="" dxfId="106">
      <formula>I37=$J$9</formula>
    </cfRule>
  </conditionalFormatting>
  <conditionalFormatting sqref="AE6:AE7">
    <cfRule type="expression" priority="13" aboveAverage="0" equalAverage="0" bottom="0" percent="0" rank="0" text="" dxfId="107">
      <formula>TIPOORCAMENTO&lt;&gt;"Licitado"</formula>
    </cfRule>
  </conditionalFormatting>
  <conditionalFormatting sqref="N9:T9">
    <cfRule type="expression" priority="14" aboveAverage="0" equalAverage="0" bottom="0" percent="0" rank="0" text="" dxfId="108">
      <formula>COLUMN(N9)&gt;COLUMN($AF$12)</formula>
    </cfRule>
    <cfRule type="expression" priority="15" aboveAverage="0" equalAverage="0" bottom="0" percent="0" rank="0" text="" dxfId="109">
      <formula>$N$9="DIGITE A DATA DA MEDIÇÃO"</formula>
    </cfRule>
  </conditionalFormatting>
  <conditionalFormatting sqref="I9:M9 U9:AF9">
    <cfRule type="expression" priority="16" aboveAverage="0" equalAverage="0" bottom="0" percent="0" rank="0" text="" dxfId="110">
      <formula>COLUMN(I9)&gt;COLUMN($AF$12)</formula>
    </cfRule>
  </conditionalFormatting>
  <conditionalFormatting sqref="H1:AF1 H16:AF24 H25:AF32">
    <cfRule type="expression" priority="17" aboveAverage="0" equalAverage="0" bottom="0" percent="0" rank="0" text="" dxfId="111">
      <formula>IF(OR(ACOMPANHAMENTO="BM",TIPOORCAMENTO="Proposto",H$12&gt;CÁLCULO.NúmeroDeFrentes),1,PLE.ValorDoEvento=0)</formula>
    </cfRule>
    <cfRule type="cellIs" priority="18" operator="equal" aboveAverage="0" equalAverage="0" bottom="0" percent="0" rank="0" text="" dxfId="112">
      <formula>$J$9</formula>
    </cfRule>
  </conditionalFormatting>
  <conditionalFormatting sqref="J43 L43 N43 P43 R43 T43 V43 X43 Z43 AB43 AD43 AF43">
    <cfRule type="expression" priority="19" aboveAverage="0" equalAverage="0" bottom="0" percent="0" rank="0" text="" dxfId="113">
      <formula>J38=$J$9</formula>
    </cfRule>
  </conditionalFormatting>
  <dataValidations count="3">
    <dataValidation allowBlank="true" errorStyle="stop" operator="greaterThan" showDropDown="false" showErrorMessage="true" showInputMessage="false" sqref="F1:F4 I3:AC4 J9:K9 F16:F32" type="whole">
      <formula1>0</formula1>
      <formula2>0</formula2>
    </dataValidation>
    <dataValidation allowBlank="true" errorStyle="stop" operator="between" prompt="Digite a data de medição abaixo dos eventos." showDropDown="false" showErrorMessage="true" showInputMessage="true" sqref="N9:T9" type="none">
      <formula1>0</formula1>
      <formula2>0</formula2>
    </dataValidation>
    <dataValidation allowBlank="true" error="Preencha somente com o número da medição atual." errorStyle="stop" errorTitle="Errp de entrada" operator="equal" showDropDown="false" showErrorMessage="true" showInputMessage="false" sqref="H1:AF1 H16:AF32" type="whole">
      <formula1>PLE.Medicao</formula1>
      <formula2>0</formula2>
    </dataValidation>
  </dataValidations>
  <printOptions headings="false" gridLines="false" gridLinesSet="true" horizontalCentered="true" verticalCentered="false"/>
  <pageMargins left="0.7875" right="0.7875" top="0.786805555555556" bottom="0.786805555555556" header="0.590277777777778" footer="0.590277777777778"/>
  <pageSetup paperSize="9" scale="69" fitToWidth="1" fitToHeight="1" pageOrder="downThenOver" orientation="landscape" blackAndWhite="false" draft="false" cellComments="none" horizontalDpi="300" verticalDpi="300" copies="1"/>
  <headerFooter differentFirst="false" differentOddEven="false">
    <oddHeader>&amp;C&amp;14I</oddHeader>
    <oddFooter>&amp;LPMv3.16&amp;R&amp;P / &amp;N</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O36"/>
  <sheetViews>
    <sheetView showFormulas="false" showGridLines="false" showRowColHeaders="true" showZeros="true" rightToLeft="false" tabSelected="false" showOutlineSymbols="true" defaultGridColor="true" view="normal" topLeftCell="A1" colorId="64" zoomScale="100" zoomScaleNormal="100" zoomScalePageLayoutView="90" workbookViewId="0">
      <pane xSplit="7" ySplit="15" topLeftCell="H16" activePane="bottomRight" state="frozen"/>
      <selection pane="topLeft" activeCell="A1" activeCellId="0" sqref="A1"/>
      <selection pane="topRight" activeCell="H1" activeCellId="0" sqref="H1"/>
      <selection pane="bottomLeft" activeCell="A16" activeCellId="0" sqref="A16"/>
      <selection pane="bottomRight" activeCell="A1" activeCellId="0" sqref="A1"/>
    </sheetView>
  </sheetViews>
  <sheetFormatPr defaultColWidth="8.6796875" defaultRowHeight="12.75" customHeight="false" zeroHeight="false" outlineLevelRow="0" outlineLevelCol="0"/>
  <cols>
    <col collapsed="false" customWidth="true" hidden="true" outlineLevel="0" max="2" min="1" style="0" width="6.57"/>
    <col collapsed="false" customWidth="true" hidden="false" outlineLevel="0" max="3" min="3" style="0" width="3.57"/>
    <col collapsed="false" customWidth="true" hidden="false" outlineLevel="0" max="4" min="4" style="0" width="10.57"/>
    <col collapsed="false" customWidth="true" hidden="false" outlineLevel="0" max="5" min="5" style="0" width="65.57"/>
    <col collapsed="false" customWidth="true" hidden="false" outlineLevel="0" max="6" min="6" style="0" width="7.57"/>
    <col collapsed="false" customWidth="true" hidden="false" outlineLevel="0" max="7" min="7" style="0" width="11.57"/>
    <col collapsed="false" customWidth="true" hidden="false" outlineLevel="0" max="8" min="8" style="0" width="14.57"/>
    <col collapsed="false" customWidth="true" hidden="false" outlineLevel="0" max="9" min="9" style="0" width="18.57"/>
    <col collapsed="false" customWidth="true" hidden="false" outlineLevel="0" max="12" min="10" style="0" width="11.57"/>
    <col collapsed="false" customWidth="true" hidden="false" outlineLevel="0" max="15" min="13" style="0" width="18.57"/>
    <col collapsed="false" customWidth="true" hidden="true" outlineLevel="0" max="18" min="17" style="0" width="11.57"/>
    <col collapsed="false" customWidth="true" hidden="true" outlineLevel="0" max="19" min="19" style="0" width="9.14"/>
    <col collapsed="false" customWidth="true" hidden="true" outlineLevel="0" max="20" min="20" style="0" width="10.57"/>
    <col collapsed="false" customWidth="true" hidden="true" outlineLevel="0" max="21" min="21" style="0" width="65.57"/>
    <col collapsed="false" customWidth="true" hidden="true" outlineLevel="0" max="22" min="22" style="0" width="7.57"/>
    <col collapsed="false" customWidth="true" hidden="true" outlineLevel="0" max="23" min="23" style="0" width="11.57"/>
    <col collapsed="false" customWidth="true" hidden="true" outlineLevel="0" max="24" min="24" style="0" width="14.57"/>
    <col collapsed="false" customWidth="true" hidden="true" outlineLevel="0" max="25" min="25" style="0" width="18.57"/>
    <col collapsed="false" customWidth="true" hidden="true" outlineLevel="0" max="26" min="26" style="0" width="25.57"/>
    <col collapsed="false" customWidth="true" hidden="true" outlineLevel="0" max="27" min="27" style="0" width="9.14"/>
    <col collapsed="false" customWidth="true" hidden="false" outlineLevel="0" max="39" min="28" style="0" width="11.57"/>
    <col collapsed="false" customWidth="true" hidden="false" outlineLevel="0" max="40" min="40" style="0" width="10.42"/>
    <col collapsed="false" customWidth="true" hidden="true" outlineLevel="0" max="41" min="41" style="0" width="9.14"/>
  </cols>
  <sheetData>
    <row r="1" customFormat="false" ht="15" hidden="false" customHeight="false" outlineLevel="0" collapsed="false">
      <c r="E1" s="609" t="str">
        <f aca="false">IF(CAIXA.Modo,"BA - Boletim de Aferição","BM - Boletim de Medição")</f>
        <v>BM - Boletim de Medição</v>
      </c>
      <c r="G1" s="610"/>
      <c r="J1" s="610"/>
      <c r="K1" s="610"/>
      <c r="L1" s="610"/>
      <c r="M1" s="610"/>
      <c r="N1" s="610"/>
      <c r="O1" s="97" t="s">
        <v>702</v>
      </c>
    </row>
    <row r="2" customFormat="false" ht="15" hidden="false" customHeight="false" outlineLevel="0" collapsed="false">
      <c r="A2" s="31" t="s">
        <v>935</v>
      </c>
      <c r="B2" s="33"/>
      <c r="E2" s="611" t="str">
        <f aca="true" t="array" ref="E2:E2">IF(Import.RegimeExecução="(SELECIONAR)","Selecione o Regime de Execução na Aba Dados",Import.RegimeExecução&amp;" - "&amp;import.recurso)</f>
        <v>Selecione o Regime de Execução na Aba Dados</v>
      </c>
      <c r="O2" s="58" t="s">
        <v>705</v>
      </c>
    </row>
    <row r="3" customFormat="false" ht="12.75" hidden="false" customHeight="false" outlineLevel="0" collapsed="false">
      <c r="A3" s="612" t="b">
        <f aca="false">FALSE()</f>
        <v>0</v>
      </c>
      <c r="B3" s="612"/>
      <c r="E3" s="15"/>
    </row>
    <row r="4" customFormat="false" ht="12.75" hidden="false" customHeight="false" outlineLevel="0" collapsed="false">
      <c r="D4" s="100" t="s">
        <v>710</v>
      </c>
      <c r="E4" s="100"/>
      <c r="F4" s="171" t="s">
        <v>708</v>
      </c>
      <c r="G4" s="171"/>
      <c r="H4" s="171"/>
      <c r="I4" s="311" t="s">
        <v>772</v>
      </c>
      <c r="J4" s="100" t="s">
        <v>773</v>
      </c>
      <c r="K4" s="100"/>
      <c r="L4" s="100"/>
      <c r="M4" s="100"/>
      <c r="N4" s="100"/>
      <c r="O4" s="313" t="s">
        <v>936</v>
      </c>
    </row>
    <row r="5" customFormat="false" ht="12.75" hidden="false" customHeight="true" outlineLevel="0" collapsed="false">
      <c r="A5" s="0" t="s">
        <v>937</v>
      </c>
      <c r="D5" s="101" t="n">
        <f aca="false">Import.Proponente</f>
        <v>0</v>
      </c>
      <c r="E5" s="101"/>
      <c r="F5" s="180" t="n">
        <f aca="false">Import.CR</f>
        <v>0</v>
      </c>
      <c r="G5" s="180"/>
      <c r="H5" s="180"/>
      <c r="I5" s="613" t="n">
        <f aca="false">Import.TransfereGOV</f>
        <v>0</v>
      </c>
      <c r="J5" s="101" t="str">
        <f aca="false">Import.Apelido</f>
        <v>REVITALIZAÇÃO DIVERSAS RUAS</v>
      </c>
      <c r="K5" s="101"/>
      <c r="L5" s="101"/>
      <c r="M5" s="101"/>
      <c r="N5" s="101"/>
      <c r="O5" s="614" t="n">
        <f aca="false">Import.DataInicioObra</f>
        <v>0</v>
      </c>
      <c r="AO5" s="158" t="s">
        <v>938</v>
      </c>
    </row>
    <row r="6" customFormat="false" ht="4.5" hidden="false" customHeight="true" outlineLevel="0" collapsed="false">
      <c r="D6" s="166"/>
      <c r="E6" s="167"/>
      <c r="F6" s="166"/>
      <c r="G6" s="166"/>
      <c r="H6" s="166"/>
      <c r="I6" s="166"/>
      <c r="J6" s="166"/>
      <c r="K6" s="166"/>
      <c r="L6" s="166"/>
      <c r="M6" s="166"/>
      <c r="N6" s="166"/>
      <c r="O6" s="166"/>
      <c r="AO6" s="615"/>
    </row>
    <row r="7" customFormat="false" ht="12.75" hidden="false" customHeight="true" outlineLevel="0" collapsed="false">
      <c r="A7" s="0" t="str">
        <f aca="true" t="array" ref="A7:A7">RegimeExecucao</f>
        <v>Unitário</v>
      </c>
      <c r="D7" s="160" t="s">
        <v>939</v>
      </c>
      <c r="E7" s="160" t="s">
        <v>940</v>
      </c>
      <c r="F7" s="100" t="s">
        <v>941</v>
      </c>
      <c r="G7" s="100"/>
      <c r="H7" s="100"/>
      <c r="I7" s="100" t="str">
        <f aca="false" t="array" ref="I7:I7">IF(TIPOORCAMENTO="Licitado","REGIME DE EXECUÇÃO","MUNICÍPIO / UF")</f>
        <v>MUNICÍPIO / UF</v>
      </c>
      <c r="J7" s="100"/>
      <c r="K7" s="100"/>
      <c r="L7" s="100"/>
      <c r="M7" s="100" t="s">
        <v>942</v>
      </c>
      <c r="N7" s="100"/>
      <c r="O7" s="160" t="s">
        <v>943</v>
      </c>
      <c r="AO7" s="520" t="n">
        <f aca="true" t="array" ref="AO7:AO7">BM.MEDAcumulado</f>
        <v>0</v>
      </c>
    </row>
    <row r="8" customFormat="false" ht="12.75" hidden="false" customHeight="true" outlineLevel="0" collapsed="false">
      <c r="A8" s="31" t="s">
        <v>944</v>
      </c>
      <c r="B8" s="33"/>
      <c r="C8" s="102" t="s">
        <v>713</v>
      </c>
      <c r="D8" s="616" t="n">
        <f aca="false">Import.CTEF</f>
        <v>0</v>
      </c>
      <c r="E8" s="101" t="n">
        <f aca="false">Import.empresa</f>
        <v>0</v>
      </c>
      <c r="F8" s="101" t="n">
        <f aca="false">Import.CNPJ</f>
        <v>0</v>
      </c>
      <c r="G8" s="101"/>
      <c r="H8" s="101"/>
      <c r="I8" s="101" t="n">
        <f aca="true">IF(TIPOORCAMENTO="Licitado",Import.RegimeExecução,Import.Município)</f>
        <v>0</v>
      </c>
      <c r="J8" s="101"/>
      <c r="K8" s="101"/>
      <c r="L8" s="101"/>
      <c r="M8" s="101" t="str">
        <f aca="true" t="array" ref="M8:M8">TEXT(IF(BM.medicao=1,Import.DataInicioObra,OFFSET($AB$12,0,BM.medicao-1-$AB$13)+1),"dd/mm/aaaa")&amp;" a "&amp;TEXT(OFFSET($AB$12,0,BM.medicao-$AB$13),"dd/mm/aaaa")</f>
        <v>30/12/1899 a 30/12/1899</v>
      </c>
      <c r="N8" s="101"/>
      <c r="O8" s="617" t="n">
        <v>1</v>
      </c>
    </row>
    <row r="9" customFormat="false" ht="12.75" hidden="false" customHeight="true" outlineLevel="0" collapsed="false">
      <c r="A9" s="618" t="b">
        <f aca="false">TRUE()</f>
        <v>1</v>
      </c>
      <c r="B9" s="8"/>
      <c r="C9" s="102"/>
    </row>
    <row r="10" customFormat="false" ht="12.75" hidden="false" customHeight="true" outlineLevel="0" collapsed="false">
      <c r="A10" s="31" t="s">
        <v>945</v>
      </c>
      <c r="B10" s="33"/>
      <c r="C10" s="102"/>
      <c r="E10" s="619"/>
      <c r="F10" s="620" t="str">
        <f aca="true" t="array" ref="F10: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IF($J$31&lt;&gt;"",UPPER($J$31),
 "")))))))</f>
        <v>Foi selecionado na aba 'MENU' o acompanhamento por PLE.</v>
      </c>
      <c r="G10" s="620"/>
      <c r="H10" s="620"/>
      <c r="I10" s="620"/>
      <c r="O10" s="621" t="str">
        <f aca="false">"Realizado Acumulado: "&amp;TEXT(P10,"0,00%")</f>
        <v>Realizado Acumulado: 0,00%</v>
      </c>
      <c r="P10" s="622" t="n">
        <f aca="false">ROUND($O$15/($I$15+10^-12),4)</f>
        <v>0</v>
      </c>
      <c r="AB10" s="108" t="str">
        <f aca="false">IF(INDEX($AB$12:$AN$12,MATCH($O$8,$AB$13:$AN$13,0))=0,"Preencher a data da medição "&amp;$O$8,"")</f>
        <v>Preencher a data da medição 1</v>
      </c>
    </row>
    <row r="11" customFormat="false" ht="15" hidden="false" customHeight="true" outlineLevel="0" collapsed="false">
      <c r="A11" s="623" t="e">
        <f aca="true">OFFSET(CRONO!$F$13,CRONO!$F$79,0)</f>
        <v>#VALUE!</v>
      </c>
      <c r="B11" s="2"/>
      <c r="C11" s="102"/>
      <c r="E11" s="619"/>
      <c r="F11" s="620"/>
      <c r="G11" s="620"/>
      <c r="H11" s="620"/>
      <c r="I11" s="620"/>
      <c r="N11" s="624"/>
      <c r="O11" s="621" t="str">
        <f aca="false">IF(ISERROR(P11),"","Administração Local Acumulada: "&amp;TEXT(P11,"0,00%"))</f>
        <v/>
      </c>
      <c r="P11" s="622" t="e">
        <f aca="true">OFFSET($O$15,$A$11,0)/OFFSET($I$15,$A$11,0)</f>
        <v>#VALUE!</v>
      </c>
      <c r="T11" s="625" t="s">
        <v>946</v>
      </c>
      <c r="U11" s="625"/>
      <c r="Z11" s="8"/>
      <c r="AB11" s="593" t="s">
        <v>947</v>
      </c>
      <c r="AC11" s="593"/>
      <c r="AD11" s="593"/>
      <c r="AE11" s="593"/>
      <c r="AF11" s="593"/>
      <c r="AG11" s="593"/>
      <c r="AH11" s="593"/>
      <c r="AI11" s="593"/>
      <c r="AJ11" s="593"/>
      <c r="AK11" s="593"/>
      <c r="AL11" s="593"/>
      <c r="AM11" s="593"/>
    </row>
    <row r="12" customFormat="false" ht="15" hidden="false" customHeight="true" outlineLevel="0" collapsed="false">
      <c r="C12" s="102"/>
      <c r="E12" s="60" t="s">
        <v>948</v>
      </c>
      <c r="J12" s="58" t="str">
        <f aca="true" t="array" ref="J12:J12">"Evolução Física "&amp;CHOOSE(MATCH(RegimeExecucao,{"Unitário","Global"},0),"(Qtde.)","(%)")</f>
        <v>Evolução Física (Qtde.)</v>
      </c>
      <c r="K12" s="58"/>
      <c r="L12" s="58"/>
      <c r="M12" s="58" t="s">
        <v>949</v>
      </c>
      <c r="N12" s="58"/>
      <c r="O12" s="58"/>
      <c r="Q12" s="58" t="str">
        <f aca="true" t="array" ref="Q12:Q12">"Aferido (CAIXA) "&amp;CHOOSE(MATCH(RegimeExecucao,{"Unitário","Global"},0),"(Qtde.)","(%)")</f>
        <v>Aferido (CAIXA) (Qtde.)</v>
      </c>
      <c r="R12" s="58"/>
      <c r="T12" s="626" t="s">
        <v>950</v>
      </c>
      <c r="U12" s="46"/>
      <c r="V12" s="46"/>
      <c r="W12" s="46"/>
      <c r="X12" s="46"/>
      <c r="Y12" s="46"/>
      <c r="Z12" s="2"/>
      <c r="AB12" s="627"/>
      <c r="AC12" s="628"/>
      <c r="AD12" s="628"/>
      <c r="AE12" s="628"/>
      <c r="AF12" s="628"/>
      <c r="AG12" s="628"/>
      <c r="AH12" s="628"/>
      <c r="AI12" s="628"/>
      <c r="AJ12" s="628"/>
      <c r="AK12" s="628"/>
      <c r="AL12" s="628"/>
      <c r="AM12" s="629"/>
    </row>
    <row r="13" customFormat="false" ht="45" hidden="false" customHeight="true" outlineLevel="0" collapsed="false">
      <c r="A13" s="193" t="s">
        <v>796</v>
      </c>
      <c r="B13" s="193" t="s">
        <v>795</v>
      </c>
      <c r="C13" s="109" t="s">
        <v>718</v>
      </c>
      <c r="D13" s="201" t="s">
        <v>805</v>
      </c>
      <c r="E13" s="201" t="s">
        <v>161</v>
      </c>
      <c r="F13" s="630" t="s">
        <v>808</v>
      </c>
      <c r="G13" s="201" t="s">
        <v>779</v>
      </c>
      <c r="H13" s="201" t="s">
        <v>809</v>
      </c>
      <c r="I13" s="201" t="s">
        <v>810</v>
      </c>
      <c r="J13" s="201" t="s">
        <v>951</v>
      </c>
      <c r="K13" s="201" t="s">
        <v>952</v>
      </c>
      <c r="L13" s="201" t="s">
        <v>953</v>
      </c>
      <c r="M13" s="201" t="s">
        <v>951</v>
      </c>
      <c r="N13" s="201" t="s">
        <v>952</v>
      </c>
      <c r="O13" s="201" t="s">
        <v>953</v>
      </c>
      <c r="Q13" s="201" t="s">
        <v>951</v>
      </c>
      <c r="R13" s="201" t="s">
        <v>953</v>
      </c>
      <c r="T13" s="201" t="s">
        <v>805</v>
      </c>
      <c r="U13" s="201" t="s">
        <v>161</v>
      </c>
      <c r="V13" s="630" t="str">
        <f aca="true" t="array" ref="V13:V13">IF(RegimeExecucao="Unitário","Unidade","")</f>
        <v>Unidade</v>
      </c>
      <c r="W13" s="201" t="str">
        <f aca="true" t="array" ref="W13:W13">CHOOSE(MATCH(RegimeExecucao,{"Unitário","Global"},0),"Quant. Glosada (unid)","Percentual Glosado (%)")</f>
        <v>Quant. Glosada (unid)</v>
      </c>
      <c r="X13" s="201" t="str">
        <f aca="true" t="array" ref="X13:X13">CHOOSE(MATCH(RegimeExecucao,{"Unitário","Global"},0),"Preço Unitário (R$)","Valor Total do Item (R$)")</f>
        <v>Preço Unitário (R$)</v>
      </c>
      <c r="Y13" s="201" t="s">
        <v>954</v>
      </c>
      <c r="Z13" s="201" t="s">
        <v>955</v>
      </c>
      <c r="AA13" s="198"/>
      <c r="AB13" s="631" t="n">
        <f aca="true" t="array" ref="AB13:AB13">IF(BM.medicao&lt;=12,1,TRUNC((BM.medicao - 2)/11,0) * 11 + 1)</f>
        <v>1</v>
      </c>
      <c r="AC13" s="631" t="n">
        <f aca="true">OFFSET(AC13,0,-1)+1</f>
        <v>2</v>
      </c>
      <c r="AD13" s="631" t="n">
        <f aca="true">OFFSET(AD13,0,-1)+1</f>
        <v>3</v>
      </c>
      <c r="AE13" s="631" t="n">
        <f aca="true">OFFSET(AE13,0,-1)+1</f>
        <v>4</v>
      </c>
      <c r="AF13" s="631" t="n">
        <f aca="true">OFFSET(AF13,0,-1)+1</f>
        <v>5</v>
      </c>
      <c r="AG13" s="631" t="n">
        <f aca="true">OFFSET(AG13,0,-1)+1</f>
        <v>6</v>
      </c>
      <c r="AH13" s="631" t="n">
        <f aca="true">OFFSET(AH13,0,-1)+1</f>
        <v>7</v>
      </c>
      <c r="AI13" s="631" t="n">
        <f aca="true">OFFSET(AI13,0,-1)+1</f>
        <v>8</v>
      </c>
      <c r="AJ13" s="631" t="n">
        <f aca="true">OFFSET(AJ13,0,-1)+1</f>
        <v>9</v>
      </c>
      <c r="AK13" s="631" t="n">
        <f aca="true">OFFSET(AK13,0,-1)+1</f>
        <v>10</v>
      </c>
      <c r="AL13" s="631" t="n">
        <f aca="true">OFFSET(AL13,0,-1)+1</f>
        <v>11</v>
      </c>
      <c r="AM13" s="631" t="n">
        <f aca="true">OFFSET(AM13,0,-1)+1</f>
        <v>12</v>
      </c>
      <c r="AO13" s="193" t="s">
        <v>956</v>
      </c>
    </row>
    <row r="14" customFormat="false" ht="12.75" hidden="true" customHeight="false" outlineLevel="0" collapsed="false">
      <c r="A14" s="0" t="str">
        <f aca="false">ORÇAMENTO!C14</f>
        <v>S</v>
      </c>
      <c r="B14" s="0" t="n">
        <f aca="false">ORÇAMENTO!D14</f>
        <v>0</v>
      </c>
      <c r="C14" s="203" t="str">
        <f aca="false">IF(OR($I14&gt;0,$A14=1,$A14=2,$A14=3,$A14=4),"F","")</f>
        <v/>
      </c>
      <c r="D14" s="206" t="str">
        <f aca="false">ORÇAMENTO!O14</f>
        <v>-</v>
      </c>
      <c r="E14" s="339" t="str">
        <f aca="false">ORÇAMENTO.Descricao</f>
        <v>(Sem Código)</v>
      </c>
      <c r="F14" s="340" t="str">
        <f aca="true" t="array" ref="F14:F14">IF(RegimeExecucao="Global","",ORÇAMENTO.Unidade)</f>
        <v>-</v>
      </c>
      <c r="G14" s="211" t="n">
        <f aca="true" t="array" ref="G14:G14">IF(RegimeExecucao="Global","",ORÇAMENTO!T14)</f>
        <v>0</v>
      </c>
      <c r="H14" s="211" t="n">
        <f aca="true" t="array" ref="H14:H14">IF(RegimeExecucao="Global","",ORÇAMENTO!W14)</f>
        <v>0</v>
      </c>
      <c r="I14" s="214" t="n">
        <f aca="false">ORÇAMENTO!X14</f>
        <v>0</v>
      </c>
      <c r="J14" s="632" t="n">
        <f aca="true" t="array" ref="J14:J14">IF($A14="S",IF(CAIXA.Modo,BM.AFAnterior,BM.MEDAnterior),IF(AND(RegimeExecucao="Global",$I14&gt;0,COUNTIF($AB$13:$AM$13,BM.medicao-1)&gt;0),M14/$I14*100,0))</f>
        <v>0</v>
      </c>
      <c r="K14" s="211" t="n">
        <f aca="false">L14-J14</f>
        <v>0</v>
      </c>
      <c r="L14" s="633" t="n">
        <f aca="true" t="array" ref="L14:L14">IF($A14="S",IF(CAIXA.Modo,BM.AFAcumulado,BM.MEDAcumulado),IF(AND(RegimeExecucao="Global",$I14&gt;0,COUNTIF($AB$13:$AM$13,BM.medicao)&gt;0),O14/$I14*100,0))</f>
        <v>0</v>
      </c>
      <c r="M14" s="634" t="n">
        <f aca="true" t="array" ref="M14:M14">IF($A14="S",VTOTALBM,IF($A14=0,0,ROUND(SomaAgrupBM,15-13*ORÇAMENTO!$AF$11)))</f>
        <v>0</v>
      </c>
      <c r="N14" s="223" t="n">
        <f aca="false">O14-M14</f>
        <v>0</v>
      </c>
      <c r="O14" s="214" t="n">
        <f aca="true" t="array" ref="O14:O14">IF($A14="S",VTOTALBM,IF($A14=0,0,ROUND(SomaAgrupBM,15-13*ORÇAMENTO!$AF$11)))</f>
        <v>0</v>
      </c>
      <c r="Q14" s="635"/>
      <c r="R14" s="636"/>
      <c r="T14" s="206" t="str">
        <f aca="false">IF($W14&gt;0,$D14,"")</f>
        <v/>
      </c>
      <c r="U14" s="339" t="str">
        <f aca="false">IF($W14&gt;0,$E14,"")</f>
        <v/>
      </c>
      <c r="V14" s="340" t="str">
        <f aca="true" t="array" ref="V14:V14">IF(AND($W14&gt;0,RegimeExecucao="Unitário"),$F14,"")</f>
        <v/>
      </c>
      <c r="W14" s="637" t="n">
        <f aca="true" t="array" ref="W14:W14">IF($Y14&gt;0,CHOOSE(MATCH(RegimeExecucao,{"Unitário","Global"},0),IF($A14="S",$Y14/$X14,""),($Y14/$X14)*100),0)</f>
        <v>0</v>
      </c>
      <c r="X14" s="638" t="str">
        <f aca="true" t="array" ref="X14:X14">IF($Y14&gt;0,CHOOSE(MATCH(RegimeExecucao,{"Unitário","Global"},0),IF($A14="S",ROUND($H14,ORÇAMENTO!$AF$10),""),ROUND($I14,ORÇAMENTO!$AF$11)),"")</f>
        <v/>
      </c>
      <c r="Y14" s="638" t="n">
        <f aca="false">AO14-O14</f>
        <v>0</v>
      </c>
      <c r="Z14" s="639"/>
      <c r="AB14" s="635"/>
      <c r="AC14" s="640"/>
      <c r="AD14" s="640"/>
      <c r="AE14" s="640"/>
      <c r="AF14" s="640"/>
      <c r="AG14" s="640"/>
      <c r="AH14" s="640"/>
      <c r="AI14" s="640"/>
      <c r="AJ14" s="640"/>
      <c r="AK14" s="640"/>
      <c r="AL14" s="640"/>
      <c r="AM14" s="636"/>
      <c r="AO14" s="0" t="n">
        <f aca="true" t="array" ref="AO14:AO14">IF($A14="S",IF(BM!$I14=0,0,CHOOSE(MATCH(RegimeExecucao,{"Global","Unitário"},0),ROUND(ROUND(BM.MEDAcumulado,15-13*BM!$A$9)/100*BM!$I14,15-13*ORÇAMENTO!$AF$11),ROUND(ROUND(BM.MEDAcumulado,15-13*BM!$A$9)*ROUND(BM!$H14,15-13*ORÇAMENTO!$AF$10),15-13*ORÇAMENTO!$AF$11))),IF($A14=0,0,ROUND(SomaAgrupBM,15-13*ORÇAMENTO!$AF$11)))</f>
        <v>0</v>
      </c>
    </row>
    <row r="15" customFormat="false" ht="12.75" hidden="false" customHeight="false" outlineLevel="0" collapsed="false">
      <c r="C15" s="203" t="s">
        <v>594</v>
      </c>
      <c r="D15" s="641" t="str">
        <f aca="false">"Objeto do CTEF: "&amp;Import.DescLote</f>
        <v>Objeto do CTEF: REVITALIZAÇÃO DIVERSAS RUAS</v>
      </c>
      <c r="E15" s="641"/>
      <c r="F15" s="642"/>
      <c r="G15" s="643"/>
      <c r="H15" s="643" t="s">
        <v>957</v>
      </c>
      <c r="I15" s="644" t="n">
        <f aca="false" t="array" ref="I15:I15">IF(OR(ACOMPANHAMENTO="PLE",TIPOORCAMENTO="Proposto"),0,ORÇAMENTO!$X$15)</f>
        <v>0</v>
      </c>
      <c r="J15" s="645" t="n">
        <f aca="true" t="array" ref="J15:J15">IF(M$15=0,0,IF(RegimeExecucao="Global",M$15/$I$15*100,0))</f>
        <v>0</v>
      </c>
      <c r="K15" s="645" t="n">
        <f aca="false">L15-J15</f>
        <v>0</v>
      </c>
      <c r="L15" s="645" t="n">
        <f aca="true" t="array" ref="L15:L15">IF(O$15=0,0,IF(RegimeExecucao="Global",O$15/$I$15*100,0))</f>
        <v>0</v>
      </c>
      <c r="M15" s="646" t="n">
        <f aca="true" t="array" ref="M15:M15">IF(OR(ACOMPANHAMENTO="PLE",TIPOORCAMENTO="Proposto"),0,SUMIF(OFFSET($A15,1,0):$A$21,"S",OFFSET(M15,1,0):M$21))</f>
        <v>0</v>
      </c>
      <c r="N15" s="646" t="n">
        <f aca="false">O15-M15</f>
        <v>0</v>
      </c>
      <c r="O15" s="646" t="n">
        <f aca="true" t="array" ref="O15:O15">IF(OR(ACOMPANHAMENTO="PLE",TIPOORCAMENTO="Proposto"),0,SUMIF(OFFSET($A15,1,0):$A$21,"S",OFFSET(O15,1,0):O$21))</f>
        <v>0</v>
      </c>
      <c r="Q15" s="647"/>
      <c r="R15" s="647"/>
      <c r="T15" s="648"/>
      <c r="U15" s="649"/>
      <c r="V15" s="649"/>
      <c r="W15" s="649"/>
      <c r="X15" s="649"/>
      <c r="Y15" s="649"/>
      <c r="Z15" s="650"/>
      <c r="AB15" s="651" t="str">
        <f aca="true" t="array" ref="AB15:AB15">"Preencher abaixo com a "&amp;CHOOSE(MATCH(RegimeExecucao,{"Unitário","Global"},0),"QUANTIDADE","PORCENTAGEM")&amp;" executada no PERÍODO"</f>
        <v>Preencher abaixo com a QUANTIDADE executada no PERÍODO</v>
      </c>
      <c r="AC15" s="651"/>
      <c r="AD15" s="651"/>
      <c r="AE15" s="651"/>
      <c r="AF15" s="651"/>
      <c r="AG15" s="651"/>
      <c r="AH15" s="651"/>
      <c r="AI15" s="651"/>
      <c r="AJ15" s="651"/>
      <c r="AK15" s="651"/>
      <c r="AL15" s="651"/>
      <c r="AM15" s="651"/>
    </row>
    <row r="16" customFormat="false" ht="12.75" hidden="false" customHeight="false" outlineLevel="0" collapsed="false">
      <c r="A16" s="0" t="n">
        <f aca="false">ORÇAMENTO!C16</f>
        <v>1</v>
      </c>
      <c r="B16" s="0" t="n">
        <f aca="false">ORÇAMENTO!D16</f>
        <v>5</v>
      </c>
      <c r="C16" s="203" t="str">
        <f aca="false">IF(OR($I16&gt;0,$A16=1,$A16=2,$A16=3,$A16=4),"F","")</f>
        <v>F</v>
      </c>
      <c r="D16" s="206" t="str">
        <f aca="false">ORÇAMENTO!O16</f>
        <v>1.</v>
      </c>
      <c r="E16" s="339" t="str">
        <f aca="false">ORÇAMENTO.Descricao</f>
        <v>REVITALIZAÇÃO DIVERSAS RUAS - RUA CARLOS GOMES</v>
      </c>
      <c r="F16" s="340" t="str">
        <f aca="true" t="array" ref="F16:F16">IF(RegimeExecucao="Global","",ORÇAMENTO.Unidade)</f>
        <v>-</v>
      </c>
      <c r="G16" s="211" t="n">
        <f aca="true" t="array" ref="G16:G16">IF(RegimeExecucao="Global","",ORÇAMENTO!T16)</f>
        <v>0</v>
      </c>
      <c r="H16" s="211" t="n">
        <f aca="true" t="array" ref="H16:H16">IF(RegimeExecucao="Global","",ORÇAMENTO!W16)</f>
        <v>0</v>
      </c>
      <c r="I16" s="214" t="n">
        <f aca="false">ORÇAMENTO!X16</f>
        <v>0</v>
      </c>
      <c r="J16" s="632" t="n">
        <f aca="true" t="array" ref="J16:J16">IF($A16="S",IF(CAIXA.Modo,BM.AFAnterior,BM.MEDAnterior),IF(AND(RegimeExecucao="Global",$I16&gt;0,COUNTIF($AB$13:$AM$13,BM.medicao-1)&gt;0),M16/$I16*100,0))</f>
        <v>0</v>
      </c>
      <c r="K16" s="211" t="n">
        <f aca="false">L16-J16</f>
        <v>0</v>
      </c>
      <c r="L16" s="633" t="n">
        <f aca="true" t="array" ref="L16:L16">IF($A16="S",IF(CAIXA.Modo,BM.AFAcumulado,BM.MEDAcumulado),IF(AND(RegimeExecucao="Global",$I16&gt;0,COUNTIF($AB$13:$AM$13,BM.medicao)&gt;0),O16/$I16*100,0))</f>
        <v>0</v>
      </c>
      <c r="M16" s="634" t="n">
        <f aca="true" t="array" ref="M16:M16">IF($A16="S",VTOTALBM,IF($A16=0,0,ROUND(SomaAgrupBM,15-13*ORÇAMENTO!$AF$11)))</f>
        <v>0</v>
      </c>
      <c r="N16" s="223" t="n">
        <f aca="false">O16-M16</f>
        <v>0</v>
      </c>
      <c r="O16" s="214" t="n">
        <f aca="true" t="array" ref="O16:O16">IF($A16="S",VTOTALBM,IF($A16=0,0,ROUND(SomaAgrupBM,15-13*ORÇAMENTO!$AF$11)))</f>
        <v>0</v>
      </c>
      <c r="Q16" s="635"/>
      <c r="R16" s="636"/>
      <c r="T16" s="206" t="str">
        <f aca="false">IF($W16&gt;0,$D16,"")</f>
        <v/>
      </c>
      <c r="U16" s="339" t="str">
        <f aca="false">IF($W16&gt;0,$E16,"")</f>
        <v/>
      </c>
      <c r="V16" s="340" t="str">
        <f aca="true" t="array" ref="V16:V16">IF(AND($W16&gt;0,RegimeExecucao="Unitário"),$F16,"")</f>
        <v/>
      </c>
      <c r="W16" s="637" t="n">
        <f aca="true" t="array" ref="W16:W16">IF($Y16&gt;0,CHOOSE(MATCH(RegimeExecucao,{"Unitário","Global"},0),IF($A16="S",$Y16/$X16,""),($Y16/$X16)*100),0)</f>
        <v>0</v>
      </c>
      <c r="X16" s="638" t="str">
        <f aca="true" t="array" ref="X16:X16">IF($Y16&gt;0,CHOOSE(MATCH(RegimeExecucao,{"Unitário","Global"},0),IF($A16="S",ROUND($H16,ORÇAMENTO!$AF$10),""),ROUND($I16,ORÇAMENTO!$AF$11)),"")</f>
        <v/>
      </c>
      <c r="Y16" s="638" t="n">
        <f aca="false">AO16-O16</f>
        <v>0</v>
      </c>
      <c r="Z16" s="639"/>
      <c r="AB16" s="635"/>
      <c r="AC16" s="640"/>
      <c r="AD16" s="640"/>
      <c r="AE16" s="640"/>
      <c r="AF16" s="640"/>
      <c r="AG16" s="640"/>
      <c r="AH16" s="640"/>
      <c r="AI16" s="640"/>
      <c r="AJ16" s="640"/>
      <c r="AK16" s="640"/>
      <c r="AL16" s="640"/>
      <c r="AM16" s="636"/>
      <c r="AO16" s="0" t="n">
        <f aca="true" t="array" ref="AO16:AO16">IF($A16="S",IF(BM!$I16=0,0,CHOOSE(MATCH(RegimeExecucao,{"Global","Unitário"},0),ROUND(ROUND(BM.MEDAcumulado,15-13*BM!$A$9)/100*BM!$I16,15-13*ORÇAMENTO!$AF$11),ROUND(ROUND(BM.MEDAcumulado,15-13*BM!$A$9)*ROUND(BM!$H16,15-13*ORÇAMENTO!$AF$10),15-13*ORÇAMENTO!$AF$11))),IF($A16=0,0,ROUND(SomaAgrupBM,15-13*ORÇAMENTO!$AF$11)))</f>
        <v>0</v>
      </c>
    </row>
    <row r="17" customFormat="false" ht="12.75" hidden="false" customHeight="false" outlineLevel="0" collapsed="false">
      <c r="A17" s="0" t="n">
        <f aca="false">ORÇAMENTO!C17</f>
        <v>2</v>
      </c>
      <c r="B17" s="0" t="n">
        <f aca="false">ORÇAMENTO!D17</f>
        <v>2</v>
      </c>
      <c r="C17" s="203" t="str">
        <f aca="false">IF(OR($I17&gt;0,$A17=1,$A17=2,$A17=3,$A17=4),"F","")</f>
        <v>F</v>
      </c>
      <c r="D17" s="206" t="str">
        <f aca="false">ORÇAMENTO!O17</f>
        <v>1.1.</v>
      </c>
      <c r="E17" s="339" t="str">
        <f aca="false">ORÇAMENTO.Descricao</f>
        <v>PAVIMENTAÇÃO DE PARALELEPÍPEDOS</v>
      </c>
      <c r="F17" s="340" t="str">
        <f aca="true" t="array" ref="F17:F17">IF(RegimeExecucao="Global","",ORÇAMENTO.Unidade)</f>
        <v>-</v>
      </c>
      <c r="G17" s="211" t="n">
        <f aca="true" t="array" ref="G17:G17">IF(RegimeExecucao="Global","",ORÇAMENTO!T17)</f>
        <v>0</v>
      </c>
      <c r="H17" s="211" t="n">
        <f aca="true" t="array" ref="H17:H17">IF(RegimeExecucao="Global","",ORÇAMENTO!W17)</f>
        <v>0</v>
      </c>
      <c r="I17" s="214" t="n">
        <f aca="false">ORÇAMENTO!X17</f>
        <v>0</v>
      </c>
      <c r="J17" s="632" t="n">
        <f aca="true" t="array" ref="J17:J17">IF($A17="S",IF(CAIXA.Modo,BM.AFAnterior,BM.MEDAnterior),IF(AND(RegimeExecucao="Global",$I17&gt;0,COUNTIF($AB$13:$AM$13,BM.medicao-1)&gt;0),M17/$I17*100,0))</f>
        <v>0</v>
      </c>
      <c r="K17" s="211" t="n">
        <f aca="false">L17-J17</f>
        <v>0</v>
      </c>
      <c r="L17" s="633" t="n">
        <f aca="true" t="array" ref="L17:L17">IF($A17="S",IF(CAIXA.Modo,BM.AFAcumulado,BM.MEDAcumulado),IF(AND(RegimeExecucao="Global",$I17&gt;0,COUNTIF($AB$13:$AM$13,BM.medicao)&gt;0),O17/$I17*100,0))</f>
        <v>0</v>
      </c>
      <c r="M17" s="634" t="n">
        <f aca="true" t="array" ref="M17:M17">IF($A17="S",VTOTALBM,IF($A17=0,0,ROUND(SomaAgrupBM,15-13*ORÇAMENTO!$AF$11)))</f>
        <v>0</v>
      </c>
      <c r="N17" s="223" t="n">
        <f aca="false">O17-M17</f>
        <v>0</v>
      </c>
      <c r="O17" s="214" t="n">
        <f aca="true" t="array" ref="O17:O17">IF($A17="S",VTOTALBM,IF($A17=0,0,ROUND(SomaAgrupBM,15-13*ORÇAMENTO!$AF$11)))</f>
        <v>0</v>
      </c>
      <c r="Q17" s="635"/>
      <c r="R17" s="636"/>
      <c r="T17" s="206" t="str">
        <f aca="false">IF($W17&gt;0,$D17,"")</f>
        <v/>
      </c>
      <c r="U17" s="339" t="str">
        <f aca="false">IF($W17&gt;0,$E17,"")</f>
        <v/>
      </c>
      <c r="V17" s="340" t="str">
        <f aca="true" t="array" ref="V17:V17">IF(AND($W17&gt;0,RegimeExecucao="Unitário"),$F17,"")</f>
        <v/>
      </c>
      <c r="W17" s="637" t="n">
        <f aca="true" t="array" ref="W17:W17">IF($Y17&gt;0,CHOOSE(MATCH(RegimeExecucao,{"Unitário","Global"},0),IF($A17="S",$Y17/$X17,""),($Y17/$X17)*100),0)</f>
        <v>0</v>
      </c>
      <c r="X17" s="638" t="str">
        <f aca="true" t="array" ref="X17:X17">IF($Y17&gt;0,CHOOSE(MATCH(RegimeExecucao,{"Unitário","Global"},0),IF($A17="S",ROUND($H17,ORÇAMENTO!$AF$10),""),ROUND($I17,ORÇAMENTO!$AF$11)),"")</f>
        <v/>
      </c>
      <c r="Y17" s="638" t="n">
        <f aca="false">AO17-O17</f>
        <v>0</v>
      </c>
      <c r="Z17" s="639"/>
      <c r="AB17" s="635"/>
      <c r="AC17" s="640"/>
      <c r="AD17" s="640"/>
      <c r="AE17" s="640"/>
      <c r="AF17" s="640"/>
      <c r="AG17" s="640"/>
      <c r="AH17" s="640"/>
      <c r="AI17" s="640"/>
      <c r="AJ17" s="640"/>
      <c r="AK17" s="640"/>
      <c r="AL17" s="640"/>
      <c r="AM17" s="636"/>
      <c r="AO17" s="0" t="n">
        <f aca="true" t="array" ref="AO17:AO17">IF($A17="S",IF(BM!$I17=0,0,CHOOSE(MATCH(RegimeExecucao,{"Global","Unitário"},0),ROUND(ROUND(BM.MEDAcumulado,15-13*BM!$A$9)/100*BM!$I17,15-13*ORÇAMENTO!$AF$11),ROUND(ROUND(BM.MEDAcumulado,15-13*BM!$A$9)*ROUND(BM!$H17,15-13*ORÇAMENTO!$AF$10),15-13*ORÇAMENTO!$AF$11))),IF($A17=0,0,ROUND(SomaAgrupBM,15-13*ORÇAMENTO!$AF$11)))</f>
        <v>0</v>
      </c>
    </row>
    <row r="18" customFormat="false" ht="23.85" hidden="false" customHeight="false" outlineLevel="0" collapsed="false">
      <c r="A18" s="0" t="str">
        <f aca="false">ORÇAMENTO!C18</f>
        <v>S</v>
      </c>
      <c r="B18" s="0" t="n">
        <f aca="false">ORÇAMENTO!D18</f>
        <v>0</v>
      </c>
      <c r="C18" s="203" t="str">
        <f aca="false">IF(OR($I18&gt;0,$A18=1,$A18=2,$A18=3,$A18=4),"F","")</f>
        <v/>
      </c>
      <c r="D18" s="206" t="str">
        <f aca="false">ORÇAMENTO!O18</f>
        <v>-</v>
      </c>
      <c r="E18" s="339" t="str">
        <f aca="false">ORÇAMENTO.Descricao</f>
        <v>REMOÇÃO E REASSENTAMENTO DE PAVIMENTO COM PARALELEPÍPEDOS - REJUNTAMENTO COM PÓ DE PEDRA - 85%</v>
      </c>
      <c r="F18" s="340" t="str">
        <f aca="true" t="array" ref="F18:F18">IF(RegimeExecucao="Global","",ORÇAMENTO.Unidade)</f>
        <v>-</v>
      </c>
      <c r="G18" s="211" t="n">
        <f aca="true" t="array" ref="G18:G18">IF(RegimeExecucao="Global","",ORÇAMENTO!T18)</f>
        <v>5175.65</v>
      </c>
      <c r="H18" s="211" t="n">
        <f aca="true" t="array" ref="H18:H18">IF(RegimeExecucao="Global","",ORÇAMENTO!W18)</f>
        <v>0</v>
      </c>
      <c r="I18" s="214" t="n">
        <f aca="false">ORÇAMENTO!X18</f>
        <v>0</v>
      </c>
      <c r="J18" s="632" t="n">
        <f aca="true" t="array" ref="J18:J18">IF($A18="S",IF(CAIXA.Modo,BM.AFAnterior,BM.MEDAnterior),IF(AND(RegimeExecucao="Global",$I18&gt;0,COUNTIF($AB$13:$AM$13,BM.medicao-1)&gt;0),M18/$I18*100,0))</f>
        <v>0</v>
      </c>
      <c r="K18" s="211" t="n">
        <f aca="false">L18-J18</f>
        <v>0</v>
      </c>
      <c r="L18" s="633" t="n">
        <f aca="true" t="array" ref="L18:L18">IF($A18="S",IF(CAIXA.Modo,BM.AFAcumulado,BM.MEDAcumulado),IF(AND(RegimeExecucao="Global",$I18&gt;0,COUNTIF($AB$13:$AM$13,BM.medicao)&gt;0),O18/$I18*100,0))</f>
        <v>0</v>
      </c>
      <c r="M18" s="634" t="n">
        <f aca="true" t="array" ref="M18:M18">IF($A18="S",VTOTALBM,IF($A18=0,0,ROUND(SomaAgrupBM,15-13*ORÇAMENTO!$AF$11)))</f>
        <v>0</v>
      </c>
      <c r="N18" s="223" t="n">
        <f aca="false">O18-M18</f>
        <v>0</v>
      </c>
      <c r="O18" s="214" t="n">
        <f aca="true" t="array" ref="O18:O18">IF($A18="S",VTOTALBM,IF($A18=0,0,ROUND(SomaAgrupBM,15-13*ORÇAMENTO!$AF$11)))</f>
        <v>0</v>
      </c>
      <c r="Q18" s="635"/>
      <c r="R18" s="636"/>
      <c r="T18" s="206" t="str">
        <f aca="false">IF($W18&gt;0,$D18,"")</f>
        <v/>
      </c>
      <c r="U18" s="339" t="str">
        <f aca="false">IF($W18&gt;0,$E18,"")</f>
        <v/>
      </c>
      <c r="V18" s="340" t="str">
        <f aca="true" t="array" ref="V18:V18">IF(AND($W18&gt;0,RegimeExecucao="Unitário"),$F18,"")</f>
        <v/>
      </c>
      <c r="W18" s="637" t="n">
        <f aca="true" t="array" ref="W18:W18">IF($Y18&gt;0,CHOOSE(MATCH(RegimeExecucao,{"Unitário","Global"},0),IF($A18="S",$Y18/$X18,""),($Y18/$X18)*100),0)</f>
        <v>0</v>
      </c>
      <c r="X18" s="638" t="str">
        <f aca="true" t="array" ref="X18:X18">IF($Y18&gt;0,CHOOSE(MATCH(RegimeExecucao,{"Unitário","Global"},0),IF($A18="S",ROUND($H18,ORÇAMENTO!$AF$10),""),ROUND($I18,ORÇAMENTO!$AF$11)),"")</f>
        <v/>
      </c>
      <c r="Y18" s="638" t="n">
        <f aca="false">AO18-O18</f>
        <v>0</v>
      </c>
      <c r="Z18" s="639"/>
      <c r="AB18" s="635"/>
      <c r="AC18" s="640"/>
      <c r="AD18" s="640"/>
      <c r="AE18" s="640"/>
      <c r="AF18" s="640"/>
      <c r="AG18" s="640"/>
      <c r="AH18" s="640"/>
      <c r="AI18" s="640"/>
      <c r="AJ18" s="640"/>
      <c r="AK18" s="640"/>
      <c r="AL18" s="640"/>
      <c r="AM18" s="636"/>
      <c r="AO18" s="0" t="n">
        <f aca="true" t="array" ref="AO18:AO18">IF($A18="S",IF(BM!$I18=0,0,CHOOSE(MATCH(RegimeExecucao,{"Global","Unitário"},0),ROUND(ROUND(BM.MEDAcumulado,15-13*BM!$A$9)/100*BM!$I18,15-13*ORÇAMENTO!$AF$11),ROUND(ROUND(BM.MEDAcumulado,15-13*BM!$A$9)*ROUND(BM!$H18,15-13*ORÇAMENTO!$AF$10),15-13*ORÇAMENTO!$AF$11))),IF($A18=0,0,ROUND(SomaAgrupBM,15-13*ORÇAMENTO!$AF$11)))</f>
        <v>0</v>
      </c>
    </row>
    <row r="19" customFormat="false" ht="12.75" hidden="false" customHeight="false" outlineLevel="0" collapsed="false">
      <c r="A19" s="0" t="n">
        <f aca="false">ORÇAMENTO!C19</f>
        <v>2</v>
      </c>
      <c r="B19" s="0" t="n">
        <f aca="false">ORÇAMENTO!D19</f>
        <v>2</v>
      </c>
      <c r="C19" s="203" t="str">
        <f aca="false">IF(OR($I19&gt;0,$A19=1,$A19=2,$A19=3,$A19=4),"F","")</f>
        <v>F</v>
      </c>
      <c r="D19" s="206" t="str">
        <f aca="false">ORÇAMENTO!O19</f>
        <v>1.2.</v>
      </c>
      <c r="E19" s="339" t="str">
        <f aca="false">ORÇAMENTO.Descricao</f>
        <v>ACAMENTO DE PAVIMENTAÇÃO COM PARALELPÍPEDOS</v>
      </c>
      <c r="F19" s="340" t="str">
        <f aca="true" t="array" ref="F19:F19">IF(RegimeExecucao="Global","",ORÇAMENTO.Unidade)</f>
        <v>-</v>
      </c>
      <c r="G19" s="211" t="n">
        <f aca="true" t="array" ref="G19:G19">IF(RegimeExecucao="Global","",ORÇAMENTO!T19)</f>
        <v>0</v>
      </c>
      <c r="H19" s="211" t="n">
        <f aca="true" t="array" ref="H19:H19">IF(RegimeExecucao="Global","",ORÇAMENTO!W19)</f>
        <v>0</v>
      </c>
      <c r="I19" s="214" t="n">
        <f aca="false">ORÇAMENTO!X19</f>
        <v>0</v>
      </c>
      <c r="J19" s="632" t="n">
        <f aca="true" t="array" ref="J19:J19">IF($A19="S",IF(CAIXA.Modo,BM.AFAnterior,BM.MEDAnterior),IF(AND(RegimeExecucao="Global",$I19&gt;0,COUNTIF($AB$13:$AM$13,BM.medicao-1)&gt;0),M19/$I19*100,0))</f>
        <v>0</v>
      </c>
      <c r="K19" s="211" t="n">
        <f aca="false">L19-J19</f>
        <v>0</v>
      </c>
      <c r="L19" s="633" t="n">
        <f aca="true" t="array" ref="L19:L19">IF($A19="S",IF(CAIXA.Modo,BM.AFAcumulado,BM.MEDAcumulado),IF(AND(RegimeExecucao="Global",$I19&gt;0,COUNTIF($AB$13:$AM$13,BM.medicao)&gt;0),O19/$I19*100,0))</f>
        <v>0</v>
      </c>
      <c r="M19" s="634" t="n">
        <f aca="true" t="array" ref="M19:M19">IF($A19="S",VTOTALBM,IF($A19=0,0,ROUND(SomaAgrupBM,15-13*ORÇAMENTO!$AF$11)))</f>
        <v>0</v>
      </c>
      <c r="N19" s="223" t="n">
        <f aca="false">O19-M19</f>
        <v>0</v>
      </c>
      <c r="O19" s="214" t="n">
        <f aca="true" t="array" ref="O19:O19">IF($A19="S",VTOTALBM,IF($A19=0,0,ROUND(SomaAgrupBM,15-13*ORÇAMENTO!$AF$11)))</f>
        <v>0</v>
      </c>
      <c r="Q19" s="635"/>
      <c r="R19" s="636"/>
      <c r="T19" s="206" t="str">
        <f aca="false">IF($W19&gt;0,$D19,"")</f>
        <v/>
      </c>
      <c r="U19" s="339" t="str">
        <f aca="false">IF($W19&gt;0,$E19,"")</f>
        <v/>
      </c>
      <c r="V19" s="340" t="str">
        <f aca="true" t="array" ref="V19:V19">IF(AND($W19&gt;0,RegimeExecucao="Unitário"),$F19,"")</f>
        <v/>
      </c>
      <c r="W19" s="637" t="n">
        <f aca="true" t="array" ref="W19:W19">IF($Y19&gt;0,CHOOSE(MATCH(RegimeExecucao,{"Unitário","Global"},0),IF($A19="S",$Y19/$X19,""),($Y19/$X19)*100),0)</f>
        <v>0</v>
      </c>
      <c r="X19" s="638" t="str">
        <f aca="true" t="array" ref="X19:X19">IF($Y19&gt;0,CHOOSE(MATCH(RegimeExecucao,{"Unitário","Global"},0),IF($A19="S",ROUND($H19,ORÇAMENTO!$AF$10),""),ROUND($I19,ORÇAMENTO!$AF$11)),"")</f>
        <v/>
      </c>
      <c r="Y19" s="638" t="n">
        <f aca="false">AO19-O19</f>
        <v>0</v>
      </c>
      <c r="Z19" s="639"/>
      <c r="AB19" s="635"/>
      <c r="AC19" s="640"/>
      <c r="AD19" s="640"/>
      <c r="AE19" s="640"/>
      <c r="AF19" s="640"/>
      <c r="AG19" s="640"/>
      <c r="AH19" s="640"/>
      <c r="AI19" s="640"/>
      <c r="AJ19" s="640"/>
      <c r="AK19" s="640"/>
      <c r="AL19" s="640"/>
      <c r="AM19" s="636"/>
      <c r="AO19" s="0" t="n">
        <f aca="true" t="array" ref="AO19:AO19">IF($A19="S",IF(BM!$I19=0,0,CHOOSE(MATCH(RegimeExecucao,{"Global","Unitário"},0),ROUND(ROUND(BM.MEDAcumulado,15-13*BM!$A$9)/100*BM!$I19,15-13*ORÇAMENTO!$AF$11),ROUND(ROUND(BM.MEDAcumulado,15-13*BM!$A$9)*ROUND(BM!$H19,15-13*ORÇAMENTO!$AF$10),15-13*ORÇAMENTO!$AF$11))),IF($A19=0,0,ROUND(SomaAgrupBM,15-13*ORÇAMENTO!$AF$11)))</f>
        <v>0</v>
      </c>
    </row>
    <row r="20" customFormat="false" ht="23.85" hidden="false" customHeight="false" outlineLevel="0" collapsed="false">
      <c r="A20" s="0" t="str">
        <f aca="false">ORÇAMENTO!C20</f>
        <v>S</v>
      </c>
      <c r="B20" s="0" t="n">
        <f aca="false">ORÇAMENTO!D20</f>
        <v>0</v>
      </c>
      <c r="C20" s="203" t="str">
        <f aca="false">IF(OR($I20&gt;0,$A20=1,$A20=2,$A20=3,$A20=4),"F","")</f>
        <v/>
      </c>
      <c r="D20" s="206" t="str">
        <f aca="false">ORÇAMENTO!O20</f>
        <v>-</v>
      </c>
      <c r="E20" s="339" t="str">
        <f aca="false">ORÇAMENTO.Descricao</f>
        <v>REMOÇÃO E REASSENTAMENTO DE PAVIMENTO COM PARALELEPÍPEDOS - REJUNTAMENTO COM PÓ DE PEDRA - 15%</v>
      </c>
      <c r="F20" s="340" t="str">
        <f aca="true" t="array" ref="F20:F20">IF(RegimeExecucao="Global","",ORÇAMENTO.Unidade)</f>
        <v>-</v>
      </c>
      <c r="G20" s="211" t="n">
        <f aca="true" t="array" ref="G20:G20">IF(RegimeExecucao="Global","",ORÇAMENTO!T20)</f>
        <v>913.35</v>
      </c>
      <c r="H20" s="211" t="n">
        <f aca="true" t="array" ref="H20:H20">IF(RegimeExecucao="Global","",ORÇAMENTO!W20)</f>
        <v>0</v>
      </c>
      <c r="I20" s="214" t="n">
        <f aca="false">ORÇAMENTO!X20</f>
        <v>0</v>
      </c>
      <c r="J20" s="632" t="n">
        <f aca="true" t="array" ref="J20:J20">IF($A20="S",IF(CAIXA.Modo,BM.AFAnterior,BM.MEDAnterior),IF(AND(RegimeExecucao="Global",$I20&gt;0,COUNTIF($AB$13:$AM$13,BM.medicao-1)&gt;0),M20/$I20*100,0))</f>
        <v>0</v>
      </c>
      <c r="K20" s="211" t="n">
        <f aca="false">L20-J20</f>
        <v>0</v>
      </c>
      <c r="L20" s="633" t="n">
        <f aca="true" t="array" ref="L20:L20">IF($A20="S",IF(CAIXA.Modo,BM.AFAcumulado,BM.MEDAcumulado),IF(AND(RegimeExecucao="Global",$I20&gt;0,COUNTIF($AB$13:$AM$13,BM.medicao)&gt;0),O20/$I20*100,0))</f>
        <v>0</v>
      </c>
      <c r="M20" s="634" t="n">
        <f aca="true" t="array" ref="M20:M20">IF($A20="S",VTOTALBM,IF($A20=0,0,ROUND(SomaAgrupBM,15-13*ORÇAMENTO!$AF$11)))</f>
        <v>0</v>
      </c>
      <c r="N20" s="223" t="n">
        <f aca="false">O20-M20</f>
        <v>0</v>
      </c>
      <c r="O20" s="214" t="n">
        <f aca="true" t="array" ref="O20:O20">IF($A20="S",VTOTALBM,IF($A20=0,0,ROUND(SomaAgrupBM,15-13*ORÇAMENTO!$AF$11)))</f>
        <v>0</v>
      </c>
      <c r="Q20" s="635"/>
      <c r="R20" s="636"/>
      <c r="T20" s="206" t="str">
        <f aca="false">IF($W20&gt;0,$D20,"")</f>
        <v/>
      </c>
      <c r="U20" s="339" t="str">
        <f aca="false">IF($W20&gt;0,$E20,"")</f>
        <v/>
      </c>
      <c r="V20" s="340" t="str">
        <f aca="true" t="array" ref="V20:V20">IF(AND($W20&gt;0,RegimeExecucao="Unitário"),$F20,"")</f>
        <v/>
      </c>
      <c r="W20" s="637" t="n">
        <f aca="true" t="array" ref="W20:W20">IF($Y20&gt;0,CHOOSE(MATCH(RegimeExecucao,{"Unitário","Global"},0),IF($A20="S",$Y20/$X20,""),($Y20/$X20)*100),0)</f>
        <v>0</v>
      </c>
      <c r="X20" s="638" t="str">
        <f aca="true" t="array" ref="X20:X20">IF($Y20&gt;0,CHOOSE(MATCH(RegimeExecucao,{"Unitário","Global"},0),IF($A20="S",ROUND($H20,ORÇAMENTO!$AF$10),""),ROUND($I20,ORÇAMENTO!$AF$11)),"")</f>
        <v/>
      </c>
      <c r="Y20" s="638" t="n">
        <f aca="false">AO20-O20</f>
        <v>0</v>
      </c>
      <c r="Z20" s="639"/>
      <c r="AB20" s="635"/>
      <c r="AC20" s="640"/>
      <c r="AD20" s="640"/>
      <c r="AE20" s="640"/>
      <c r="AF20" s="640"/>
      <c r="AG20" s="640"/>
      <c r="AH20" s="640"/>
      <c r="AI20" s="640"/>
      <c r="AJ20" s="640"/>
      <c r="AK20" s="640"/>
      <c r="AL20" s="640"/>
      <c r="AM20" s="636"/>
      <c r="AO20" s="0" t="n">
        <f aca="true" t="array" ref="AO20:AO20">IF($A20="S",IF(BM!$I20=0,0,CHOOSE(MATCH(RegimeExecucao,{"Global","Unitário"},0),ROUND(ROUND(BM.MEDAcumulado,15-13*BM!$A$9)/100*BM!$I20,15-13*ORÇAMENTO!$AF$11),ROUND(ROUND(BM.MEDAcumulado,15-13*BM!$A$9)*ROUND(BM!$H20,15-13*ORÇAMENTO!$AF$10),15-13*ORÇAMENTO!$AF$11))),IF($A20=0,0,ROUND(SomaAgrupBM,15-13*ORÇAMENTO!$AF$11)))</f>
        <v>0</v>
      </c>
    </row>
    <row r="21" customFormat="false" ht="4.5" hidden="false" customHeight="true" outlineLevel="0" collapsed="false">
      <c r="C21" s="203" t="s">
        <v>594</v>
      </c>
      <c r="D21" s="242"/>
      <c r="E21" s="245"/>
      <c r="F21" s="245"/>
      <c r="G21" s="245"/>
      <c r="H21" s="245"/>
      <c r="I21" s="243"/>
      <c r="J21" s="242"/>
      <c r="K21" s="245"/>
      <c r="L21" s="243"/>
      <c r="M21" s="652"/>
      <c r="N21" s="653"/>
      <c r="O21" s="654"/>
      <c r="Q21" s="242"/>
      <c r="R21" s="243"/>
      <c r="T21" s="242"/>
      <c r="U21" s="245"/>
      <c r="V21" s="245"/>
      <c r="W21" s="245"/>
      <c r="X21" s="245"/>
      <c r="Y21" s="245"/>
      <c r="Z21" s="243"/>
      <c r="AB21" s="242"/>
      <c r="AC21" s="245"/>
      <c r="AD21" s="245"/>
      <c r="AE21" s="245"/>
      <c r="AF21" s="245"/>
      <c r="AG21" s="245"/>
      <c r="AH21" s="245"/>
      <c r="AI21" s="245"/>
      <c r="AJ21" s="245"/>
      <c r="AK21" s="245"/>
      <c r="AL21" s="245"/>
      <c r="AM21" s="243"/>
    </row>
    <row r="23" customFormat="false" ht="13.8" hidden="false" customHeight="false" outlineLevel="0" collapsed="false">
      <c r="D23" s="655" t="s">
        <v>749</v>
      </c>
      <c r="E23" s="655"/>
      <c r="F23" s="655"/>
      <c r="G23" s="655"/>
      <c r="H23" s="655"/>
      <c r="I23" s="655"/>
      <c r="J23" s="655"/>
      <c r="K23" s="655"/>
      <c r="L23" s="655"/>
      <c r="M23" s="655"/>
      <c r="N23" s="655"/>
      <c r="O23" s="655"/>
      <c r="T23" s="656" t="s">
        <v>958</v>
      </c>
      <c r="U23" s="656"/>
      <c r="V23" s="656"/>
      <c r="W23" s="656"/>
      <c r="X23" s="656"/>
      <c r="Y23" s="656"/>
      <c r="Z23" s="656"/>
    </row>
    <row r="24" customFormat="false" ht="12.75" hidden="false" customHeight="true" outlineLevel="0" collapsed="false">
      <c r="D24" s="249"/>
      <c r="E24" s="249"/>
      <c r="F24" s="249"/>
      <c r="G24" s="249"/>
      <c r="H24" s="249"/>
      <c r="I24" s="249"/>
      <c r="J24" s="249"/>
      <c r="K24" s="249"/>
      <c r="L24" s="249"/>
      <c r="M24" s="249"/>
      <c r="N24" s="249"/>
      <c r="O24" s="249"/>
      <c r="T24" s="657"/>
      <c r="U24" s="657"/>
      <c r="V24" s="657"/>
      <c r="W24" s="657"/>
      <c r="X24" s="657"/>
      <c r="Y24" s="657"/>
      <c r="Z24" s="657"/>
    </row>
    <row r="25" customFormat="false" ht="12.75" hidden="false" customHeight="true" outlineLevel="0" collapsed="false">
      <c r="D25" s="249"/>
      <c r="E25" s="249"/>
      <c r="F25" s="249"/>
      <c r="G25" s="249"/>
      <c r="H25" s="249"/>
      <c r="I25" s="249"/>
      <c r="J25" s="249"/>
      <c r="K25" s="249"/>
      <c r="L25" s="249"/>
      <c r="M25" s="249"/>
      <c r="N25" s="249"/>
      <c r="O25" s="249"/>
      <c r="T25" s="657"/>
      <c r="U25" s="657"/>
      <c r="V25" s="657"/>
      <c r="W25" s="657"/>
      <c r="X25" s="657"/>
      <c r="Y25" s="657"/>
      <c r="Z25" s="657"/>
    </row>
    <row r="26" customFormat="false" ht="12.75" hidden="false" customHeight="true" outlineLevel="0" collapsed="false">
      <c r="D26" s="249"/>
      <c r="E26" s="249"/>
      <c r="F26" s="249"/>
      <c r="G26" s="249"/>
      <c r="H26" s="249"/>
      <c r="I26" s="249"/>
      <c r="J26" s="249"/>
      <c r="K26" s="249"/>
      <c r="L26" s="249"/>
      <c r="M26" s="249"/>
      <c r="N26" s="249"/>
      <c r="O26" s="249"/>
      <c r="T26" s="657"/>
      <c r="U26" s="657"/>
      <c r="V26" s="657"/>
      <c r="W26" s="657"/>
      <c r="X26" s="657"/>
      <c r="Y26" s="657"/>
      <c r="Z26" s="657"/>
    </row>
    <row r="27" customFormat="false" ht="13.8" hidden="false" customHeight="false" outlineLevel="0" collapsed="false">
      <c r="D27" s="250"/>
      <c r="E27" s="250"/>
      <c r="F27" s="250"/>
      <c r="G27" s="250"/>
      <c r="H27" s="250"/>
      <c r="I27" s="250"/>
      <c r="J27" s="250"/>
      <c r="K27" s="250"/>
      <c r="L27" s="250"/>
      <c r="M27" s="250"/>
      <c r="N27" s="250"/>
      <c r="O27" s="250"/>
    </row>
    <row r="28" customFormat="false" ht="15" hidden="false" customHeight="true" outlineLevel="0" collapsed="false">
      <c r="D28" s="252" t="str">
        <f aca="true" t="array" ref="D28:D28">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8" s="252"/>
      <c r="F28" s="252"/>
      <c r="G28" s="252"/>
      <c r="H28" s="252"/>
      <c r="I28" s="252"/>
      <c r="J28" s="252"/>
      <c r="K28" s="252"/>
      <c r="L28" s="252"/>
    </row>
    <row r="29" customFormat="false" ht="12.75" hidden="false" customHeight="false" outlineLevel="0" collapsed="false">
      <c r="D29" s="658"/>
      <c r="E29" s="658"/>
      <c r="F29" s="658"/>
      <c r="G29" s="658"/>
      <c r="H29" s="658"/>
      <c r="I29" s="658"/>
    </row>
    <row r="30" customFormat="false" ht="12.75" hidden="false" customHeight="false" outlineLevel="0" collapsed="false">
      <c r="D30" s="659" t="str">
        <f aca="false">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30" s="659"/>
      <c r="F30" s="659"/>
      <c r="G30" s="659"/>
      <c r="H30" s="659"/>
      <c r="I30" s="659"/>
      <c r="J30" s="659"/>
      <c r="K30" s="659"/>
      <c r="L30" s="659"/>
      <c r="M30" s="659"/>
      <c r="N30" s="659"/>
      <c r="O30" s="659"/>
    </row>
    <row r="31" customFormat="false" ht="39.75" hidden="false" customHeight="true" outlineLevel="0" collapsed="false">
      <c r="E31" s="255" t="n">
        <f aca="false">Import.Município</f>
        <v>0</v>
      </c>
      <c r="J31" s="660" t="str">
        <f aca="false">IF(DADOS!$D$50&lt;&gt;"","Preencher os Dados do Responsável pela Fiscalização, na aba DADOS.","")</f>
        <v/>
      </c>
      <c r="K31" s="660"/>
      <c r="L31" s="660"/>
      <c r="M31" s="660"/>
      <c r="W31" s="661"/>
      <c r="X31" s="661"/>
      <c r="Y31" s="661"/>
      <c r="Z31" s="661"/>
    </row>
    <row r="32" customFormat="false" ht="12.75" hidden="false" customHeight="false" outlineLevel="0" collapsed="false">
      <c r="E32" s="52" t="s">
        <v>753</v>
      </c>
      <c r="J32" s="257" t="s">
        <v>934</v>
      </c>
      <c r="W32" s="257" t="s">
        <v>959</v>
      </c>
    </row>
    <row r="33" customFormat="false" ht="12.75" hidden="false" customHeight="false" outlineLevel="0" collapsed="false">
      <c r="J33" s="147" t="s">
        <v>295</v>
      </c>
      <c r="K33" s="608" t="n">
        <f aca="false" t="array" ref="K33:K36">Import.RespFiscalização</f>
        <v>0</v>
      </c>
      <c r="L33" s="148"/>
      <c r="W33" s="147" t="s">
        <v>295</v>
      </c>
      <c r="X33" s="662"/>
      <c r="Y33" s="662"/>
      <c r="Z33" s="662"/>
    </row>
    <row r="34" customFormat="false" ht="12.75" hidden="false" customHeight="false" outlineLevel="0" collapsed="false">
      <c r="E34" s="303" t="n">
        <f aca="false">DADOS!$C$48</f>
        <v>0</v>
      </c>
      <c r="J34" s="147" t="s">
        <v>377</v>
      </c>
      <c r="K34" s="608" t="n">
        <v>0</v>
      </c>
      <c r="L34" s="148"/>
      <c r="W34" s="147" t="s">
        <v>960</v>
      </c>
      <c r="X34" s="662"/>
      <c r="Y34" s="662"/>
      <c r="Z34" s="662"/>
    </row>
    <row r="35" customFormat="false" ht="12.75" hidden="false" customHeight="false" outlineLevel="0" collapsed="false">
      <c r="E35" s="259" t="s">
        <v>754</v>
      </c>
      <c r="J35" s="147" t="s">
        <v>299</v>
      </c>
      <c r="K35" s="608" t="n">
        <v>0</v>
      </c>
      <c r="L35" s="148"/>
      <c r="W35" s="147" t="s">
        <v>299</v>
      </c>
      <c r="X35" s="662"/>
      <c r="Y35" s="662"/>
      <c r="Z35" s="662"/>
    </row>
    <row r="36" customFormat="false" ht="12.75" hidden="false" customHeight="false" outlineLevel="0" collapsed="false">
      <c r="J36" s="147" t="s">
        <v>303</v>
      </c>
      <c r="K36" s="63" t="n">
        <v>0</v>
      </c>
      <c r="W36" s="147"/>
      <c r="X36" s="63"/>
    </row>
  </sheetData>
  <sheetProtection algorithmName="SHA-512" hashValue="jonlV0sBUY5hY7s3nXT70axFC1T673+CzTHx4nOJXScbQe/Mvu3lOQpl82c9nL1ursqz8t1qv5KWXZe/5KxjYA==" saltValue="kirqYUR94OE23gZOUjP/YA==" spinCount="100000" sheet="true" objects="true" scenarios="true" autoFilter="false"/>
  <autoFilter ref="C15:C21"/>
  <mergeCells count="33">
    <mergeCell ref="A3:B3"/>
    <mergeCell ref="D4:E4"/>
    <mergeCell ref="F4:H4"/>
    <mergeCell ref="J4:N4"/>
    <mergeCell ref="D5:E5"/>
    <mergeCell ref="F5:H5"/>
    <mergeCell ref="J5:N5"/>
    <mergeCell ref="F7:H7"/>
    <mergeCell ref="I7:L7"/>
    <mergeCell ref="M7:N7"/>
    <mergeCell ref="C8:C12"/>
    <mergeCell ref="F8:H8"/>
    <mergeCell ref="I8:L8"/>
    <mergeCell ref="M8:N8"/>
    <mergeCell ref="F10:I11"/>
    <mergeCell ref="T11:U11"/>
    <mergeCell ref="AB11:AM11"/>
    <mergeCell ref="J12:L12"/>
    <mergeCell ref="M12:O12"/>
    <mergeCell ref="Q12:R12"/>
    <mergeCell ref="D15:E15"/>
    <mergeCell ref="AB15:AM15"/>
    <mergeCell ref="D23:O23"/>
    <mergeCell ref="T23:Z23"/>
    <mergeCell ref="D24:O26"/>
    <mergeCell ref="T24:Z26"/>
    <mergeCell ref="D28:L28"/>
    <mergeCell ref="D29:I29"/>
    <mergeCell ref="D30:O30"/>
    <mergeCell ref="W31:Z31"/>
    <mergeCell ref="X33:Z33"/>
    <mergeCell ref="X34:Z34"/>
    <mergeCell ref="X35:Z35"/>
  </mergeCells>
  <conditionalFormatting sqref="O11">
    <cfRule type="expression" priority="2" aboveAverage="0" equalAverage="0" bottom="0" percent="0" rank="0" text="" dxfId="114">
      <formula>ROUND($P$11,4)&gt;ROUND($P$10,4)</formula>
    </cfRule>
  </conditionalFormatting>
  <conditionalFormatting sqref="D14:O14 T14:Z14 D16:O18 T16:Z18 D19:O20 T19:Z20">
    <cfRule type="expression" priority="3" aboveAverage="0" equalAverage="0" bottom="0" percent="0" rank="0" text="" dxfId="115">
      <formula>OR(ACOMPANHAMENTO="PLE",TIPOORCAMENTO="Proposto",$L14&lt;0,AND($L14&gt;100,RegimeExecucao="Global"),$O14&gt;$I14,$O14&lt;0)</formula>
    </cfRule>
    <cfRule type="expression" priority="4" aboveAverage="0" equalAverage="0" bottom="0" percent="0" rank="0" text="" dxfId="116">
      <formula>$A14=1</formula>
    </cfRule>
    <cfRule type="expression" priority="5" aboveAverage="0" equalAverage="0" bottom="0" percent="0" rank="0" text="" dxfId="117">
      <formula>$A14&lt;&gt;"S"</formula>
    </cfRule>
  </conditionalFormatting>
  <conditionalFormatting sqref="Q14:R14 AB14:AM14 Q16:R18 AB16:AM18 Q19:R20 AB19:AM20">
    <cfRule type="expression" priority="6" aboveAverage="0" equalAverage="0" bottom="0" percent="0" rank="0" text="" dxfId="118">
      <formula>$A14=1</formula>
    </cfRule>
    <cfRule type="expression" priority="7" aboveAverage="0" equalAverage="0" bottom="0" percent="0" rank="0" text="" dxfId="119">
      <formula>$A14&lt;&gt;"S"</formula>
    </cfRule>
  </conditionalFormatting>
  <conditionalFormatting sqref="E2">
    <cfRule type="expression" priority="8" aboveAverage="0" equalAverage="0" bottom="0" percent="0" rank="0" text="" dxfId="120">
      <formula>Import.RegimeExecução="(SELECIONAR)"</formula>
    </cfRule>
  </conditionalFormatting>
  <conditionalFormatting sqref="F13:H13">
    <cfRule type="expression" priority="9" aboveAverage="0" equalAverage="0" bottom="0" percent="0" rank="0" text="" dxfId="121">
      <formula>RegimeExecucao="Global"</formula>
    </cfRule>
  </conditionalFormatting>
  <conditionalFormatting sqref="D15:O15">
    <cfRule type="expression" priority="10" aboveAverage="0" equalAverage="0" bottom="0" percent="0" rank="0" text="" dxfId="122">
      <formula>OR(ACOMPANHAMENTO="PLE",TIPOORCAMENTO="Proposto")</formula>
    </cfRule>
  </conditionalFormatting>
  <conditionalFormatting sqref="AB13">
    <cfRule type="cellIs" priority="11" operator="notEqual" aboveAverage="0" equalAverage="0" bottom="0" percent="0" rank="0" text="" dxfId="123">
      <formula>1</formula>
    </cfRule>
  </conditionalFormatting>
  <dataValidations count="4">
    <dataValidation allowBlank="true" errorStyle="stop" operator="between" showDropDown="false" showErrorMessage="true" showInputMessage="false" sqref="Z14 Z16:Z20" type="list">
      <formula1>"não executado,não previsto no orçamento,material inadequado,desacordo com os projetos,não atende as observações,qualidade insatisfatória,ver observações abaixo"</formula1>
      <formula2>0</formula2>
    </dataValidation>
    <dataValidation allowBlank="true" error="Digite somente valores entre 0 e a Medição Acumulada." errorStyle="warning" errorTitle="Atenção!" operator="between" showDropDown="false" showErrorMessage="true" showInputMessage="false" sqref="Q14:R14 Q16:R20" type="decimal">
      <formula1>0</formula1>
      <formula2>BM.MEDAcumulado</formula2>
    </dataValidation>
    <dataValidation allowBlank="true" errorStyle="stop" operator="greaterThan" showDropDown="false" showErrorMessage="true" showInputMessage="true" sqref="O8" type="whole">
      <formula1>0</formula1>
      <formula2>0</formula2>
    </dataValidation>
    <dataValidation allowBlank="true" error="% medido é superior a 100% (Global)&#10;ou&#10;Quantidade é superior a contratada  (P. Unit)&#10;ou&#10;Evolução acumulada negativa" errorStyle="warning" errorTitle="Atenção!" operator="between" showDropDown="false" showErrorMessage="true" showInputMessage="false" sqref="AB14:AM14 AB16:AM20" type="decimal">
      <formula1>BM.MinMed</formula1>
      <formula2>BM.MaxMed</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100" fitToWidth="1" fitToHeight="0" pageOrder="downThenOver" orientation="landscape" blackAndWhite="false" draft="false" cellComments="none" horizontalDpi="300" verticalDpi="300" copies="1"/>
  <headerFooter differentFirst="false" differentOddEven="false">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01" r:id="rId4" name="">
              <controlPr defaultSize="0" locked="1" autoFill="0" autoLine="0" autoPict="0" print="false" altText="CaixaArredMed">
                <anchor moveWithCells="true" sizeWithCells="false">
                  <from>
                    <xdr:col>3</xdr:col>
                    <xdr:colOff>9088560</xdr:colOff>
                    <xdr:row>6</xdr:row>
                    <xdr:rowOff>73440</xdr:rowOff>
                  </from>
                  <to>
                    <xdr:col>4</xdr:col>
                    <xdr:colOff>190440</xdr:colOff>
                    <xdr:row>7</xdr:row>
                    <xdr:rowOff>126720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O49"/>
  <sheetViews>
    <sheetView showFormulas="false" showGridLines="false" showRowColHeaders="true" showZeros="true" rightToLeft="false" tabSelected="false" showOutlineSymbols="true" defaultGridColor="true" view="normal" topLeftCell="A1" colorId="64" zoomScale="100" zoomScaleNormal="100" zoomScalePageLayoutView="90" workbookViewId="0">
      <pane xSplit="6" ySplit="13" topLeftCell="G14" activePane="bottomRight" state="frozen"/>
      <selection pane="topLeft" activeCell="A1" activeCellId="0" sqref="A1"/>
      <selection pane="topRight" activeCell="G1" activeCellId="0" sqref="G1"/>
      <selection pane="bottomLeft" activeCell="A14" activeCellId="0" sqref="A14"/>
      <selection pane="bottomRight" activeCell="A1" activeCellId="0" sqref="A1"/>
    </sheetView>
  </sheetViews>
  <sheetFormatPr defaultColWidth="8.6796875" defaultRowHeight="12.75" customHeight="false" zeroHeight="false" outlineLevelRow="0" outlineLevelCol="0"/>
  <cols>
    <col collapsed="false" customWidth="true" hidden="true" outlineLevel="0" max="3" min="1" style="0" width="9.14"/>
    <col collapsed="false" customWidth="true" hidden="false" outlineLevel="0" max="4" min="4" style="0" width="3.57"/>
    <col collapsed="false" customWidth="true" hidden="false" outlineLevel="0" max="5" min="5" style="0" width="7.57"/>
    <col collapsed="false" customWidth="true" hidden="false" outlineLevel="0" max="6" min="6" style="0" width="35.57"/>
    <col collapsed="false" customWidth="true" hidden="false" outlineLevel="0" max="7" min="7" style="0" width="15.57"/>
    <col collapsed="false" customWidth="true" hidden="false" outlineLevel="0" max="8" min="8" style="0" width="12.57"/>
    <col collapsed="false" customWidth="true" hidden="false" outlineLevel="0" max="9" min="9" style="0" width="7.57"/>
    <col collapsed="false" customWidth="true" hidden="false" outlineLevel="0" max="10" min="10" style="0" width="16.57"/>
    <col collapsed="false" customWidth="true" hidden="false" outlineLevel="0" max="11" min="11" style="0" width="5.57"/>
    <col collapsed="false" customWidth="true" hidden="false" outlineLevel="0" max="15" min="12" style="0" width="16.57"/>
    <col collapsed="false" customWidth="true" hidden="false" outlineLevel="0" max="16" min="16" style="0" width="11.57"/>
    <col collapsed="false" customWidth="true" hidden="true" outlineLevel="0" max="21" min="17" style="0" width="9.14"/>
    <col collapsed="false" customWidth="true" hidden="true" outlineLevel="0" max="22" min="22" style="0" width="12.15"/>
    <col collapsed="false" customWidth="true" hidden="false" outlineLevel="0" max="24" min="23" style="0" width="5.57"/>
    <col collapsed="false" customWidth="true" hidden="false" outlineLevel="0" max="26" min="25" style="0" width="16.57"/>
    <col collapsed="false" customWidth="true" hidden="false" outlineLevel="0" max="27" min="27" style="0" width="1.57"/>
    <col collapsed="false" customWidth="true" hidden="true" outlineLevel="0" max="34" min="29" style="0" width="15.71"/>
    <col collapsed="false" customWidth="true" hidden="true" outlineLevel="0" max="35" min="35" style="0" width="9.14"/>
    <col collapsed="false" customWidth="true" hidden="true" outlineLevel="0" max="41" min="36" style="0" width="15.71"/>
  </cols>
  <sheetData>
    <row r="1" customFormat="false" ht="30" hidden="false" customHeight="true" outlineLevel="0" collapsed="false">
      <c r="F1" s="663" t="str">
        <f aca="false">CONCATENATE("RRE - RELATÓRIO RESUMO DO EMPREENDIMENTO - ",IF(CAIXA.Modo,"CAIXA","TOMADOR"))</f>
        <v>RRE - RELATÓRIO RESUMO DO EMPREENDIMENTO - TOMADOR</v>
      </c>
      <c r="H1" s="49"/>
      <c r="I1" s="49"/>
      <c r="P1" s="664" t="s">
        <v>961</v>
      </c>
      <c r="AD1" s="665" t="s">
        <v>962</v>
      </c>
      <c r="AE1" s="666" t="s">
        <v>963</v>
      </c>
    </row>
    <row r="2" customFormat="false" ht="12.75" hidden="false" customHeight="false" outlineLevel="0" collapsed="false">
      <c r="AC2" s="667" t="str">
        <f aca="false">J25</f>
        <v>Repasse</v>
      </c>
      <c r="AD2" s="668" t="n">
        <f aca="false">AD6-AD4-AD3</f>
        <v>0</v>
      </c>
      <c r="AE2" s="668" t="n">
        <f aca="false">AE6-AE4-AE3</f>
        <v>0</v>
      </c>
    </row>
    <row r="3" customFormat="false" ht="12.75" hidden="false" customHeight="false" outlineLevel="0" collapsed="false">
      <c r="E3" s="171" t="s">
        <v>710</v>
      </c>
      <c r="F3" s="171"/>
      <c r="G3" s="171"/>
      <c r="H3" s="171"/>
      <c r="I3" s="100" t="s">
        <v>708</v>
      </c>
      <c r="J3" s="100"/>
      <c r="K3" s="100"/>
      <c r="L3" s="160" t="s">
        <v>772</v>
      </c>
      <c r="M3" s="312"/>
      <c r="O3" s="669"/>
      <c r="P3" s="518" t="s">
        <v>783</v>
      </c>
      <c r="R3" s="312"/>
      <c r="S3" s="312"/>
      <c r="T3" s="312"/>
      <c r="U3" s="312"/>
      <c r="AC3" s="667" t="s">
        <v>514</v>
      </c>
      <c r="AD3" s="668" t="n">
        <f aca="true">SUM(T13:OFFSET(T24,-1,0))</f>
        <v>0</v>
      </c>
      <c r="AE3" s="668" t="n">
        <f aca="false">IF(OR($O$28&lt;$M$28,$M$26&gt;$AD$3),MIN($M$26,$L$26),MIN($AD$3,$N$28-$N$27+$M$26))</f>
        <v>0</v>
      </c>
    </row>
    <row r="4" customFormat="false" ht="12.75" hidden="false" customHeight="true" outlineLevel="0" collapsed="false">
      <c r="E4" s="180" t="n">
        <f aca="false">Import.Proponente</f>
        <v>0</v>
      </c>
      <c r="F4" s="180"/>
      <c r="G4" s="180"/>
      <c r="H4" s="180"/>
      <c r="I4" s="101" t="n">
        <f aca="false">Import.CR</f>
        <v>0</v>
      </c>
      <c r="J4" s="101"/>
      <c r="K4" s="101"/>
      <c r="L4" s="101" t="n">
        <f aca="false">Import.TransfereGOV</f>
        <v>0</v>
      </c>
      <c r="M4" s="515" t="s">
        <v>897</v>
      </c>
      <c r="N4" s="515"/>
      <c r="O4" s="515"/>
      <c r="P4" s="670" t="str">
        <f aca="false">import.recurso</f>
        <v>(SELECIONAR)</v>
      </c>
      <c r="R4" s="312"/>
      <c r="S4" s="312"/>
      <c r="T4" s="669"/>
      <c r="U4" s="669"/>
      <c r="AC4" s="667" t="s">
        <v>964</v>
      </c>
      <c r="AD4" s="668" t="n">
        <f aca="true">SUM(U13:OFFSET(U24,-1,0))</f>
        <v>0</v>
      </c>
      <c r="AE4" s="668" t="n">
        <f aca="false">IF(OR($O$28&lt;$M$28,$M$27&gt;$AD$4),MIN($M$27,$L$27),MIN($AD$4,$N$28+$M$27))</f>
        <v>0</v>
      </c>
    </row>
    <row r="5" customFormat="false" ht="4.5" hidden="false" customHeight="true" outlineLevel="0" collapsed="false">
      <c r="H5" s="522"/>
      <c r="I5" s="522"/>
      <c r="J5" s="522"/>
      <c r="K5" s="522"/>
      <c r="L5" s="522"/>
      <c r="M5" s="671"/>
      <c r="N5" s="35"/>
      <c r="O5" s="8"/>
      <c r="R5" s="312"/>
      <c r="S5" s="312"/>
      <c r="T5" s="312"/>
      <c r="U5" s="312"/>
    </row>
    <row r="6" customFormat="false" ht="12.75" hidden="false" customHeight="true" outlineLevel="0" collapsed="false">
      <c r="E6" s="100" t="s">
        <v>773</v>
      </c>
      <c r="F6" s="100"/>
      <c r="G6" s="100"/>
      <c r="H6" s="100"/>
      <c r="I6" s="672" t="s">
        <v>896</v>
      </c>
      <c r="J6" s="672"/>
      <c r="K6" s="672"/>
      <c r="L6" s="672"/>
      <c r="M6" s="100" t="str">
        <f aca="false">IF(import.recurso="FGTS","FINANCIAMENTO","REPASSE")</f>
        <v>REPASSE</v>
      </c>
      <c r="N6" s="171" t="s">
        <v>901</v>
      </c>
      <c r="O6" s="100" t="s">
        <v>902</v>
      </c>
      <c r="P6" s="313" t="s">
        <v>965</v>
      </c>
      <c r="R6" s="312"/>
      <c r="S6" s="312"/>
      <c r="T6" s="312"/>
      <c r="U6" s="312"/>
      <c r="AC6" s="667" t="s">
        <v>966</v>
      </c>
      <c r="AD6" s="668" t="n">
        <f aca="false">$O$28</f>
        <v>0</v>
      </c>
      <c r="AE6" s="668" t="n">
        <f aca="false">AD6</f>
        <v>0</v>
      </c>
    </row>
    <row r="7" customFormat="false" ht="12.75" hidden="false" customHeight="true" outlineLevel="0" collapsed="false">
      <c r="D7" s="102" t="s">
        <v>713</v>
      </c>
      <c r="E7" s="101" t="str">
        <f aca="false">Import.Apelido</f>
        <v>REVITALIZAÇÃO DIVERSAS RUAS</v>
      </c>
      <c r="F7" s="101"/>
      <c r="G7" s="101"/>
      <c r="H7" s="101"/>
      <c r="I7" s="673" t="n">
        <f aca="false">Import.Município</f>
        <v>0</v>
      </c>
      <c r="J7" s="673"/>
      <c r="K7" s="673"/>
      <c r="L7" s="673"/>
      <c r="M7" s="674" t="n">
        <f aca="false">Import.Repasse</f>
        <v>0</v>
      </c>
      <c r="N7" s="675" t="n">
        <f aca="false">Import.Contrapartida</f>
        <v>0</v>
      </c>
      <c r="O7" s="674" t="n">
        <f aca="false">M7+N7</f>
        <v>0</v>
      </c>
      <c r="P7" s="676" t="n">
        <f aca="true">IF(ACOMPANHAMENTO="PLE",PLE.Medicao,BM.medicao)</f>
        <v>1</v>
      </c>
      <c r="R7" s="312"/>
      <c r="S7" s="312"/>
      <c r="T7" s="312"/>
      <c r="U7" s="312"/>
    </row>
    <row r="8" customFormat="false" ht="12.75" hidden="false" customHeight="false" outlineLevel="0" collapsed="false">
      <c r="D8" s="102"/>
      <c r="E8" s="164"/>
      <c r="F8" s="164"/>
      <c r="G8" s="164"/>
      <c r="H8" s="164"/>
      <c r="I8" s="164"/>
      <c r="J8" s="164"/>
      <c r="K8" s="164"/>
      <c r="L8" s="164"/>
      <c r="M8" s="164"/>
      <c r="N8" s="164"/>
      <c r="O8" s="164"/>
      <c r="P8" s="164"/>
      <c r="R8" s="312"/>
      <c r="S8" s="312"/>
      <c r="T8" s="312"/>
      <c r="U8" s="312"/>
    </row>
    <row r="9" customFormat="false" ht="12.75" hidden="false" customHeight="true" outlineLevel="0" collapsed="false">
      <c r="D9" s="102"/>
      <c r="G9" s="314" t="s">
        <v>967</v>
      </c>
      <c r="H9" s="314"/>
      <c r="I9" s="314" t="s">
        <v>968</v>
      </c>
      <c r="J9" s="314"/>
      <c r="K9" s="677"/>
      <c r="L9" s="678" t="s">
        <v>909</v>
      </c>
      <c r="M9" s="679" t="s">
        <v>912</v>
      </c>
      <c r="N9" s="527" t="s">
        <v>811</v>
      </c>
      <c r="P9" s="680"/>
      <c r="R9" s="312"/>
      <c r="S9" s="312"/>
      <c r="T9" s="312"/>
      <c r="U9" s="312"/>
      <c r="V9" s="48" t="s">
        <v>969</v>
      </c>
    </row>
    <row r="10" customFormat="false" ht="12.75" hidden="false" customHeight="true" outlineLevel="0" collapsed="false">
      <c r="D10" s="102"/>
      <c r="G10" s="58" t="str">
        <f aca="false">IF(J10="-","-",IF($P$24&lt;J10,"Atrasada",IF($P$24&gt;J10,"Adiantada","Normal")))</f>
        <v>Normal</v>
      </c>
      <c r="H10" s="58"/>
      <c r="I10" s="681" t="n">
        <f aca="false">DATE(YEAR($L$35),MONTH($L$35),1)</f>
        <v>1</v>
      </c>
      <c r="J10" s="682" t="n">
        <f aca="true">IF($I$10&lt;DATE(YEAR(CRONO!$U$13),MONTH(CRONO!$U$13),1),0,IF($I$10&gt;OFFSET(CRONO!$AG$13,0,-1),1,INDEX(CRONO!$T$74:$AH$74,MATCH(RRE!$I$10,CRONO!$T$13:$AG$13,0))))</f>
        <v>0</v>
      </c>
      <c r="K10" s="677"/>
      <c r="L10" s="678"/>
      <c r="M10" s="683" t="n">
        <f aca="false">QCI!L10</f>
        <v>0</v>
      </c>
      <c r="N10" s="531" t="n">
        <f aca="false">QCI!M10</f>
        <v>0</v>
      </c>
      <c r="P10" s="680"/>
      <c r="R10" s="312"/>
      <c r="S10" s="312"/>
      <c r="T10" s="312"/>
      <c r="U10" s="312"/>
      <c r="AC10" s="684" t="s">
        <v>76</v>
      </c>
      <c r="AD10" s="684"/>
      <c r="AE10" s="684"/>
      <c r="AF10" s="684"/>
      <c r="AG10" s="684"/>
      <c r="AH10" s="684"/>
      <c r="AJ10" s="684" t="s">
        <v>78</v>
      </c>
      <c r="AK10" s="684"/>
      <c r="AL10" s="684"/>
      <c r="AM10" s="684"/>
      <c r="AN10" s="684"/>
      <c r="AO10" s="684"/>
    </row>
    <row r="11" customFormat="false" ht="19.5" hidden="false" customHeight="true" outlineLevel="0" collapsed="false">
      <c r="D11" s="102"/>
      <c r="M11" s="685" t="str">
        <f aca="false">IF(CAIXA.Modo,"Valores Aferidos (R$)","Valores Medidos (R$)")</f>
        <v>Valores Medidos (R$)</v>
      </c>
      <c r="N11" s="685"/>
      <c r="O11" s="685"/>
      <c r="R11" s="686"/>
      <c r="S11" s="686"/>
      <c r="T11" s="685"/>
      <c r="U11" s="685"/>
      <c r="V11" s="687" t="s">
        <v>970</v>
      </c>
      <c r="Y11" s="688" t="str">
        <f aca="false">IF(CAIXA.Modo,"Valores Aferidos (R$)","Valores Medidos (R$)")</f>
        <v>Valores Medidos (R$)</v>
      </c>
      <c r="Z11" s="688"/>
      <c r="AC11" s="195" t="s">
        <v>971</v>
      </c>
      <c r="AD11" s="195"/>
      <c r="AE11" s="195"/>
      <c r="AF11" s="195" t="s">
        <v>972</v>
      </c>
      <c r="AG11" s="195"/>
      <c r="AH11" s="195"/>
      <c r="AJ11" s="195" t="s">
        <v>971</v>
      </c>
      <c r="AK11" s="195"/>
      <c r="AL11" s="195"/>
      <c r="AM11" s="195" t="s">
        <v>972</v>
      </c>
      <c r="AN11" s="195"/>
      <c r="AO11" s="195"/>
    </row>
    <row r="12" customFormat="false" ht="30" hidden="true" customHeight="true" outlineLevel="0" collapsed="false">
      <c r="A12" s="0" t="e">
        <f aca="false">MATCH(E12,ORÇAMENTO!$E$15:$E$21,0)-1</f>
        <v>#N/A</v>
      </c>
      <c r="B12" s="0" t="e">
        <f aca="true">IF(ISERROR($A12),NA(),OFFSET(ORÇAMENTO!$D$15,$A12,0))</f>
        <v>#N/A</v>
      </c>
      <c r="C12" s="0" t="str">
        <f aca="false">QCI!B12</f>
        <v>Branco</v>
      </c>
      <c r="D12" s="0" t="str">
        <f aca="false">IF(L12&gt;0,"F","")</f>
        <v/>
      </c>
      <c r="E12" s="534" t="n">
        <f aca="false">QCI!D12</f>
        <v>-1</v>
      </c>
      <c r="F12" s="689" t="str">
        <f aca="false">QCI!G12</f>
        <v/>
      </c>
      <c r="G12" s="690" t="n">
        <f aca="false">QCI!H12</f>
        <v>0</v>
      </c>
      <c r="H12" s="537" t="n">
        <f aca="false">QCI!I12</f>
        <v>0</v>
      </c>
      <c r="I12" s="537" t="str">
        <f aca="false">QCI!J12</f>
        <v/>
      </c>
      <c r="J12" s="691" t="str">
        <f aca="false">QCI!K12</f>
        <v/>
      </c>
      <c r="K12" s="692" t="str">
        <f aca="true" t="array" ref="K12:K12">IF($C12="Automático",IF(ACOMPANHAMENTO="BM",BM.medicao,PLE.Medicao),IF(ISBLANK($X12),"",$X12))</f>
        <v/>
      </c>
      <c r="L12" s="542" t="n">
        <f aca="false">QCI!$O12</f>
        <v>0</v>
      </c>
      <c r="M12" s="539" t="n">
        <f aca="false">ROUND(IF(C12="Automático",AE12+AL12,Y12),2)</f>
        <v>0</v>
      </c>
      <c r="N12" s="540" t="n">
        <f aca="false">O12-M12</f>
        <v>0</v>
      </c>
      <c r="O12" s="541" t="n">
        <f aca="false">ROUND(IF(C12="Automático",AH12+AO12,Z12),2)</f>
        <v>0</v>
      </c>
      <c r="P12" s="693" t="n">
        <f aca="false">O12/(L12+10^-12)</f>
        <v>0</v>
      </c>
      <c r="R12" s="694" t="n">
        <f aca="false">ROUND(IF($C12="Automático",AC12+AJ12,$Y12*IF(ISERROR(QCI!$AA12/QCI!$O12),0,QCI!$AA12/QCI!$O12)),2)</f>
        <v>0</v>
      </c>
      <c r="S12" s="694" t="n">
        <f aca="false">ROUND(IF($C12="Automático",AD12+AK12,$Y12*IF(ISERROR(QCI!$AB12/QCI!$O12),0,QCI!$AB12/QCI!$O12)),2)</f>
        <v>0</v>
      </c>
      <c r="T12" s="694" t="n">
        <f aca="false">ROUND(IF($C12="Automático",AF12+AM12,$Z12*IF(ISERROR(QCI!$AA12/QCI!$O12),0,QCI!$AA12/QCI!$O12)),2)</f>
        <v>0</v>
      </c>
      <c r="U12" s="694" t="n">
        <f aca="false">ROUND(IF($C12="Automático",AG12+AN12,$Z12*IF(ISERROR(QCI!$AB12/QCI!$O12),0,QCI!$AB12/QCI!$O12)),2)</f>
        <v>0</v>
      </c>
      <c r="V12" s="97" t="str">
        <f aca="true">IF(AND($L12&gt;0,$J12&lt;&gt;0,$J12&lt;&gt;"",COUNTIF($J12:$J$13,$J12)=1),OFFSET(V12,-1,0)+1,OFFSET(V12,-1,0))</f>
        <v>Lista CTEFs</v>
      </c>
      <c r="X12" s="695"/>
      <c r="Y12" s="696"/>
      <c r="Z12" s="697"/>
      <c r="AC12" s="263" t="e">
        <f aca="true" t="array" ref="AC12:AC12">IF(ACOMPANHAMENTO&lt;&gt;"PLE",0,SUMPRODUCT((OFFSET(CÁLCULO!$AX$15:$BH$15,$A12,0,$B12)&lt;=(PLE.Medicao-1))*OFFSET(CÁLCULO!$AB$15:$AL$15,$A12,0,$B12)*OFFSET(ORÇAMENTO!$AA$15,$A12,0,$B12)/(OFFSET(ORÇAMENTO!$X$15,$A12,0,$B12)+10^-12))+IF(AUTOEVENTO="Manual",SUMPRODUCT((OFFSET(CÁLCULO!$M$15,$A12,0,$B12)=1)*OFFSET(ORÇAMENTO!$AA$15,$A12,0,$B12)*(PLE!$AE$9-PLE!$Y$9)),0))</f>
        <v>#N/A</v>
      </c>
      <c r="AD12" s="263" t="e">
        <f aca="true" t="array" ref="AD12:AD12">IF(ACOMPANHAMENTO&lt;&gt;"PLE",0,SUMPRODUCT((OFFSET(CÁLCULO!$AX$15:$BH$15,$A12,0,$B12)&lt;=(PLE.Medicao-1))*OFFSET(CÁLCULO!$AB$15:$AL$15,$A12,0,$B12)*OFFSET(ORÇAMENTO!$AB$15,$A12,0,$B12)/(OFFSET(ORÇAMENTO!$X$15,$A12,0,$B12)+10^-12))+IF(AUTOEVENTO="Manual",SUMPRODUCT((OFFSET(CÁLCULO!$M$15,$A12,0,$B12)=1)*OFFSET(ORÇAMENTO!$AB$15,$A12,0,$B12)*(PLE!$AE$9-PLE!$Y$9)),0))</f>
        <v>#N/A</v>
      </c>
      <c r="AE12" s="263" t="e">
        <f aca="true">ROUND(
            IF(ACOMPANHAMENTO&lt;&gt;"PLE",0,
                      SUMIF(OFFSET(CÁLCULO!$AX$15:$BH$15,$A12,0,$B12),"&lt;="&amp;(PLE.Medicao-1),OFFSET(CÁLCULO!$AB$15:$AL$15,$A12,0,$B12))
                      +IF(AdmLocal="Automática",
                              SUMIF(OFFSET(CÁLCULO!$M$15,$A12,0,$B12),1,OFFSET(ORÇAMENTO!$X$15,$A12,0,$B12))*(PLE!$AE$9-PLE!$Y$9),
                              0)),
            2)</f>
        <v>#N/A</v>
      </c>
      <c r="AF12" s="263" t="e">
        <f aca="true" t="array" ref="AF12:AF12">IF(ACOMPANHAMENTO&lt;&gt;"PLE",0,SUMPRODUCT((OFFSET(CÁLCULO!$AX$15:$BH$15,$A12,0,$B12)&lt;=PLE.Medicao)*OFFSET(CÁLCULO!$AB$15:$AL$15,$A12,0,$B12)*OFFSET(ORÇAMENTO!$AA$15,$A12,0,$B12)/(OFFSET(ORÇAMENTO!$X$15,$A12,0,$B12)+10^-12))+IF(AUTOEVENTO="Manual",SUMPRODUCT((OFFSET(CÁLCULO!$M$15,$A12,0,$B12)=1)*OFFSET(ORÇAMENTO!$AA$15,$A12,0,$B12)*PLE!$AE$9),0))</f>
        <v>#N/A</v>
      </c>
      <c r="AG12" s="263" t="e">
        <f aca="true" t="array" ref="AG12:AG12">IF(ACOMPANHAMENTO&lt;&gt;"PLE",0,SUMPRODUCT((OFFSET(CÁLCULO!$AX$15:$BH$15,$A12,0,$B12)&lt;=PLE.Medicao)*OFFSET(CÁLCULO!$AB$15:$AL$15,$A12,0,$B12)*OFFSET(ORÇAMENTO!$AB$15,$A12,0,$B12)/(OFFSET(ORÇAMENTO!$X$15,$A12,0,$B12)+10^-12))+IF(AUTOEVENTO="Manual",SUMPRODUCT((OFFSET(CÁLCULO!$M$15,$A12,0,$B12)=1)*OFFSET(ORÇAMENTO!$AB$15,$A12,0,$B12)*PLE!$AE$9),0))</f>
        <v>#N/A</v>
      </c>
      <c r="AH12" s="263" t="e">
        <f aca="true">ROUND(IF(ACOMPANHAMENTO&lt;&gt;"PLE",0,SUMIF(OFFSET(CÁLCULO!$AX$15:$BH$15,$A12,0,$B12),"&lt;="&amp;PLE.Medicao,OFFSET(CÁLCULO!$AB$15:$AL$15,$A12,0,$B12))+IF(AdmLocal="Automática",SUMIF(OFFSET(CÁLCULO!$M$15,$A12,0,$B12),1,OFFSET(ORÇAMENTO!$X$15,$A12,0,$B12))*PLE!$AE$9,0)),2)</f>
        <v>#N/A</v>
      </c>
      <c r="AJ12" s="263" t="n">
        <f aca="true" t="array" ref="AJ12:AJ12">IF(ACOMPANHAMENTO&lt;&gt;"BM",0,SUMPRODUCT(OFFSET(BM!$M$15,$A12,0,$B12)*(OFFSET(BM!$A$15,$A12,0,$B12)="S")*OFFSET(ORÇAMENTO!AA$15,$A12,0,$B12)/(OFFSET(ORÇAMENTO!$X$15,$A12,0,$B12)+10^-12)))</f>
        <v>0</v>
      </c>
      <c r="AK12" s="263" t="n">
        <f aca="true" t="array" ref="AK12:AK12">IF(ACOMPANHAMENTO&lt;&gt;"BM",0,SUMPRODUCT(OFFSET(BM!$M$15,$A12,0,$B12)*(OFFSET(BM!$A$15,$A12,0,$B12)="S")*OFFSET(ORÇAMENTO!AB$15,$A12,0,$B12)/(OFFSET(ORÇAMENTO!$X$15,$A12,0,$B12)+10^-12)))</f>
        <v>0</v>
      </c>
      <c r="AL12" s="263" t="n">
        <f aca="true">IF(ACOMPANHAMENTO&lt;&gt;"BM",0,OFFSET(BM!$M$15,$A12,0))</f>
        <v>0</v>
      </c>
      <c r="AM12" s="263" t="n">
        <f aca="true" t="array" ref="AM12:AM12">IF(ACOMPANHAMENTO&lt;&gt;"BM",0,SUMPRODUCT(OFFSET(BM!$O$15,$A12,0,$B12)*(OFFSET(BM!$A$15,$A12,0,$B12)="S")*OFFSET(ORÇAMENTO!AA$15,$A12,0,$B12)/(OFFSET(ORÇAMENTO!$X$15,$A12,0,$B12)+10^-12)))</f>
        <v>0</v>
      </c>
      <c r="AN12" s="263" t="n">
        <f aca="true" t="array" ref="AN12:AN12">IF(ACOMPANHAMENTO&lt;&gt;"BM",0,SUMPRODUCT(OFFSET(BM!$O$15,$A12,0,$B12)*(OFFSET(BM!$A$15,$A12,0,$B12)="S")*OFFSET(ORÇAMENTO!AB$15,$A12,0,$B12)/(OFFSET(ORÇAMENTO!$X$15,$A12,0,$B12)+10^-12)))</f>
        <v>0</v>
      </c>
      <c r="AO12" s="263" t="n">
        <f aca="true">IF(ACOMPANHAMENTO&lt;&gt;"BM",0,OFFSET(BM!$O$15,$A12,0))</f>
        <v>0</v>
      </c>
    </row>
    <row r="13" customFormat="false" ht="39.75" hidden="false" customHeight="true" outlineLevel="0" collapsed="false">
      <c r="A13" s="552" t="s">
        <v>973</v>
      </c>
      <c r="B13" s="52" t="s">
        <v>795</v>
      </c>
      <c r="C13" s="552" t="s">
        <v>913</v>
      </c>
      <c r="D13" s="109" t="s">
        <v>718</v>
      </c>
      <c r="E13" s="193" t="s">
        <v>761</v>
      </c>
      <c r="F13" s="193" t="s">
        <v>916</v>
      </c>
      <c r="G13" s="193" t="s">
        <v>726</v>
      </c>
      <c r="H13" s="193" t="s">
        <v>779</v>
      </c>
      <c r="I13" s="193" t="s">
        <v>917</v>
      </c>
      <c r="J13" s="193" t="s">
        <v>918</v>
      </c>
      <c r="K13" s="553" t="s">
        <v>974</v>
      </c>
      <c r="L13" s="193" t="s">
        <v>975</v>
      </c>
      <c r="M13" s="553" t="s">
        <v>971</v>
      </c>
      <c r="N13" s="554" t="s">
        <v>976</v>
      </c>
      <c r="O13" s="555" t="s">
        <v>972</v>
      </c>
      <c r="P13" s="193" t="s">
        <v>977</v>
      </c>
      <c r="R13" s="698" t="s">
        <v>978</v>
      </c>
      <c r="S13" s="698" t="s">
        <v>979</v>
      </c>
      <c r="T13" s="698" t="s">
        <v>980</v>
      </c>
      <c r="U13" s="698" t="s">
        <v>981</v>
      </c>
      <c r="V13" s="161"/>
      <c r="X13" s="553" t="s">
        <v>974</v>
      </c>
      <c r="Y13" s="199" t="s">
        <v>971</v>
      </c>
      <c r="Z13" s="202" t="s">
        <v>972</v>
      </c>
      <c r="AC13" s="195" t="s">
        <v>514</v>
      </c>
      <c r="AD13" s="195" t="s">
        <v>964</v>
      </c>
      <c r="AE13" s="195" t="s">
        <v>966</v>
      </c>
      <c r="AF13" s="195" t="s">
        <v>514</v>
      </c>
      <c r="AG13" s="195" t="s">
        <v>964</v>
      </c>
      <c r="AH13" s="195" t="s">
        <v>966</v>
      </c>
      <c r="AJ13" s="195" t="s">
        <v>514</v>
      </c>
      <c r="AK13" s="195" t="s">
        <v>964</v>
      </c>
      <c r="AL13" s="195" t="s">
        <v>966</v>
      </c>
      <c r="AM13" s="195" t="s">
        <v>514</v>
      </c>
      <c r="AN13" s="195" t="s">
        <v>964</v>
      </c>
      <c r="AO13" s="195" t="s">
        <v>966</v>
      </c>
    </row>
    <row r="14" customFormat="false" ht="30" hidden="false" customHeight="true" outlineLevel="0" collapsed="false">
      <c r="A14" s="0" t="n">
        <f aca="false">MATCH(E14,ORÇAMENTO!$E$15:$E$21,0)-1</f>
        <v>1</v>
      </c>
      <c r="B14" s="0" t="n">
        <f aca="true">IF(ISERROR($A14),NA(),OFFSET(ORÇAMENTO!$D$15,$A14,0))</f>
        <v>5</v>
      </c>
      <c r="C14" s="0" t="str">
        <f aca="false">QCI!B14</f>
        <v>Automático</v>
      </c>
      <c r="D14" s="0" t="str">
        <f aca="false">IF(L14&gt;0,"F","")</f>
        <v/>
      </c>
      <c r="E14" s="534" t="n">
        <f aca="false">QCI!D14</f>
        <v>1</v>
      </c>
      <c r="F14" s="689" t="str">
        <f aca="false">QCI!G14</f>
        <v>REVITALIZAÇÃO DIVERSAS RUAS - RUA CARLOS GOMES</v>
      </c>
      <c r="G14" s="690" t="n">
        <f aca="false">QCI!H14</f>
        <v>0</v>
      </c>
      <c r="H14" s="537" t="n">
        <f aca="false">QCI!I14</f>
        <v>0</v>
      </c>
      <c r="I14" s="537" t="str">
        <f aca="false">QCI!J14</f>
        <v/>
      </c>
      <c r="J14" s="691" t="str">
        <f aca="false">QCI!K14</f>
        <v>LOTE 1</v>
      </c>
      <c r="K14" s="692" t="n">
        <f aca="true" t="array" ref="K14:K14">IF($C14="Automático",IF(ACOMPANHAMENTO="BM",BM.medicao,PLE.Medicao),IF(ISBLANK($X14),"",$X14))</f>
        <v>1</v>
      </c>
      <c r="L14" s="542" t="n">
        <f aca="false">QCI!$O14</f>
        <v>0</v>
      </c>
      <c r="M14" s="539" t="n">
        <f aca="false">ROUND(IF(C14="Automático",AE14+AL14,Y14),2)</f>
        <v>0</v>
      </c>
      <c r="N14" s="540" t="n">
        <f aca="false">O14-M14</f>
        <v>0</v>
      </c>
      <c r="O14" s="541" t="n">
        <f aca="false">ROUND(IF(C14="Automático",AH14+AO14,Z14),2)</f>
        <v>0</v>
      </c>
      <c r="P14" s="693" t="n">
        <f aca="false">O14/(L14+10^-12)</f>
        <v>0</v>
      </c>
      <c r="R14" s="694" t="n">
        <f aca="false">ROUND(IF($C14="Automático",AC14+AJ14,$Y14*IF(ISERROR(QCI!$AA14/QCI!$O14),0,QCI!$AA14/QCI!$O14)),2)</f>
        <v>0</v>
      </c>
      <c r="S14" s="694" t="n">
        <f aca="false">ROUND(IF($C14="Automático",AD14+AK14,$Y14*IF(ISERROR(QCI!$AB14/QCI!$O14),0,QCI!$AB14/QCI!$O14)),2)</f>
        <v>0</v>
      </c>
      <c r="T14" s="694" t="n">
        <f aca="false">ROUND(IF($C14="Automático",AF14+AM14,$Z14*IF(ISERROR(QCI!$AA14/QCI!$O14),0,QCI!$AA14/QCI!$O14)),2)</f>
        <v>0</v>
      </c>
      <c r="U14" s="694" t="n">
        <f aca="false">ROUND(IF($C14="Automático",AG14+AN14,$Z14*IF(ISERROR(QCI!$AB14/QCI!$O14),0,QCI!$AB14/QCI!$O14)),2)</f>
        <v>0</v>
      </c>
      <c r="V14" s="97" t="n">
        <f aca="true">IF(AND($L14&gt;0,$J14&lt;&gt;0,$J14&lt;&gt;"",COUNTIF($J$13:$J14,$J14)=1),OFFSET(V14,-1,0)+1,OFFSET(V14,-1,0))</f>
        <v>0</v>
      </c>
      <c r="X14" s="695"/>
      <c r="Y14" s="696"/>
      <c r="Z14" s="697"/>
      <c r="AC14" s="263" t="n">
        <f aca="true" t="array" ref="AC14:AC14">IF(ACOMPANHAMENTO&lt;&gt;"PLE",0,SUMPRODUCT((OFFSET(CÁLCULO!$AX$15:$BH$15,$A14,0,$B14)&lt;=(PLE.Medicao-1))*OFFSET(CÁLCULO!$AB$15:$AL$15,$A14,0,$B14)*OFFSET(ORÇAMENTO!$AA$15,$A14,0,$B14)/(OFFSET(ORÇAMENTO!$X$15,$A14,0,$B14)+10^-12))+IF(AUTOEVENTO="Manual",SUMPRODUCT((OFFSET(CÁLCULO!$M$15,$A14,0,$B14)=1)*OFFSET(ORÇAMENTO!$AA$15,$A14,0,$B14)*(PLE!$AE$9-PLE!$Y$9)),0))</f>
        <v>0</v>
      </c>
      <c r="AD14" s="263" t="n">
        <f aca="true" t="array" ref="AD14:AD14">IF(ACOMPANHAMENTO&lt;&gt;"PLE",0,SUMPRODUCT((OFFSET(CÁLCULO!$AX$15:$BH$15,$A14,0,$B14)&lt;=(PLE.Medicao-1))*OFFSET(CÁLCULO!$AB$15:$AL$15,$A14,0,$B14)*OFFSET(ORÇAMENTO!$AB$15,$A14,0,$B14)/(OFFSET(ORÇAMENTO!$X$15,$A14,0,$B14)+10^-12))+IF(AUTOEVENTO="Manual",SUMPRODUCT((OFFSET(CÁLCULO!$M$15,$A14,0,$B14)=1)*OFFSET(ORÇAMENTO!$AB$15,$A14,0,$B14)*(PLE!$AE$9-PLE!$Y$9)),0))</f>
        <v>0</v>
      </c>
      <c r="AE14" s="263" t="n">
        <f aca="true">ROUND(
            IF(ACOMPANHAMENTO&lt;&gt;"PLE",0,
                      SUMIF(OFFSET(CÁLCULO!$AX$15:$BH$15,$A14,0,$B14),"&lt;="&amp;(PLE.Medicao-1),OFFSET(CÁLCULO!$AB$15:$AL$15,$A14,0,$B14))
                      +IF(AdmLocal="Automática",
                              SUMIF(OFFSET(CÁLCULO!$M$15,$A14,0,$B14),1,OFFSET(ORÇAMENTO!$X$15,$A14,0,$B14))*(PLE!$AE$9-PLE!$Y$9),
                              0)),
            2)</f>
        <v>0</v>
      </c>
      <c r="AF14" s="263" t="n">
        <f aca="true" t="array" ref="AF14:AF14">IF(ACOMPANHAMENTO&lt;&gt;"PLE",0,SUMPRODUCT((OFFSET(CÁLCULO!$AX$15:$BH$15,$A14,0,$B14)&lt;=PLE.Medicao)*OFFSET(CÁLCULO!$AB$15:$AL$15,$A14,0,$B14)*OFFSET(ORÇAMENTO!$AA$15,$A14,0,$B14)/(OFFSET(ORÇAMENTO!$X$15,$A14,0,$B14)+10^-12))+IF(AUTOEVENTO="Manual",SUMPRODUCT((OFFSET(CÁLCULO!$M$15,$A14,0,$B14)=1)*OFFSET(ORÇAMENTO!$AA$15,$A14,0,$B14)*PLE!$AE$9),0))</f>
        <v>0</v>
      </c>
      <c r="AG14" s="263" t="n">
        <f aca="true" t="array" ref="AG14:AG14">IF(ACOMPANHAMENTO&lt;&gt;"PLE",0,SUMPRODUCT((OFFSET(CÁLCULO!$AX$15:$BH$15,$A14,0,$B14)&lt;=PLE.Medicao)*OFFSET(CÁLCULO!$AB$15:$AL$15,$A14,0,$B14)*OFFSET(ORÇAMENTO!$AB$15,$A14,0,$B14)/(OFFSET(ORÇAMENTO!$X$15,$A14,0,$B14)+10^-12))+IF(AUTOEVENTO="Manual",SUMPRODUCT((OFFSET(CÁLCULO!$M$15,$A14,0,$B14)=1)*OFFSET(ORÇAMENTO!$AB$15,$A14,0,$B14)*PLE!$AE$9),0))</f>
        <v>0</v>
      </c>
      <c r="AH14" s="263" t="n">
        <f aca="true">ROUND(IF(ACOMPANHAMENTO&lt;&gt;"PLE",0,SUMIF(OFFSET(CÁLCULO!$AX$15:$BH$15,$A14,0,$B14),"&lt;="&amp;PLE.Medicao,OFFSET(CÁLCULO!$AB$15:$AL$15,$A14,0,$B14))+IF(AdmLocal="Automática",SUMIF(OFFSET(CÁLCULO!$M$15,$A14,0,$B14),1,OFFSET(ORÇAMENTO!$X$15,$A14,0,$B14))*PLE!$AE$9,0)),2)</f>
        <v>0</v>
      </c>
      <c r="AJ14" s="263" t="n">
        <f aca="true" t="array" ref="AJ14:AJ14">IF(ACOMPANHAMENTO&lt;&gt;"BM",0,SUMPRODUCT(OFFSET(BM!$M$15,$A14,0,$B14)*(OFFSET(BM!$A$15,$A14,0,$B14)="S")*OFFSET(ORÇAMENTO!AA$15,$A14,0,$B14)/(OFFSET(ORÇAMENTO!$X$15,$A14,0,$B14)+10^-12)))</f>
        <v>0</v>
      </c>
      <c r="AK14" s="263" t="n">
        <f aca="true" t="array" ref="AK14:AK14">IF(ACOMPANHAMENTO&lt;&gt;"BM",0,SUMPRODUCT(OFFSET(BM!$M$15,$A14,0,$B14)*(OFFSET(BM!$A$15,$A14,0,$B14)="S")*OFFSET(ORÇAMENTO!AB$15,$A14,0,$B14)/(OFFSET(ORÇAMENTO!$X$15,$A14,0,$B14)+10^-12)))</f>
        <v>0</v>
      </c>
      <c r="AL14" s="263" t="n">
        <f aca="true">IF(ACOMPANHAMENTO&lt;&gt;"BM",0,OFFSET(BM!$M$15,$A14,0))</f>
        <v>0</v>
      </c>
      <c r="AM14" s="263" t="n">
        <f aca="true" t="array" ref="AM14:AM14">IF(ACOMPANHAMENTO&lt;&gt;"BM",0,SUMPRODUCT(OFFSET(BM!$O$15,$A14,0,$B14)*(OFFSET(BM!$A$15,$A14,0,$B14)="S")*OFFSET(ORÇAMENTO!AA$15,$A14,0,$B14)/(OFFSET(ORÇAMENTO!$X$15,$A14,0,$B14)+10^-12)))</f>
        <v>0</v>
      </c>
      <c r="AN14" s="263" t="n">
        <f aca="true" t="array" ref="AN14:AN14">IF(ACOMPANHAMENTO&lt;&gt;"BM",0,SUMPRODUCT(OFFSET(BM!$O$15,$A14,0,$B14)*(OFFSET(BM!$A$15,$A14,0,$B14)="S")*OFFSET(ORÇAMENTO!AB$15,$A14,0,$B14)/(OFFSET(ORÇAMENTO!$X$15,$A14,0,$B14)+10^-12)))</f>
        <v>0</v>
      </c>
      <c r="AO14" s="263" t="n">
        <f aca="true">IF(ACOMPANHAMENTO&lt;&gt;"BM",0,OFFSET(BM!$O$15,$A14,0))</f>
        <v>0</v>
      </c>
    </row>
    <row r="15" customFormat="false" ht="30" hidden="false" customHeight="true" outlineLevel="0" collapsed="false">
      <c r="A15" s="0" t="e">
        <f aca="false">MATCH(E15,ORÇAMENTO!$E$15:$E$21,0)-1</f>
        <v>#N/A</v>
      </c>
      <c r="B15" s="0" t="e">
        <f aca="true">IF(ISERROR($A15),NA(),OFFSET(ORÇAMENTO!$D$15,$A15,0))</f>
        <v>#N/A</v>
      </c>
      <c r="C15" s="0" t="str">
        <f aca="false">QCI!B15</f>
        <v>Branco</v>
      </c>
      <c r="D15" s="0" t="str">
        <f aca="false">IF(L15&gt;0,"F","")</f>
        <v/>
      </c>
      <c r="E15" s="534" t="n">
        <f aca="false">QCI!D15</f>
        <v>2</v>
      </c>
      <c r="F15" s="689" t="str">
        <f aca="false">QCI!G15</f>
        <v/>
      </c>
      <c r="G15" s="690" t="n">
        <f aca="false">QCI!H15</f>
        <v>0</v>
      </c>
      <c r="H15" s="537" t="n">
        <f aca="false">QCI!I15</f>
        <v>0</v>
      </c>
      <c r="I15" s="537" t="str">
        <f aca="false">QCI!J15</f>
        <v/>
      </c>
      <c r="J15" s="691" t="str">
        <f aca="false">QCI!K15</f>
        <v/>
      </c>
      <c r="K15" s="692" t="str">
        <f aca="true" t="array" ref="K15:K15">IF($C15="Automático",IF(ACOMPANHAMENTO="BM",BM.medicao,PLE.Medicao),IF(ISBLANK($X15),"",$X15))</f>
        <v/>
      </c>
      <c r="L15" s="542" t="n">
        <f aca="false">QCI!$O15</f>
        <v>0</v>
      </c>
      <c r="M15" s="539" t="n">
        <f aca="false">ROUND(IF(C15="Automático",AE15+AL15,Y15),2)</f>
        <v>0</v>
      </c>
      <c r="N15" s="540" t="n">
        <f aca="false">O15-M15</f>
        <v>0</v>
      </c>
      <c r="O15" s="541" t="n">
        <f aca="false">ROUND(IF(C15="Automático",AH15+AO15,Z15),2)</f>
        <v>0</v>
      </c>
      <c r="P15" s="693" t="n">
        <f aca="false">O15/(L15+10^-12)</f>
        <v>0</v>
      </c>
      <c r="R15" s="694" t="n">
        <f aca="false">ROUND(IF($C15="Automático",AC15+AJ15,$Y15*IF(ISERROR(QCI!$AA15/QCI!$O15),0,QCI!$AA15/QCI!$O15)),2)</f>
        <v>0</v>
      </c>
      <c r="S15" s="694" t="n">
        <f aca="false">ROUND(IF($C15="Automático",AD15+AK15,$Y15*IF(ISERROR(QCI!$AB15/QCI!$O15),0,QCI!$AB15/QCI!$O15)),2)</f>
        <v>0</v>
      </c>
      <c r="T15" s="694" t="n">
        <f aca="false">ROUND(IF($C15="Automático",AF15+AM15,$Z15*IF(ISERROR(QCI!$AA15/QCI!$O15),0,QCI!$AA15/QCI!$O15)),2)</f>
        <v>0</v>
      </c>
      <c r="U15" s="694" t="n">
        <f aca="false">ROUND(IF($C15="Automático",AG15+AN15,$Z15*IF(ISERROR(QCI!$AB15/QCI!$O15),0,QCI!$AB15/QCI!$O15)),2)</f>
        <v>0</v>
      </c>
      <c r="V15" s="97" t="n">
        <f aca="true">IF(AND($L15&gt;0,$J15&lt;&gt;0,$J15&lt;&gt;"",COUNTIF($J$13:$J15,$J15)=1),OFFSET(V15,-1,0)+1,OFFSET(V15,-1,0))</f>
        <v>0</v>
      </c>
      <c r="X15" s="695"/>
      <c r="Y15" s="696"/>
      <c r="Z15" s="697"/>
      <c r="AC15" s="263" t="e">
        <f aca="true" t="array" ref="AC15:AC15">IF(ACOMPANHAMENTO&lt;&gt;"PLE",0,SUMPRODUCT((OFFSET(CÁLCULO!$AX$15:$BH$15,$A15,0,$B15)&lt;=(PLE.Medicao-1))*OFFSET(CÁLCULO!$AB$15:$AL$15,$A15,0,$B15)*OFFSET(ORÇAMENTO!$AA$15,$A15,0,$B15)/(OFFSET(ORÇAMENTO!$X$15,$A15,0,$B15)+10^-12))+IF(AUTOEVENTO="Manual",SUMPRODUCT((OFFSET(CÁLCULO!$M$15,$A15,0,$B15)=1)*OFFSET(ORÇAMENTO!$AA$15,$A15,0,$B15)*(PLE!$AE$9-PLE!$Y$9)),0))</f>
        <v>#N/A</v>
      </c>
      <c r="AD15" s="263" t="e">
        <f aca="true" t="array" ref="AD15:AD15">IF(ACOMPANHAMENTO&lt;&gt;"PLE",0,SUMPRODUCT((OFFSET(CÁLCULO!$AX$15:$BH$15,$A15,0,$B15)&lt;=(PLE.Medicao-1))*OFFSET(CÁLCULO!$AB$15:$AL$15,$A15,0,$B15)*OFFSET(ORÇAMENTO!$AB$15,$A15,0,$B15)/(OFFSET(ORÇAMENTO!$X$15,$A15,0,$B15)+10^-12))+IF(AUTOEVENTO="Manual",SUMPRODUCT((OFFSET(CÁLCULO!$M$15,$A15,0,$B15)=1)*OFFSET(ORÇAMENTO!$AB$15,$A15,0,$B15)*(PLE!$AE$9-PLE!$Y$9)),0))</f>
        <v>#N/A</v>
      </c>
      <c r="AE15" s="263" t="e">
        <f aca="true">ROUND(
            IF(ACOMPANHAMENTO&lt;&gt;"PLE",0,
                      SUMIF(OFFSET(CÁLCULO!$AX$15:$BH$15,$A15,0,$B15),"&lt;="&amp;(PLE.Medicao-1),OFFSET(CÁLCULO!$AB$15:$AL$15,$A15,0,$B15))
                      +IF(AdmLocal="Automática",
                              SUMIF(OFFSET(CÁLCULO!$M$15,$A15,0,$B15),1,OFFSET(ORÇAMENTO!$X$15,$A15,0,$B15))*(PLE!$AE$9-PLE!$Y$9),
                              0)),
            2)</f>
        <v>#N/A</v>
      </c>
      <c r="AF15" s="263" t="e">
        <f aca="true" t="array" ref="AF15:AF15">IF(ACOMPANHAMENTO&lt;&gt;"PLE",0,SUMPRODUCT((OFFSET(CÁLCULO!$AX$15:$BH$15,$A15,0,$B15)&lt;=PLE.Medicao)*OFFSET(CÁLCULO!$AB$15:$AL$15,$A15,0,$B15)*OFFSET(ORÇAMENTO!$AA$15,$A15,0,$B15)/(OFFSET(ORÇAMENTO!$X$15,$A15,0,$B15)+10^-12))+IF(AUTOEVENTO="Manual",SUMPRODUCT((OFFSET(CÁLCULO!$M$15,$A15,0,$B15)=1)*OFFSET(ORÇAMENTO!$AA$15,$A15,0,$B15)*PLE!$AE$9),0))</f>
        <v>#N/A</v>
      </c>
      <c r="AG15" s="263" t="e">
        <f aca="true" t="array" ref="AG15:AG15">IF(ACOMPANHAMENTO&lt;&gt;"PLE",0,SUMPRODUCT((OFFSET(CÁLCULO!$AX$15:$BH$15,$A15,0,$B15)&lt;=PLE.Medicao)*OFFSET(CÁLCULO!$AB$15:$AL$15,$A15,0,$B15)*OFFSET(ORÇAMENTO!$AB$15,$A15,0,$B15)/(OFFSET(ORÇAMENTO!$X$15,$A15,0,$B15)+10^-12))+IF(AUTOEVENTO="Manual",SUMPRODUCT((OFFSET(CÁLCULO!$M$15,$A15,0,$B15)=1)*OFFSET(ORÇAMENTO!$AB$15,$A15,0,$B15)*PLE!$AE$9),0))</f>
        <v>#N/A</v>
      </c>
      <c r="AH15" s="263" t="e">
        <f aca="true">ROUND(IF(ACOMPANHAMENTO&lt;&gt;"PLE",0,SUMIF(OFFSET(CÁLCULO!$AX$15:$BH$15,$A15,0,$B15),"&lt;="&amp;PLE.Medicao,OFFSET(CÁLCULO!$AB$15:$AL$15,$A15,0,$B15))+IF(AdmLocal="Automática",SUMIF(OFFSET(CÁLCULO!$M$15,$A15,0,$B15),1,OFFSET(ORÇAMENTO!$X$15,$A15,0,$B15))*PLE!$AE$9,0)),2)</f>
        <v>#N/A</v>
      </c>
      <c r="AJ15" s="263" t="n">
        <f aca="true" t="array" ref="AJ15:AJ15">IF(ACOMPANHAMENTO&lt;&gt;"BM",0,SUMPRODUCT(OFFSET(BM!$M$15,$A15,0,$B15)*(OFFSET(BM!$A$15,$A15,0,$B15)="S")*OFFSET(ORÇAMENTO!AA$15,$A15,0,$B15)/(OFFSET(ORÇAMENTO!$X$15,$A15,0,$B15)+10^-12)))</f>
        <v>0</v>
      </c>
      <c r="AK15" s="263" t="n">
        <f aca="true" t="array" ref="AK15:AK15">IF(ACOMPANHAMENTO&lt;&gt;"BM",0,SUMPRODUCT(OFFSET(BM!$M$15,$A15,0,$B15)*(OFFSET(BM!$A$15,$A15,0,$B15)="S")*OFFSET(ORÇAMENTO!AB$15,$A15,0,$B15)/(OFFSET(ORÇAMENTO!$X$15,$A15,0,$B15)+10^-12)))</f>
        <v>0</v>
      </c>
      <c r="AL15" s="263" t="n">
        <f aca="true">IF(ACOMPANHAMENTO&lt;&gt;"BM",0,OFFSET(BM!$M$15,$A15,0))</f>
        <v>0</v>
      </c>
      <c r="AM15" s="263" t="n">
        <f aca="true" t="array" ref="AM15:AM15">IF(ACOMPANHAMENTO&lt;&gt;"BM",0,SUMPRODUCT(OFFSET(BM!$O$15,$A15,0,$B15)*(OFFSET(BM!$A$15,$A15,0,$B15)="S")*OFFSET(ORÇAMENTO!AA$15,$A15,0,$B15)/(OFFSET(ORÇAMENTO!$X$15,$A15,0,$B15)+10^-12)))</f>
        <v>0</v>
      </c>
      <c r="AN15" s="263" t="n">
        <f aca="true" t="array" ref="AN15:AN15">IF(ACOMPANHAMENTO&lt;&gt;"BM",0,SUMPRODUCT(OFFSET(BM!$O$15,$A15,0,$B15)*(OFFSET(BM!$A$15,$A15,0,$B15)="S")*OFFSET(ORÇAMENTO!AB$15,$A15,0,$B15)/(OFFSET(ORÇAMENTO!$X$15,$A15,0,$B15)+10^-12)))</f>
        <v>0</v>
      </c>
      <c r="AO15" s="263" t="n">
        <f aca="true">IF(ACOMPANHAMENTO&lt;&gt;"BM",0,OFFSET(BM!$O$15,$A15,0))</f>
        <v>0</v>
      </c>
    </row>
    <row r="16" customFormat="false" ht="30" hidden="false" customHeight="true" outlineLevel="0" collapsed="false">
      <c r="A16" s="0" t="e">
        <f aca="false">MATCH(E16,ORÇAMENTO!$E$15:$E$21,0)-1</f>
        <v>#N/A</v>
      </c>
      <c r="B16" s="0" t="e">
        <f aca="true">IF(ISERROR($A16),NA(),OFFSET(ORÇAMENTO!$D$15,$A16,0))</f>
        <v>#N/A</v>
      </c>
      <c r="C16" s="0" t="str">
        <f aca="false">QCI!B16</f>
        <v>Branco</v>
      </c>
      <c r="D16" s="0" t="str">
        <f aca="false">IF(L16&gt;0,"F","")</f>
        <v/>
      </c>
      <c r="E16" s="534" t="n">
        <f aca="false">QCI!D16</f>
        <v>3</v>
      </c>
      <c r="F16" s="689" t="str">
        <f aca="false">QCI!G16</f>
        <v/>
      </c>
      <c r="G16" s="690" t="n">
        <f aca="false">QCI!H16</f>
        <v>0</v>
      </c>
      <c r="H16" s="537" t="n">
        <f aca="false">QCI!I16</f>
        <v>0</v>
      </c>
      <c r="I16" s="537" t="str">
        <f aca="false">QCI!J16</f>
        <v/>
      </c>
      <c r="J16" s="691" t="str">
        <f aca="false">QCI!K16</f>
        <v/>
      </c>
      <c r="K16" s="692" t="str">
        <f aca="true" t="array" ref="K16:K16">IF($C16="Automático",IF(ACOMPANHAMENTO="BM",BM.medicao,PLE.Medicao),IF(ISBLANK($X16),"",$X16))</f>
        <v/>
      </c>
      <c r="L16" s="542" t="n">
        <f aca="false">QCI!$O16</f>
        <v>0</v>
      </c>
      <c r="M16" s="539" t="n">
        <f aca="false">ROUND(IF(C16="Automático",AE16+AL16,Y16),2)</f>
        <v>0</v>
      </c>
      <c r="N16" s="540" t="n">
        <f aca="false">O16-M16</f>
        <v>0</v>
      </c>
      <c r="O16" s="541" t="n">
        <f aca="false">ROUND(IF(C16="Automático",AH16+AO16,Z16),2)</f>
        <v>0</v>
      </c>
      <c r="P16" s="693" t="n">
        <f aca="false">O16/(L16+10^-12)</f>
        <v>0</v>
      </c>
      <c r="R16" s="694" t="n">
        <f aca="false">ROUND(IF($C16="Automático",AC16+AJ16,$Y16*IF(ISERROR(QCI!$AA16/QCI!$O16),0,QCI!$AA16/QCI!$O16)),2)</f>
        <v>0</v>
      </c>
      <c r="S16" s="694" t="n">
        <f aca="false">ROUND(IF($C16="Automático",AD16+AK16,$Y16*IF(ISERROR(QCI!$AB16/QCI!$O16),0,QCI!$AB16/QCI!$O16)),2)</f>
        <v>0</v>
      </c>
      <c r="T16" s="694" t="n">
        <f aca="false">ROUND(IF($C16="Automático",AF16+AM16,$Z16*IF(ISERROR(QCI!$AA16/QCI!$O16),0,QCI!$AA16/QCI!$O16)),2)</f>
        <v>0</v>
      </c>
      <c r="U16" s="694" t="n">
        <f aca="false">ROUND(IF($C16="Automático",AG16+AN16,$Z16*IF(ISERROR(QCI!$AB16/QCI!$O16),0,QCI!$AB16/QCI!$O16)),2)</f>
        <v>0</v>
      </c>
      <c r="V16" s="97" t="n">
        <f aca="true">IF(AND($L16&gt;0,$J16&lt;&gt;0,$J16&lt;&gt;"",COUNTIF($J$13:$J16,$J16)=1),OFFSET(V16,-1,0)+1,OFFSET(V16,-1,0))</f>
        <v>0</v>
      </c>
      <c r="X16" s="695"/>
      <c r="Y16" s="696"/>
      <c r="Z16" s="697"/>
      <c r="AC16" s="263" t="e">
        <f aca="true" t="array" ref="AC16:AC16">IF(ACOMPANHAMENTO&lt;&gt;"PLE",0,SUMPRODUCT((OFFSET(CÁLCULO!$AX$15:$BH$15,$A16,0,$B16)&lt;=(PLE.Medicao-1))*OFFSET(CÁLCULO!$AB$15:$AL$15,$A16,0,$B16)*OFFSET(ORÇAMENTO!$AA$15,$A16,0,$B16)/(OFFSET(ORÇAMENTO!$X$15,$A16,0,$B16)+10^-12))+IF(AUTOEVENTO="Manual",SUMPRODUCT((OFFSET(CÁLCULO!$M$15,$A16,0,$B16)=1)*OFFSET(ORÇAMENTO!$AA$15,$A16,0,$B16)*(PLE!$AE$9-PLE!$Y$9)),0))</f>
        <v>#N/A</v>
      </c>
      <c r="AD16" s="263" t="e">
        <f aca="true" t="array" ref="AD16:AD16">IF(ACOMPANHAMENTO&lt;&gt;"PLE",0,SUMPRODUCT((OFFSET(CÁLCULO!$AX$15:$BH$15,$A16,0,$B16)&lt;=(PLE.Medicao-1))*OFFSET(CÁLCULO!$AB$15:$AL$15,$A16,0,$B16)*OFFSET(ORÇAMENTO!$AB$15,$A16,0,$B16)/(OFFSET(ORÇAMENTO!$X$15,$A16,0,$B16)+10^-12))+IF(AUTOEVENTO="Manual",SUMPRODUCT((OFFSET(CÁLCULO!$M$15,$A16,0,$B16)=1)*OFFSET(ORÇAMENTO!$AB$15,$A16,0,$B16)*(PLE!$AE$9-PLE!$Y$9)),0))</f>
        <v>#N/A</v>
      </c>
      <c r="AE16" s="263" t="e">
        <f aca="true">ROUND(
            IF(ACOMPANHAMENTO&lt;&gt;"PLE",0,
                      SUMIF(OFFSET(CÁLCULO!$AX$15:$BH$15,$A16,0,$B16),"&lt;="&amp;(PLE.Medicao-1),OFFSET(CÁLCULO!$AB$15:$AL$15,$A16,0,$B16))
                      +IF(AdmLocal="Automática",
                              SUMIF(OFFSET(CÁLCULO!$M$15,$A16,0,$B16),1,OFFSET(ORÇAMENTO!$X$15,$A16,0,$B16))*(PLE!$AE$9-PLE!$Y$9),
                              0)),
            2)</f>
        <v>#N/A</v>
      </c>
      <c r="AF16" s="263" t="e">
        <f aca="true" t="array" ref="AF16:AF16">IF(ACOMPANHAMENTO&lt;&gt;"PLE",0,SUMPRODUCT((OFFSET(CÁLCULO!$AX$15:$BH$15,$A16,0,$B16)&lt;=PLE.Medicao)*OFFSET(CÁLCULO!$AB$15:$AL$15,$A16,0,$B16)*OFFSET(ORÇAMENTO!$AA$15,$A16,0,$B16)/(OFFSET(ORÇAMENTO!$X$15,$A16,0,$B16)+10^-12))+IF(AUTOEVENTO="Manual",SUMPRODUCT((OFFSET(CÁLCULO!$M$15,$A16,0,$B16)=1)*OFFSET(ORÇAMENTO!$AA$15,$A16,0,$B16)*PLE!$AE$9),0))</f>
        <v>#N/A</v>
      </c>
      <c r="AG16" s="263" t="e">
        <f aca="true" t="array" ref="AG16:AG16">IF(ACOMPANHAMENTO&lt;&gt;"PLE",0,SUMPRODUCT((OFFSET(CÁLCULO!$AX$15:$BH$15,$A16,0,$B16)&lt;=PLE.Medicao)*OFFSET(CÁLCULO!$AB$15:$AL$15,$A16,0,$B16)*OFFSET(ORÇAMENTO!$AB$15,$A16,0,$B16)/(OFFSET(ORÇAMENTO!$X$15,$A16,0,$B16)+10^-12))+IF(AUTOEVENTO="Manual",SUMPRODUCT((OFFSET(CÁLCULO!$M$15,$A16,0,$B16)=1)*OFFSET(ORÇAMENTO!$AB$15,$A16,0,$B16)*PLE!$AE$9),0))</f>
        <v>#N/A</v>
      </c>
      <c r="AH16" s="263" t="e">
        <f aca="true">ROUND(IF(ACOMPANHAMENTO&lt;&gt;"PLE",0,SUMIF(OFFSET(CÁLCULO!$AX$15:$BH$15,$A16,0,$B16),"&lt;="&amp;PLE.Medicao,OFFSET(CÁLCULO!$AB$15:$AL$15,$A16,0,$B16))+IF(AdmLocal="Automática",SUMIF(OFFSET(CÁLCULO!$M$15,$A16,0,$B16),1,OFFSET(ORÇAMENTO!$X$15,$A16,0,$B16))*PLE!$AE$9,0)),2)</f>
        <v>#N/A</v>
      </c>
      <c r="AJ16" s="263" t="n">
        <f aca="true" t="array" ref="AJ16:AJ16">IF(ACOMPANHAMENTO&lt;&gt;"BM",0,SUMPRODUCT(OFFSET(BM!$M$15,$A16,0,$B16)*(OFFSET(BM!$A$15,$A16,0,$B16)="S")*OFFSET(ORÇAMENTO!AA$15,$A16,0,$B16)/(OFFSET(ORÇAMENTO!$X$15,$A16,0,$B16)+10^-12)))</f>
        <v>0</v>
      </c>
      <c r="AK16" s="263" t="n">
        <f aca="true" t="array" ref="AK16:AK16">IF(ACOMPANHAMENTO&lt;&gt;"BM",0,SUMPRODUCT(OFFSET(BM!$M$15,$A16,0,$B16)*(OFFSET(BM!$A$15,$A16,0,$B16)="S")*OFFSET(ORÇAMENTO!AB$15,$A16,0,$B16)/(OFFSET(ORÇAMENTO!$X$15,$A16,0,$B16)+10^-12)))</f>
        <v>0</v>
      </c>
      <c r="AL16" s="263" t="n">
        <f aca="true">IF(ACOMPANHAMENTO&lt;&gt;"BM",0,OFFSET(BM!$M$15,$A16,0))</f>
        <v>0</v>
      </c>
      <c r="AM16" s="263" t="n">
        <f aca="true" t="array" ref="AM16:AM16">IF(ACOMPANHAMENTO&lt;&gt;"BM",0,SUMPRODUCT(OFFSET(BM!$O$15,$A16,0,$B16)*(OFFSET(BM!$A$15,$A16,0,$B16)="S")*OFFSET(ORÇAMENTO!AA$15,$A16,0,$B16)/(OFFSET(ORÇAMENTO!$X$15,$A16,0,$B16)+10^-12)))</f>
        <v>0</v>
      </c>
      <c r="AN16" s="263" t="n">
        <f aca="true" t="array" ref="AN16:AN16">IF(ACOMPANHAMENTO&lt;&gt;"BM",0,SUMPRODUCT(OFFSET(BM!$O$15,$A16,0,$B16)*(OFFSET(BM!$A$15,$A16,0,$B16)="S")*OFFSET(ORÇAMENTO!AB$15,$A16,0,$B16)/(OFFSET(ORÇAMENTO!$X$15,$A16,0,$B16)+10^-12)))</f>
        <v>0</v>
      </c>
      <c r="AO16" s="263" t="n">
        <f aca="true">IF(ACOMPANHAMENTO&lt;&gt;"BM",0,OFFSET(BM!$O$15,$A16,0))</f>
        <v>0</v>
      </c>
    </row>
    <row r="17" customFormat="false" ht="30" hidden="false" customHeight="true" outlineLevel="0" collapsed="false">
      <c r="A17" s="0" t="e">
        <f aca="false">MATCH(E17,ORÇAMENTO!$E$15:$E$21,0)-1</f>
        <v>#N/A</v>
      </c>
      <c r="B17" s="0" t="e">
        <f aca="true">IF(ISERROR($A17),NA(),OFFSET(ORÇAMENTO!$D$15,$A17,0))</f>
        <v>#N/A</v>
      </c>
      <c r="C17" s="0" t="str">
        <f aca="false">QCI!B17</f>
        <v>Branco</v>
      </c>
      <c r="D17" s="0" t="str">
        <f aca="false">IF(L17&gt;0,"F","")</f>
        <v/>
      </c>
      <c r="E17" s="534" t="n">
        <f aca="false">QCI!D17</f>
        <v>4</v>
      </c>
      <c r="F17" s="689" t="str">
        <f aca="false">QCI!G17</f>
        <v/>
      </c>
      <c r="G17" s="690" t="n">
        <f aca="false">QCI!H17</f>
        <v>0</v>
      </c>
      <c r="H17" s="537" t="n">
        <f aca="false">QCI!I17</f>
        <v>0</v>
      </c>
      <c r="I17" s="537" t="str">
        <f aca="false">QCI!J17</f>
        <v/>
      </c>
      <c r="J17" s="691" t="str">
        <f aca="false">QCI!K17</f>
        <v/>
      </c>
      <c r="K17" s="692" t="str">
        <f aca="true" t="array" ref="K17:K17">IF($C17="Automático",IF(ACOMPANHAMENTO="BM",BM.medicao,PLE.Medicao),IF(ISBLANK($X17),"",$X17))</f>
        <v/>
      </c>
      <c r="L17" s="542" t="n">
        <f aca="false">QCI!$O17</f>
        <v>0</v>
      </c>
      <c r="M17" s="539" t="n">
        <f aca="false">ROUND(IF(C17="Automático",AE17+AL17,Y17),2)</f>
        <v>0</v>
      </c>
      <c r="N17" s="540" t="n">
        <f aca="false">O17-M17</f>
        <v>0</v>
      </c>
      <c r="O17" s="541" t="n">
        <f aca="false">ROUND(IF(C17="Automático",AH17+AO17,Z17),2)</f>
        <v>0</v>
      </c>
      <c r="P17" s="693" t="n">
        <f aca="false">O17/(L17+10^-12)</f>
        <v>0</v>
      </c>
      <c r="R17" s="694" t="n">
        <f aca="false">ROUND(IF($C17="Automático",AC17+AJ17,$Y17*IF(ISERROR(QCI!$AA17/QCI!$O17),0,QCI!$AA17/QCI!$O17)),2)</f>
        <v>0</v>
      </c>
      <c r="S17" s="694" t="n">
        <f aca="false">ROUND(IF($C17="Automático",AD17+AK17,$Y17*IF(ISERROR(QCI!$AB17/QCI!$O17),0,QCI!$AB17/QCI!$O17)),2)</f>
        <v>0</v>
      </c>
      <c r="T17" s="694" t="n">
        <f aca="false">ROUND(IF($C17="Automático",AF17+AM17,$Z17*IF(ISERROR(QCI!$AA17/QCI!$O17),0,QCI!$AA17/QCI!$O17)),2)</f>
        <v>0</v>
      </c>
      <c r="U17" s="694" t="n">
        <f aca="false">ROUND(IF($C17="Automático",AG17+AN17,$Z17*IF(ISERROR(QCI!$AB17/QCI!$O17),0,QCI!$AB17/QCI!$O17)),2)</f>
        <v>0</v>
      </c>
      <c r="V17" s="97" t="n">
        <f aca="true">IF(AND($L17&gt;0,$J17&lt;&gt;0,$J17&lt;&gt;"",COUNTIF($J$13:$J17,$J17)=1),OFFSET(V17,-1,0)+1,OFFSET(V17,-1,0))</f>
        <v>0</v>
      </c>
      <c r="X17" s="695"/>
      <c r="Y17" s="696"/>
      <c r="Z17" s="697"/>
      <c r="AC17" s="263" t="e">
        <f aca="true" t="array" ref="AC17:AC17">IF(ACOMPANHAMENTO&lt;&gt;"PLE",0,SUMPRODUCT((OFFSET(CÁLCULO!$AX$15:$BH$15,$A17,0,$B17)&lt;=(PLE.Medicao-1))*OFFSET(CÁLCULO!$AB$15:$AL$15,$A17,0,$B17)*OFFSET(ORÇAMENTO!$AA$15,$A17,0,$B17)/(OFFSET(ORÇAMENTO!$X$15,$A17,0,$B17)+10^-12))+IF(AUTOEVENTO="Manual",SUMPRODUCT((OFFSET(CÁLCULO!$M$15,$A17,0,$B17)=1)*OFFSET(ORÇAMENTO!$AA$15,$A17,0,$B17)*(PLE!$AE$9-PLE!$Y$9)),0))</f>
        <v>#N/A</v>
      </c>
      <c r="AD17" s="263" t="e">
        <f aca="true" t="array" ref="AD17:AD17">IF(ACOMPANHAMENTO&lt;&gt;"PLE",0,SUMPRODUCT((OFFSET(CÁLCULO!$AX$15:$BH$15,$A17,0,$B17)&lt;=(PLE.Medicao-1))*OFFSET(CÁLCULO!$AB$15:$AL$15,$A17,0,$B17)*OFFSET(ORÇAMENTO!$AB$15,$A17,0,$B17)/(OFFSET(ORÇAMENTO!$X$15,$A17,0,$B17)+10^-12))+IF(AUTOEVENTO="Manual",SUMPRODUCT((OFFSET(CÁLCULO!$M$15,$A17,0,$B17)=1)*OFFSET(ORÇAMENTO!$AB$15,$A17,0,$B17)*(PLE!$AE$9-PLE!$Y$9)),0))</f>
        <v>#N/A</v>
      </c>
      <c r="AE17" s="263" t="e">
        <f aca="true">ROUND(
            IF(ACOMPANHAMENTO&lt;&gt;"PLE",0,
                      SUMIF(OFFSET(CÁLCULO!$AX$15:$BH$15,$A17,0,$B17),"&lt;="&amp;(PLE.Medicao-1),OFFSET(CÁLCULO!$AB$15:$AL$15,$A17,0,$B17))
                      +IF(AdmLocal="Automática",
                              SUMIF(OFFSET(CÁLCULO!$M$15,$A17,0,$B17),1,OFFSET(ORÇAMENTO!$X$15,$A17,0,$B17))*(PLE!$AE$9-PLE!$Y$9),
                              0)),
            2)</f>
        <v>#N/A</v>
      </c>
      <c r="AF17" s="263" t="e">
        <f aca="true" t="array" ref="AF17:AF17">IF(ACOMPANHAMENTO&lt;&gt;"PLE",0,SUMPRODUCT((OFFSET(CÁLCULO!$AX$15:$BH$15,$A17,0,$B17)&lt;=PLE.Medicao)*OFFSET(CÁLCULO!$AB$15:$AL$15,$A17,0,$B17)*OFFSET(ORÇAMENTO!$AA$15,$A17,0,$B17)/(OFFSET(ORÇAMENTO!$X$15,$A17,0,$B17)+10^-12))+IF(AUTOEVENTO="Manual",SUMPRODUCT((OFFSET(CÁLCULO!$M$15,$A17,0,$B17)=1)*OFFSET(ORÇAMENTO!$AA$15,$A17,0,$B17)*PLE!$AE$9),0))</f>
        <v>#N/A</v>
      </c>
      <c r="AG17" s="263" t="e">
        <f aca="true" t="array" ref="AG17:AG17">IF(ACOMPANHAMENTO&lt;&gt;"PLE",0,SUMPRODUCT((OFFSET(CÁLCULO!$AX$15:$BH$15,$A17,0,$B17)&lt;=PLE.Medicao)*OFFSET(CÁLCULO!$AB$15:$AL$15,$A17,0,$B17)*OFFSET(ORÇAMENTO!$AB$15,$A17,0,$B17)/(OFFSET(ORÇAMENTO!$X$15,$A17,0,$B17)+10^-12))+IF(AUTOEVENTO="Manual",SUMPRODUCT((OFFSET(CÁLCULO!$M$15,$A17,0,$B17)=1)*OFFSET(ORÇAMENTO!$AB$15,$A17,0,$B17)*PLE!$AE$9),0))</f>
        <v>#N/A</v>
      </c>
      <c r="AH17" s="263" t="e">
        <f aca="true">ROUND(IF(ACOMPANHAMENTO&lt;&gt;"PLE",0,SUMIF(OFFSET(CÁLCULO!$AX$15:$BH$15,$A17,0,$B17),"&lt;="&amp;PLE.Medicao,OFFSET(CÁLCULO!$AB$15:$AL$15,$A17,0,$B17))+IF(AdmLocal="Automática",SUMIF(OFFSET(CÁLCULO!$M$15,$A17,0,$B17),1,OFFSET(ORÇAMENTO!$X$15,$A17,0,$B17))*PLE!$AE$9,0)),2)</f>
        <v>#N/A</v>
      </c>
      <c r="AJ17" s="263" t="n">
        <f aca="true" t="array" ref="AJ17:AJ17">IF(ACOMPANHAMENTO&lt;&gt;"BM",0,SUMPRODUCT(OFFSET(BM!$M$15,$A17,0,$B17)*(OFFSET(BM!$A$15,$A17,0,$B17)="S")*OFFSET(ORÇAMENTO!AA$15,$A17,0,$B17)/(OFFSET(ORÇAMENTO!$X$15,$A17,0,$B17)+10^-12)))</f>
        <v>0</v>
      </c>
      <c r="AK17" s="263" t="n">
        <f aca="true" t="array" ref="AK17:AK17">IF(ACOMPANHAMENTO&lt;&gt;"BM",0,SUMPRODUCT(OFFSET(BM!$M$15,$A17,0,$B17)*(OFFSET(BM!$A$15,$A17,0,$B17)="S")*OFFSET(ORÇAMENTO!AB$15,$A17,0,$B17)/(OFFSET(ORÇAMENTO!$X$15,$A17,0,$B17)+10^-12)))</f>
        <v>0</v>
      </c>
      <c r="AL17" s="263" t="n">
        <f aca="true">IF(ACOMPANHAMENTO&lt;&gt;"BM",0,OFFSET(BM!$M$15,$A17,0))</f>
        <v>0</v>
      </c>
      <c r="AM17" s="263" t="n">
        <f aca="true" t="array" ref="AM17:AM17">IF(ACOMPANHAMENTO&lt;&gt;"BM",0,SUMPRODUCT(OFFSET(BM!$O$15,$A17,0,$B17)*(OFFSET(BM!$A$15,$A17,0,$B17)="S")*OFFSET(ORÇAMENTO!AA$15,$A17,0,$B17)/(OFFSET(ORÇAMENTO!$X$15,$A17,0,$B17)+10^-12)))</f>
        <v>0</v>
      </c>
      <c r="AN17" s="263" t="n">
        <f aca="true" t="array" ref="AN17:AN17">IF(ACOMPANHAMENTO&lt;&gt;"BM",0,SUMPRODUCT(OFFSET(BM!$O$15,$A17,0,$B17)*(OFFSET(BM!$A$15,$A17,0,$B17)="S")*OFFSET(ORÇAMENTO!AB$15,$A17,0,$B17)/(OFFSET(ORÇAMENTO!$X$15,$A17,0,$B17)+10^-12)))</f>
        <v>0</v>
      </c>
      <c r="AO17" s="263" t="n">
        <f aca="true">IF(ACOMPANHAMENTO&lt;&gt;"BM",0,OFFSET(BM!$O$15,$A17,0))</f>
        <v>0</v>
      </c>
    </row>
    <row r="18" customFormat="false" ht="30" hidden="false" customHeight="true" outlineLevel="0" collapsed="false">
      <c r="A18" s="0" t="e">
        <f aca="false">MATCH(E18,ORÇAMENTO!$E$15:$E$21,0)-1</f>
        <v>#N/A</v>
      </c>
      <c r="B18" s="0" t="e">
        <f aca="true">IF(ISERROR($A18),NA(),OFFSET(ORÇAMENTO!$D$15,$A18,0))</f>
        <v>#N/A</v>
      </c>
      <c r="C18" s="0" t="str">
        <f aca="false">QCI!B18</f>
        <v>Branco</v>
      </c>
      <c r="D18" s="0" t="str">
        <f aca="false">IF(L18&gt;0,"F","")</f>
        <v/>
      </c>
      <c r="E18" s="534" t="n">
        <f aca="false">QCI!D18</f>
        <v>5</v>
      </c>
      <c r="F18" s="689" t="str">
        <f aca="false">QCI!G18</f>
        <v/>
      </c>
      <c r="G18" s="690" t="n">
        <f aca="false">QCI!H18</f>
        <v>0</v>
      </c>
      <c r="H18" s="537" t="n">
        <f aca="false">QCI!I18</f>
        <v>0</v>
      </c>
      <c r="I18" s="537" t="str">
        <f aca="false">QCI!J18</f>
        <v/>
      </c>
      <c r="J18" s="691" t="str">
        <f aca="false">QCI!K18</f>
        <v/>
      </c>
      <c r="K18" s="692" t="str">
        <f aca="true" t="array" ref="K18:K18">IF($C18="Automático",IF(ACOMPANHAMENTO="BM",BM.medicao,PLE.Medicao),IF(ISBLANK($X18),"",$X18))</f>
        <v/>
      </c>
      <c r="L18" s="542" t="n">
        <f aca="false">QCI!$O18</f>
        <v>0</v>
      </c>
      <c r="M18" s="539" t="n">
        <f aca="false">ROUND(IF(C18="Automático",AE18+AL18,Y18),2)</f>
        <v>0</v>
      </c>
      <c r="N18" s="540" t="n">
        <f aca="false">O18-M18</f>
        <v>0</v>
      </c>
      <c r="O18" s="541" t="n">
        <f aca="false">ROUND(IF(C18="Automático",AH18+AO18,Z18),2)</f>
        <v>0</v>
      </c>
      <c r="P18" s="693" t="n">
        <f aca="false">O18/(L18+10^-12)</f>
        <v>0</v>
      </c>
      <c r="R18" s="694" t="n">
        <f aca="false">ROUND(IF($C18="Automático",AC18+AJ18,$Y18*IF(ISERROR(QCI!$AA18/QCI!$O18),0,QCI!$AA18/QCI!$O18)),2)</f>
        <v>0</v>
      </c>
      <c r="S18" s="694" t="n">
        <f aca="false">ROUND(IF($C18="Automático",AD18+AK18,$Y18*IF(ISERROR(QCI!$AB18/QCI!$O18),0,QCI!$AB18/QCI!$O18)),2)</f>
        <v>0</v>
      </c>
      <c r="T18" s="694" t="n">
        <f aca="false">ROUND(IF($C18="Automático",AF18+AM18,$Z18*IF(ISERROR(QCI!$AA18/QCI!$O18),0,QCI!$AA18/QCI!$O18)),2)</f>
        <v>0</v>
      </c>
      <c r="U18" s="694" t="n">
        <f aca="false">ROUND(IF($C18="Automático",AG18+AN18,$Z18*IF(ISERROR(QCI!$AB18/QCI!$O18),0,QCI!$AB18/QCI!$O18)),2)</f>
        <v>0</v>
      </c>
      <c r="V18" s="97" t="n">
        <f aca="true">IF(AND($L18&gt;0,$J18&lt;&gt;0,$J18&lt;&gt;"",COUNTIF($J$13:$J18,$J18)=1),OFFSET(V18,-1,0)+1,OFFSET(V18,-1,0))</f>
        <v>0</v>
      </c>
      <c r="X18" s="695"/>
      <c r="Y18" s="696"/>
      <c r="Z18" s="697"/>
      <c r="AC18" s="263" t="e">
        <f aca="true" t="array" ref="AC18:AC18">IF(ACOMPANHAMENTO&lt;&gt;"PLE",0,SUMPRODUCT((OFFSET(CÁLCULO!$AX$15:$BH$15,$A18,0,$B18)&lt;=(PLE.Medicao-1))*OFFSET(CÁLCULO!$AB$15:$AL$15,$A18,0,$B18)*OFFSET(ORÇAMENTO!$AA$15,$A18,0,$B18)/(OFFSET(ORÇAMENTO!$X$15,$A18,0,$B18)+10^-12))+IF(AUTOEVENTO="Manual",SUMPRODUCT((OFFSET(CÁLCULO!$M$15,$A18,0,$B18)=1)*OFFSET(ORÇAMENTO!$AA$15,$A18,0,$B18)*(PLE!$AE$9-PLE!$Y$9)),0))</f>
        <v>#N/A</v>
      </c>
      <c r="AD18" s="263" t="e">
        <f aca="true" t="array" ref="AD18:AD18">IF(ACOMPANHAMENTO&lt;&gt;"PLE",0,SUMPRODUCT((OFFSET(CÁLCULO!$AX$15:$BH$15,$A18,0,$B18)&lt;=(PLE.Medicao-1))*OFFSET(CÁLCULO!$AB$15:$AL$15,$A18,0,$B18)*OFFSET(ORÇAMENTO!$AB$15,$A18,0,$B18)/(OFFSET(ORÇAMENTO!$X$15,$A18,0,$B18)+10^-12))+IF(AUTOEVENTO="Manual",SUMPRODUCT((OFFSET(CÁLCULO!$M$15,$A18,0,$B18)=1)*OFFSET(ORÇAMENTO!$AB$15,$A18,0,$B18)*(PLE!$AE$9-PLE!$Y$9)),0))</f>
        <v>#N/A</v>
      </c>
      <c r="AE18" s="263" t="e">
        <f aca="true">ROUND(
            IF(ACOMPANHAMENTO&lt;&gt;"PLE",0,
                      SUMIF(OFFSET(CÁLCULO!$AX$15:$BH$15,$A18,0,$B18),"&lt;="&amp;(PLE.Medicao-1),OFFSET(CÁLCULO!$AB$15:$AL$15,$A18,0,$B18))
                      +IF(AdmLocal="Automática",
                              SUMIF(OFFSET(CÁLCULO!$M$15,$A18,0,$B18),1,OFFSET(ORÇAMENTO!$X$15,$A18,0,$B18))*(PLE!$AE$9-PLE!$Y$9),
                              0)),
            2)</f>
        <v>#N/A</v>
      </c>
      <c r="AF18" s="263" t="e">
        <f aca="true" t="array" ref="AF18:AF18">IF(ACOMPANHAMENTO&lt;&gt;"PLE",0,SUMPRODUCT((OFFSET(CÁLCULO!$AX$15:$BH$15,$A18,0,$B18)&lt;=PLE.Medicao)*OFFSET(CÁLCULO!$AB$15:$AL$15,$A18,0,$B18)*OFFSET(ORÇAMENTO!$AA$15,$A18,0,$B18)/(OFFSET(ORÇAMENTO!$X$15,$A18,0,$B18)+10^-12))+IF(AUTOEVENTO="Manual",SUMPRODUCT((OFFSET(CÁLCULO!$M$15,$A18,0,$B18)=1)*OFFSET(ORÇAMENTO!$AA$15,$A18,0,$B18)*PLE!$AE$9),0))</f>
        <v>#N/A</v>
      </c>
      <c r="AG18" s="263" t="e">
        <f aca="true" t="array" ref="AG18:AG18">IF(ACOMPANHAMENTO&lt;&gt;"PLE",0,SUMPRODUCT((OFFSET(CÁLCULO!$AX$15:$BH$15,$A18,0,$B18)&lt;=PLE.Medicao)*OFFSET(CÁLCULO!$AB$15:$AL$15,$A18,0,$B18)*OFFSET(ORÇAMENTO!$AB$15,$A18,0,$B18)/(OFFSET(ORÇAMENTO!$X$15,$A18,0,$B18)+10^-12))+IF(AUTOEVENTO="Manual",SUMPRODUCT((OFFSET(CÁLCULO!$M$15,$A18,0,$B18)=1)*OFFSET(ORÇAMENTO!$AB$15,$A18,0,$B18)*PLE!$AE$9),0))</f>
        <v>#N/A</v>
      </c>
      <c r="AH18" s="263" t="e">
        <f aca="true">ROUND(IF(ACOMPANHAMENTO&lt;&gt;"PLE",0,SUMIF(OFFSET(CÁLCULO!$AX$15:$BH$15,$A18,0,$B18),"&lt;="&amp;PLE.Medicao,OFFSET(CÁLCULO!$AB$15:$AL$15,$A18,0,$B18))+IF(AdmLocal="Automática",SUMIF(OFFSET(CÁLCULO!$M$15,$A18,0,$B18),1,OFFSET(ORÇAMENTO!$X$15,$A18,0,$B18))*PLE!$AE$9,0)),2)</f>
        <v>#N/A</v>
      </c>
      <c r="AJ18" s="263" t="n">
        <f aca="true" t="array" ref="AJ18:AJ18">IF(ACOMPANHAMENTO&lt;&gt;"BM",0,SUMPRODUCT(OFFSET(BM!$M$15,$A18,0,$B18)*(OFFSET(BM!$A$15,$A18,0,$B18)="S")*OFFSET(ORÇAMENTO!AA$15,$A18,0,$B18)/(OFFSET(ORÇAMENTO!$X$15,$A18,0,$B18)+10^-12)))</f>
        <v>0</v>
      </c>
      <c r="AK18" s="263" t="n">
        <f aca="true" t="array" ref="AK18:AK18">IF(ACOMPANHAMENTO&lt;&gt;"BM",0,SUMPRODUCT(OFFSET(BM!$M$15,$A18,0,$B18)*(OFFSET(BM!$A$15,$A18,0,$B18)="S")*OFFSET(ORÇAMENTO!AB$15,$A18,0,$B18)/(OFFSET(ORÇAMENTO!$X$15,$A18,0,$B18)+10^-12)))</f>
        <v>0</v>
      </c>
      <c r="AL18" s="263" t="n">
        <f aca="true">IF(ACOMPANHAMENTO&lt;&gt;"BM",0,OFFSET(BM!$M$15,$A18,0))</f>
        <v>0</v>
      </c>
      <c r="AM18" s="263" t="n">
        <f aca="true" t="array" ref="AM18:AM18">IF(ACOMPANHAMENTO&lt;&gt;"BM",0,SUMPRODUCT(OFFSET(BM!$O$15,$A18,0,$B18)*(OFFSET(BM!$A$15,$A18,0,$B18)="S")*OFFSET(ORÇAMENTO!AA$15,$A18,0,$B18)/(OFFSET(ORÇAMENTO!$X$15,$A18,0,$B18)+10^-12)))</f>
        <v>0</v>
      </c>
      <c r="AN18" s="263" t="n">
        <f aca="true" t="array" ref="AN18:AN18">IF(ACOMPANHAMENTO&lt;&gt;"BM",0,SUMPRODUCT(OFFSET(BM!$O$15,$A18,0,$B18)*(OFFSET(BM!$A$15,$A18,0,$B18)="S")*OFFSET(ORÇAMENTO!AB$15,$A18,0,$B18)/(OFFSET(ORÇAMENTO!$X$15,$A18,0,$B18)+10^-12)))</f>
        <v>0</v>
      </c>
      <c r="AO18" s="263" t="n">
        <f aca="true">IF(ACOMPANHAMENTO&lt;&gt;"BM",0,OFFSET(BM!$O$15,$A18,0))</f>
        <v>0</v>
      </c>
    </row>
    <row r="19" customFormat="false" ht="30" hidden="false" customHeight="true" outlineLevel="0" collapsed="false">
      <c r="A19" s="0" t="e">
        <f aca="false">MATCH(E19,ORÇAMENTO!$E$15:$E$21,0)-1</f>
        <v>#N/A</v>
      </c>
      <c r="B19" s="0" t="e">
        <f aca="true">IF(ISERROR($A19),NA(),OFFSET(ORÇAMENTO!$D$15,$A19,0))</f>
        <v>#N/A</v>
      </c>
      <c r="C19" s="0" t="str">
        <f aca="false">QCI!B19</f>
        <v>Branco</v>
      </c>
      <c r="D19" s="0" t="str">
        <f aca="false">IF(L19&gt;0,"F","")</f>
        <v/>
      </c>
      <c r="E19" s="534" t="n">
        <f aca="false">QCI!D19</f>
        <v>6</v>
      </c>
      <c r="F19" s="689" t="str">
        <f aca="false">QCI!G19</f>
        <v/>
      </c>
      <c r="G19" s="690" t="n">
        <f aca="false">QCI!H19</f>
        <v>0</v>
      </c>
      <c r="H19" s="537" t="n">
        <f aca="false">QCI!I19</f>
        <v>0</v>
      </c>
      <c r="I19" s="537" t="str">
        <f aca="false">QCI!J19</f>
        <v/>
      </c>
      <c r="J19" s="691" t="str">
        <f aca="false">QCI!K19</f>
        <v/>
      </c>
      <c r="K19" s="692" t="str">
        <f aca="true" t="array" ref="K19:K19">IF($C19="Automático",IF(ACOMPANHAMENTO="BM",BM.medicao,PLE.Medicao),IF(ISBLANK($X19),"",$X19))</f>
        <v/>
      </c>
      <c r="L19" s="542" t="n">
        <f aca="false">QCI!$O19</f>
        <v>0</v>
      </c>
      <c r="M19" s="539" t="n">
        <f aca="false">ROUND(IF(C19="Automático",AE19+AL19,Y19),2)</f>
        <v>0</v>
      </c>
      <c r="N19" s="540" t="n">
        <f aca="false">O19-M19</f>
        <v>0</v>
      </c>
      <c r="O19" s="541" t="n">
        <f aca="false">ROUND(IF(C19="Automático",AH19+AO19,Z19),2)</f>
        <v>0</v>
      </c>
      <c r="P19" s="693" t="n">
        <f aca="false">O19/(L19+10^-12)</f>
        <v>0</v>
      </c>
      <c r="R19" s="694" t="n">
        <f aca="false">ROUND(IF($C19="Automático",AC19+AJ19,$Y19*IF(ISERROR(QCI!$AA19/QCI!$O19),0,QCI!$AA19/QCI!$O19)),2)</f>
        <v>0</v>
      </c>
      <c r="S19" s="694" t="n">
        <f aca="false">ROUND(IF($C19="Automático",AD19+AK19,$Y19*IF(ISERROR(QCI!$AB19/QCI!$O19),0,QCI!$AB19/QCI!$O19)),2)</f>
        <v>0</v>
      </c>
      <c r="T19" s="694" t="n">
        <f aca="false">ROUND(IF($C19="Automático",AF19+AM19,$Z19*IF(ISERROR(QCI!$AA19/QCI!$O19),0,QCI!$AA19/QCI!$O19)),2)</f>
        <v>0</v>
      </c>
      <c r="U19" s="694" t="n">
        <f aca="false">ROUND(IF($C19="Automático",AG19+AN19,$Z19*IF(ISERROR(QCI!$AB19/QCI!$O19),0,QCI!$AB19/QCI!$O19)),2)</f>
        <v>0</v>
      </c>
      <c r="V19" s="97" t="n">
        <f aca="true">IF(AND($L19&gt;0,$J19&lt;&gt;0,$J19&lt;&gt;"",COUNTIF($J$13:$J19,$J19)=1),OFFSET(V19,-1,0)+1,OFFSET(V19,-1,0))</f>
        <v>0</v>
      </c>
      <c r="X19" s="695"/>
      <c r="Y19" s="696"/>
      <c r="Z19" s="697"/>
      <c r="AC19" s="263" t="e">
        <f aca="true" t="array" ref="AC19:AC19">IF(ACOMPANHAMENTO&lt;&gt;"PLE",0,SUMPRODUCT((OFFSET(CÁLCULO!$AX$15:$BH$15,$A19,0,$B19)&lt;=(PLE.Medicao-1))*OFFSET(CÁLCULO!$AB$15:$AL$15,$A19,0,$B19)*OFFSET(ORÇAMENTO!$AA$15,$A19,0,$B19)/(OFFSET(ORÇAMENTO!$X$15,$A19,0,$B19)+10^-12))+IF(AUTOEVENTO="Manual",SUMPRODUCT((OFFSET(CÁLCULO!$M$15,$A19,0,$B19)=1)*OFFSET(ORÇAMENTO!$AA$15,$A19,0,$B19)*(PLE!$AE$9-PLE!$Y$9)),0))</f>
        <v>#N/A</v>
      </c>
      <c r="AD19" s="263" t="e">
        <f aca="true" t="array" ref="AD19:AD19">IF(ACOMPANHAMENTO&lt;&gt;"PLE",0,SUMPRODUCT((OFFSET(CÁLCULO!$AX$15:$BH$15,$A19,0,$B19)&lt;=(PLE.Medicao-1))*OFFSET(CÁLCULO!$AB$15:$AL$15,$A19,0,$B19)*OFFSET(ORÇAMENTO!$AB$15,$A19,0,$B19)/(OFFSET(ORÇAMENTO!$X$15,$A19,0,$B19)+10^-12))+IF(AUTOEVENTO="Manual",SUMPRODUCT((OFFSET(CÁLCULO!$M$15,$A19,0,$B19)=1)*OFFSET(ORÇAMENTO!$AB$15,$A19,0,$B19)*(PLE!$AE$9-PLE!$Y$9)),0))</f>
        <v>#N/A</v>
      </c>
      <c r="AE19" s="263" t="e">
        <f aca="true">ROUND(
            IF(ACOMPANHAMENTO&lt;&gt;"PLE",0,
                      SUMIF(OFFSET(CÁLCULO!$AX$15:$BH$15,$A19,0,$B19),"&lt;="&amp;(PLE.Medicao-1),OFFSET(CÁLCULO!$AB$15:$AL$15,$A19,0,$B19))
                      +IF(AdmLocal="Automática",
                              SUMIF(OFFSET(CÁLCULO!$M$15,$A19,0,$B19),1,OFFSET(ORÇAMENTO!$X$15,$A19,0,$B19))*(PLE!$AE$9-PLE!$Y$9),
                              0)),
            2)</f>
        <v>#N/A</v>
      </c>
      <c r="AF19" s="263" t="e">
        <f aca="true" t="array" ref="AF19:AF19">IF(ACOMPANHAMENTO&lt;&gt;"PLE",0,SUMPRODUCT((OFFSET(CÁLCULO!$AX$15:$BH$15,$A19,0,$B19)&lt;=PLE.Medicao)*OFFSET(CÁLCULO!$AB$15:$AL$15,$A19,0,$B19)*OFFSET(ORÇAMENTO!$AA$15,$A19,0,$B19)/(OFFSET(ORÇAMENTO!$X$15,$A19,0,$B19)+10^-12))+IF(AUTOEVENTO="Manual",SUMPRODUCT((OFFSET(CÁLCULO!$M$15,$A19,0,$B19)=1)*OFFSET(ORÇAMENTO!$AA$15,$A19,0,$B19)*PLE!$AE$9),0))</f>
        <v>#N/A</v>
      </c>
      <c r="AG19" s="263" t="e">
        <f aca="true" t="array" ref="AG19:AG19">IF(ACOMPANHAMENTO&lt;&gt;"PLE",0,SUMPRODUCT((OFFSET(CÁLCULO!$AX$15:$BH$15,$A19,0,$B19)&lt;=PLE.Medicao)*OFFSET(CÁLCULO!$AB$15:$AL$15,$A19,0,$B19)*OFFSET(ORÇAMENTO!$AB$15,$A19,0,$B19)/(OFFSET(ORÇAMENTO!$X$15,$A19,0,$B19)+10^-12))+IF(AUTOEVENTO="Manual",SUMPRODUCT((OFFSET(CÁLCULO!$M$15,$A19,0,$B19)=1)*OFFSET(ORÇAMENTO!$AB$15,$A19,0,$B19)*PLE!$AE$9),0))</f>
        <v>#N/A</v>
      </c>
      <c r="AH19" s="263" t="e">
        <f aca="true">ROUND(IF(ACOMPANHAMENTO&lt;&gt;"PLE",0,SUMIF(OFFSET(CÁLCULO!$AX$15:$BH$15,$A19,0,$B19),"&lt;="&amp;PLE.Medicao,OFFSET(CÁLCULO!$AB$15:$AL$15,$A19,0,$B19))+IF(AdmLocal="Automática",SUMIF(OFFSET(CÁLCULO!$M$15,$A19,0,$B19),1,OFFSET(ORÇAMENTO!$X$15,$A19,0,$B19))*PLE!$AE$9,0)),2)</f>
        <v>#N/A</v>
      </c>
      <c r="AJ19" s="263" t="n">
        <f aca="true" t="array" ref="AJ19:AJ19">IF(ACOMPANHAMENTO&lt;&gt;"BM",0,SUMPRODUCT(OFFSET(BM!$M$15,$A19,0,$B19)*(OFFSET(BM!$A$15,$A19,0,$B19)="S")*OFFSET(ORÇAMENTO!AA$15,$A19,0,$B19)/(OFFSET(ORÇAMENTO!$X$15,$A19,0,$B19)+10^-12)))</f>
        <v>0</v>
      </c>
      <c r="AK19" s="263" t="n">
        <f aca="true" t="array" ref="AK19:AK19">IF(ACOMPANHAMENTO&lt;&gt;"BM",0,SUMPRODUCT(OFFSET(BM!$M$15,$A19,0,$B19)*(OFFSET(BM!$A$15,$A19,0,$B19)="S")*OFFSET(ORÇAMENTO!AB$15,$A19,0,$B19)/(OFFSET(ORÇAMENTO!$X$15,$A19,0,$B19)+10^-12)))</f>
        <v>0</v>
      </c>
      <c r="AL19" s="263" t="n">
        <f aca="true">IF(ACOMPANHAMENTO&lt;&gt;"BM",0,OFFSET(BM!$M$15,$A19,0))</f>
        <v>0</v>
      </c>
      <c r="AM19" s="263" t="n">
        <f aca="true" t="array" ref="AM19:AM19">IF(ACOMPANHAMENTO&lt;&gt;"BM",0,SUMPRODUCT(OFFSET(BM!$O$15,$A19,0,$B19)*(OFFSET(BM!$A$15,$A19,0,$B19)="S")*OFFSET(ORÇAMENTO!AA$15,$A19,0,$B19)/(OFFSET(ORÇAMENTO!$X$15,$A19,0,$B19)+10^-12)))</f>
        <v>0</v>
      </c>
      <c r="AN19" s="263" t="n">
        <f aca="true" t="array" ref="AN19:AN19">IF(ACOMPANHAMENTO&lt;&gt;"BM",0,SUMPRODUCT(OFFSET(BM!$O$15,$A19,0,$B19)*(OFFSET(BM!$A$15,$A19,0,$B19)="S")*OFFSET(ORÇAMENTO!AB$15,$A19,0,$B19)/(OFFSET(ORÇAMENTO!$X$15,$A19,0,$B19)+10^-12)))</f>
        <v>0</v>
      </c>
      <c r="AO19" s="263" t="n">
        <f aca="true">IF(ACOMPANHAMENTO&lt;&gt;"BM",0,OFFSET(BM!$O$15,$A19,0))</f>
        <v>0</v>
      </c>
    </row>
    <row r="20" customFormat="false" ht="30" hidden="false" customHeight="true" outlineLevel="0" collapsed="false">
      <c r="A20" s="0" t="e">
        <f aca="false">MATCH(E20,ORÇAMENTO!$E$15:$E$21,0)-1</f>
        <v>#N/A</v>
      </c>
      <c r="B20" s="0" t="e">
        <f aca="true">IF(ISERROR($A20),NA(),OFFSET(ORÇAMENTO!$D$15,$A20,0))</f>
        <v>#N/A</v>
      </c>
      <c r="C20" s="0" t="str">
        <f aca="false">QCI!B20</f>
        <v>Branco</v>
      </c>
      <c r="D20" s="0" t="str">
        <f aca="false">IF(L20&gt;0,"F","")</f>
        <v/>
      </c>
      <c r="E20" s="534" t="n">
        <f aca="false">QCI!D20</f>
        <v>7</v>
      </c>
      <c r="F20" s="689" t="str">
        <f aca="false">QCI!G20</f>
        <v/>
      </c>
      <c r="G20" s="690" t="n">
        <f aca="false">QCI!H20</f>
        <v>0</v>
      </c>
      <c r="H20" s="537" t="n">
        <f aca="false">QCI!I20</f>
        <v>0</v>
      </c>
      <c r="I20" s="537" t="str">
        <f aca="false">QCI!J20</f>
        <v/>
      </c>
      <c r="J20" s="691" t="str">
        <f aca="false">QCI!K20</f>
        <v/>
      </c>
      <c r="K20" s="692" t="str">
        <f aca="true" t="array" ref="K20:K20">IF($C20="Automático",IF(ACOMPANHAMENTO="BM",BM.medicao,PLE.Medicao),IF(ISBLANK($X20),"",$X20))</f>
        <v/>
      </c>
      <c r="L20" s="542" t="n">
        <f aca="false">QCI!$O20</f>
        <v>0</v>
      </c>
      <c r="M20" s="539" t="n">
        <f aca="false">ROUND(IF(C20="Automático",AE20+AL20,Y20),2)</f>
        <v>0</v>
      </c>
      <c r="N20" s="540" t="n">
        <f aca="false">O20-M20</f>
        <v>0</v>
      </c>
      <c r="O20" s="541" t="n">
        <f aca="false">ROUND(IF(C20="Automático",AH20+AO20,Z20),2)</f>
        <v>0</v>
      </c>
      <c r="P20" s="693" t="n">
        <f aca="false">O20/(L20+10^-12)</f>
        <v>0</v>
      </c>
      <c r="R20" s="694" t="n">
        <f aca="false">ROUND(IF($C20="Automático",AC20+AJ20,$Y20*IF(ISERROR(QCI!$AA20/QCI!$O20),0,QCI!$AA20/QCI!$O20)),2)</f>
        <v>0</v>
      </c>
      <c r="S20" s="694" t="n">
        <f aca="false">ROUND(IF($C20="Automático",AD20+AK20,$Y20*IF(ISERROR(QCI!$AB20/QCI!$O20),0,QCI!$AB20/QCI!$O20)),2)</f>
        <v>0</v>
      </c>
      <c r="T20" s="694" t="n">
        <f aca="false">ROUND(IF($C20="Automático",AF20+AM20,$Z20*IF(ISERROR(QCI!$AA20/QCI!$O20),0,QCI!$AA20/QCI!$O20)),2)</f>
        <v>0</v>
      </c>
      <c r="U20" s="694" t="n">
        <f aca="false">ROUND(IF($C20="Automático",AG20+AN20,$Z20*IF(ISERROR(QCI!$AB20/QCI!$O20),0,QCI!$AB20/QCI!$O20)),2)</f>
        <v>0</v>
      </c>
      <c r="V20" s="97" t="n">
        <f aca="true">IF(AND($L20&gt;0,$J20&lt;&gt;0,$J20&lt;&gt;"",COUNTIF($J$13:$J20,$J20)=1),OFFSET(V20,-1,0)+1,OFFSET(V20,-1,0))</f>
        <v>0</v>
      </c>
      <c r="X20" s="695"/>
      <c r="Y20" s="696"/>
      <c r="Z20" s="697"/>
      <c r="AC20" s="263" t="e">
        <f aca="true" t="array" ref="AC20:AC20">IF(ACOMPANHAMENTO&lt;&gt;"PLE",0,SUMPRODUCT((OFFSET(CÁLCULO!$AX$15:$BH$15,$A20,0,$B20)&lt;=(PLE.Medicao-1))*OFFSET(CÁLCULO!$AB$15:$AL$15,$A20,0,$B20)*OFFSET(ORÇAMENTO!$AA$15,$A20,0,$B20)/(OFFSET(ORÇAMENTO!$X$15,$A20,0,$B20)+10^-12))+IF(AUTOEVENTO="Manual",SUMPRODUCT((OFFSET(CÁLCULO!$M$15,$A20,0,$B20)=1)*OFFSET(ORÇAMENTO!$AA$15,$A20,0,$B20)*(PLE!$AE$9-PLE!$Y$9)),0))</f>
        <v>#N/A</v>
      </c>
      <c r="AD20" s="263" t="e">
        <f aca="true" t="array" ref="AD20:AD20">IF(ACOMPANHAMENTO&lt;&gt;"PLE",0,SUMPRODUCT((OFFSET(CÁLCULO!$AX$15:$BH$15,$A20,0,$B20)&lt;=(PLE.Medicao-1))*OFFSET(CÁLCULO!$AB$15:$AL$15,$A20,0,$B20)*OFFSET(ORÇAMENTO!$AB$15,$A20,0,$B20)/(OFFSET(ORÇAMENTO!$X$15,$A20,0,$B20)+10^-12))+IF(AUTOEVENTO="Manual",SUMPRODUCT((OFFSET(CÁLCULO!$M$15,$A20,0,$B20)=1)*OFFSET(ORÇAMENTO!$AB$15,$A20,0,$B20)*(PLE!$AE$9-PLE!$Y$9)),0))</f>
        <v>#N/A</v>
      </c>
      <c r="AE20" s="263" t="e">
        <f aca="true">ROUND(
            IF(ACOMPANHAMENTO&lt;&gt;"PLE",0,
                      SUMIF(OFFSET(CÁLCULO!$AX$15:$BH$15,$A20,0,$B20),"&lt;="&amp;(PLE.Medicao-1),OFFSET(CÁLCULO!$AB$15:$AL$15,$A20,0,$B20))
                      +IF(AdmLocal="Automática",
                              SUMIF(OFFSET(CÁLCULO!$M$15,$A20,0,$B20),1,OFFSET(ORÇAMENTO!$X$15,$A20,0,$B20))*(PLE!$AE$9-PLE!$Y$9),
                              0)),
            2)</f>
        <v>#N/A</v>
      </c>
      <c r="AF20" s="263" t="e">
        <f aca="true" t="array" ref="AF20:AF20">IF(ACOMPANHAMENTO&lt;&gt;"PLE",0,SUMPRODUCT((OFFSET(CÁLCULO!$AX$15:$BH$15,$A20,0,$B20)&lt;=PLE.Medicao)*OFFSET(CÁLCULO!$AB$15:$AL$15,$A20,0,$B20)*OFFSET(ORÇAMENTO!$AA$15,$A20,0,$B20)/(OFFSET(ORÇAMENTO!$X$15,$A20,0,$B20)+10^-12))+IF(AUTOEVENTO="Manual",SUMPRODUCT((OFFSET(CÁLCULO!$M$15,$A20,0,$B20)=1)*OFFSET(ORÇAMENTO!$AA$15,$A20,0,$B20)*PLE!$AE$9),0))</f>
        <v>#N/A</v>
      </c>
      <c r="AG20" s="263" t="e">
        <f aca="true" t="array" ref="AG20:AG20">IF(ACOMPANHAMENTO&lt;&gt;"PLE",0,SUMPRODUCT((OFFSET(CÁLCULO!$AX$15:$BH$15,$A20,0,$B20)&lt;=PLE.Medicao)*OFFSET(CÁLCULO!$AB$15:$AL$15,$A20,0,$B20)*OFFSET(ORÇAMENTO!$AB$15,$A20,0,$B20)/(OFFSET(ORÇAMENTO!$X$15,$A20,0,$B20)+10^-12))+IF(AUTOEVENTO="Manual",SUMPRODUCT((OFFSET(CÁLCULO!$M$15,$A20,0,$B20)=1)*OFFSET(ORÇAMENTO!$AB$15,$A20,0,$B20)*PLE!$AE$9),0))</f>
        <v>#N/A</v>
      </c>
      <c r="AH20" s="263" t="e">
        <f aca="true">ROUND(IF(ACOMPANHAMENTO&lt;&gt;"PLE",0,SUMIF(OFFSET(CÁLCULO!$AX$15:$BH$15,$A20,0,$B20),"&lt;="&amp;PLE.Medicao,OFFSET(CÁLCULO!$AB$15:$AL$15,$A20,0,$B20))+IF(AdmLocal="Automática",SUMIF(OFFSET(CÁLCULO!$M$15,$A20,0,$B20),1,OFFSET(ORÇAMENTO!$X$15,$A20,0,$B20))*PLE!$AE$9,0)),2)</f>
        <v>#N/A</v>
      </c>
      <c r="AJ20" s="263" t="n">
        <f aca="true" t="array" ref="AJ20:AJ20">IF(ACOMPANHAMENTO&lt;&gt;"BM",0,SUMPRODUCT(OFFSET(BM!$M$15,$A20,0,$B20)*(OFFSET(BM!$A$15,$A20,0,$B20)="S")*OFFSET(ORÇAMENTO!AA$15,$A20,0,$B20)/(OFFSET(ORÇAMENTO!$X$15,$A20,0,$B20)+10^-12)))</f>
        <v>0</v>
      </c>
      <c r="AK20" s="263" t="n">
        <f aca="true" t="array" ref="AK20:AK20">IF(ACOMPANHAMENTO&lt;&gt;"BM",0,SUMPRODUCT(OFFSET(BM!$M$15,$A20,0,$B20)*(OFFSET(BM!$A$15,$A20,0,$B20)="S")*OFFSET(ORÇAMENTO!AB$15,$A20,0,$B20)/(OFFSET(ORÇAMENTO!$X$15,$A20,0,$B20)+10^-12)))</f>
        <v>0</v>
      </c>
      <c r="AL20" s="263" t="n">
        <f aca="true">IF(ACOMPANHAMENTO&lt;&gt;"BM",0,OFFSET(BM!$M$15,$A20,0))</f>
        <v>0</v>
      </c>
      <c r="AM20" s="263" t="n">
        <f aca="true" t="array" ref="AM20:AM20">IF(ACOMPANHAMENTO&lt;&gt;"BM",0,SUMPRODUCT(OFFSET(BM!$O$15,$A20,0,$B20)*(OFFSET(BM!$A$15,$A20,0,$B20)="S")*OFFSET(ORÇAMENTO!AA$15,$A20,0,$B20)/(OFFSET(ORÇAMENTO!$X$15,$A20,0,$B20)+10^-12)))</f>
        <v>0</v>
      </c>
      <c r="AN20" s="263" t="n">
        <f aca="true" t="array" ref="AN20:AN20">IF(ACOMPANHAMENTO&lt;&gt;"BM",0,SUMPRODUCT(OFFSET(BM!$O$15,$A20,0,$B20)*(OFFSET(BM!$A$15,$A20,0,$B20)="S")*OFFSET(ORÇAMENTO!AB$15,$A20,0,$B20)/(OFFSET(ORÇAMENTO!$X$15,$A20,0,$B20)+10^-12)))</f>
        <v>0</v>
      </c>
      <c r="AO20" s="263" t="n">
        <f aca="true">IF(ACOMPANHAMENTO&lt;&gt;"BM",0,OFFSET(BM!$O$15,$A20,0))</f>
        <v>0</v>
      </c>
    </row>
    <row r="21" customFormat="false" ht="30" hidden="false" customHeight="true" outlineLevel="0" collapsed="false">
      <c r="A21" s="0" t="e">
        <f aca="false">MATCH(E21,ORÇAMENTO!$E$15:$E$21,0)-1</f>
        <v>#N/A</v>
      </c>
      <c r="B21" s="0" t="e">
        <f aca="true">IF(ISERROR($A21),NA(),OFFSET(ORÇAMENTO!$D$15,$A21,0))</f>
        <v>#N/A</v>
      </c>
      <c r="C21" s="0" t="str">
        <f aca="false">QCI!B21</f>
        <v>Branco</v>
      </c>
      <c r="D21" s="0" t="str">
        <f aca="false">IF(L21&gt;0,"F","")</f>
        <v/>
      </c>
      <c r="E21" s="534" t="n">
        <f aca="false">QCI!D21</f>
        <v>8</v>
      </c>
      <c r="F21" s="689" t="str">
        <f aca="false">QCI!G21</f>
        <v/>
      </c>
      <c r="G21" s="690" t="n">
        <f aca="false">QCI!H21</f>
        <v>0</v>
      </c>
      <c r="H21" s="537" t="n">
        <f aca="false">QCI!I21</f>
        <v>0</v>
      </c>
      <c r="I21" s="537" t="str">
        <f aca="false">QCI!J21</f>
        <v/>
      </c>
      <c r="J21" s="691" t="str">
        <f aca="false">QCI!K21</f>
        <v/>
      </c>
      <c r="K21" s="692" t="str">
        <f aca="true" t="array" ref="K21:K21">IF($C21="Automático",IF(ACOMPANHAMENTO="BM",BM.medicao,PLE.Medicao),IF(ISBLANK($X21),"",$X21))</f>
        <v/>
      </c>
      <c r="L21" s="542" t="n">
        <f aca="false">QCI!$O21</f>
        <v>0</v>
      </c>
      <c r="M21" s="539" t="n">
        <f aca="false">ROUND(IF(C21="Automático",AE21+AL21,Y21),2)</f>
        <v>0</v>
      </c>
      <c r="N21" s="540" t="n">
        <f aca="false">O21-M21</f>
        <v>0</v>
      </c>
      <c r="O21" s="541" t="n">
        <f aca="false">ROUND(IF(C21="Automático",AH21+AO21,Z21),2)</f>
        <v>0</v>
      </c>
      <c r="P21" s="693" t="n">
        <f aca="false">O21/(L21+10^-12)</f>
        <v>0</v>
      </c>
      <c r="R21" s="694" t="n">
        <f aca="false">ROUND(IF($C21="Automático",AC21+AJ21,$Y21*IF(ISERROR(QCI!$AA21/QCI!$O21),0,QCI!$AA21/QCI!$O21)),2)</f>
        <v>0</v>
      </c>
      <c r="S21" s="694" t="n">
        <f aca="false">ROUND(IF($C21="Automático",AD21+AK21,$Y21*IF(ISERROR(QCI!$AB21/QCI!$O21),0,QCI!$AB21/QCI!$O21)),2)</f>
        <v>0</v>
      </c>
      <c r="T21" s="694" t="n">
        <f aca="false">ROUND(IF($C21="Automático",AF21+AM21,$Z21*IF(ISERROR(QCI!$AA21/QCI!$O21),0,QCI!$AA21/QCI!$O21)),2)</f>
        <v>0</v>
      </c>
      <c r="U21" s="694" t="n">
        <f aca="false">ROUND(IF($C21="Automático",AG21+AN21,$Z21*IF(ISERROR(QCI!$AB21/QCI!$O21),0,QCI!$AB21/QCI!$O21)),2)</f>
        <v>0</v>
      </c>
      <c r="V21" s="97" t="n">
        <f aca="true">IF(AND($L21&gt;0,$J21&lt;&gt;0,$J21&lt;&gt;"",COUNTIF($J$13:$J21,$J21)=1),OFFSET(V21,-1,0)+1,OFFSET(V21,-1,0))</f>
        <v>0</v>
      </c>
      <c r="X21" s="695"/>
      <c r="Y21" s="696"/>
      <c r="Z21" s="697"/>
      <c r="AC21" s="263" t="e">
        <f aca="true" t="array" ref="AC21:AC21">IF(ACOMPANHAMENTO&lt;&gt;"PLE",0,SUMPRODUCT((OFFSET(CÁLCULO!$AX$15:$BH$15,$A21,0,$B21)&lt;=(PLE.Medicao-1))*OFFSET(CÁLCULO!$AB$15:$AL$15,$A21,0,$B21)*OFFSET(ORÇAMENTO!$AA$15,$A21,0,$B21)/(OFFSET(ORÇAMENTO!$X$15,$A21,0,$B21)+10^-12))+IF(AUTOEVENTO="Manual",SUMPRODUCT((OFFSET(CÁLCULO!$M$15,$A21,0,$B21)=1)*OFFSET(ORÇAMENTO!$AA$15,$A21,0,$B21)*(PLE!$AE$9-PLE!$Y$9)),0))</f>
        <v>#N/A</v>
      </c>
      <c r="AD21" s="263" t="e">
        <f aca="true" t="array" ref="AD21:AD21">IF(ACOMPANHAMENTO&lt;&gt;"PLE",0,SUMPRODUCT((OFFSET(CÁLCULO!$AX$15:$BH$15,$A21,0,$B21)&lt;=(PLE.Medicao-1))*OFFSET(CÁLCULO!$AB$15:$AL$15,$A21,0,$B21)*OFFSET(ORÇAMENTO!$AB$15,$A21,0,$B21)/(OFFSET(ORÇAMENTO!$X$15,$A21,0,$B21)+10^-12))+IF(AUTOEVENTO="Manual",SUMPRODUCT((OFFSET(CÁLCULO!$M$15,$A21,0,$B21)=1)*OFFSET(ORÇAMENTO!$AB$15,$A21,0,$B21)*(PLE!$AE$9-PLE!$Y$9)),0))</f>
        <v>#N/A</v>
      </c>
      <c r="AE21" s="263" t="e">
        <f aca="true">ROUND(
            IF(ACOMPANHAMENTO&lt;&gt;"PLE",0,
                      SUMIF(OFFSET(CÁLCULO!$AX$15:$BH$15,$A21,0,$B21),"&lt;="&amp;(PLE.Medicao-1),OFFSET(CÁLCULO!$AB$15:$AL$15,$A21,0,$B21))
                      +IF(AdmLocal="Automática",
                              SUMIF(OFFSET(CÁLCULO!$M$15,$A21,0,$B21),1,OFFSET(ORÇAMENTO!$X$15,$A21,0,$B21))*(PLE!$AE$9-PLE!$Y$9),
                              0)),
            2)</f>
        <v>#N/A</v>
      </c>
      <c r="AF21" s="263" t="e">
        <f aca="true" t="array" ref="AF21:AF21">IF(ACOMPANHAMENTO&lt;&gt;"PLE",0,SUMPRODUCT((OFFSET(CÁLCULO!$AX$15:$BH$15,$A21,0,$B21)&lt;=PLE.Medicao)*OFFSET(CÁLCULO!$AB$15:$AL$15,$A21,0,$B21)*OFFSET(ORÇAMENTO!$AA$15,$A21,0,$B21)/(OFFSET(ORÇAMENTO!$X$15,$A21,0,$B21)+10^-12))+IF(AUTOEVENTO="Manual",SUMPRODUCT((OFFSET(CÁLCULO!$M$15,$A21,0,$B21)=1)*OFFSET(ORÇAMENTO!$AA$15,$A21,0,$B21)*PLE!$AE$9),0))</f>
        <v>#N/A</v>
      </c>
      <c r="AG21" s="263" t="e">
        <f aca="true" t="array" ref="AG21:AG21">IF(ACOMPANHAMENTO&lt;&gt;"PLE",0,SUMPRODUCT((OFFSET(CÁLCULO!$AX$15:$BH$15,$A21,0,$B21)&lt;=PLE.Medicao)*OFFSET(CÁLCULO!$AB$15:$AL$15,$A21,0,$B21)*OFFSET(ORÇAMENTO!$AB$15,$A21,0,$B21)/(OFFSET(ORÇAMENTO!$X$15,$A21,0,$B21)+10^-12))+IF(AUTOEVENTO="Manual",SUMPRODUCT((OFFSET(CÁLCULO!$M$15,$A21,0,$B21)=1)*OFFSET(ORÇAMENTO!$AB$15,$A21,0,$B21)*PLE!$AE$9),0))</f>
        <v>#N/A</v>
      </c>
      <c r="AH21" s="263" t="e">
        <f aca="true">ROUND(IF(ACOMPANHAMENTO&lt;&gt;"PLE",0,SUMIF(OFFSET(CÁLCULO!$AX$15:$BH$15,$A21,0,$B21),"&lt;="&amp;PLE.Medicao,OFFSET(CÁLCULO!$AB$15:$AL$15,$A21,0,$B21))+IF(AdmLocal="Automática",SUMIF(OFFSET(CÁLCULO!$M$15,$A21,0,$B21),1,OFFSET(ORÇAMENTO!$X$15,$A21,0,$B21))*PLE!$AE$9,0)),2)</f>
        <v>#N/A</v>
      </c>
      <c r="AJ21" s="263" t="n">
        <f aca="true" t="array" ref="AJ21:AJ21">IF(ACOMPANHAMENTO&lt;&gt;"BM",0,SUMPRODUCT(OFFSET(BM!$M$15,$A21,0,$B21)*(OFFSET(BM!$A$15,$A21,0,$B21)="S")*OFFSET(ORÇAMENTO!AA$15,$A21,0,$B21)/(OFFSET(ORÇAMENTO!$X$15,$A21,0,$B21)+10^-12)))</f>
        <v>0</v>
      </c>
      <c r="AK21" s="263" t="n">
        <f aca="true" t="array" ref="AK21:AK21">IF(ACOMPANHAMENTO&lt;&gt;"BM",0,SUMPRODUCT(OFFSET(BM!$M$15,$A21,0,$B21)*(OFFSET(BM!$A$15,$A21,0,$B21)="S")*OFFSET(ORÇAMENTO!AB$15,$A21,0,$B21)/(OFFSET(ORÇAMENTO!$X$15,$A21,0,$B21)+10^-12)))</f>
        <v>0</v>
      </c>
      <c r="AL21" s="263" t="n">
        <f aca="true">IF(ACOMPANHAMENTO&lt;&gt;"BM",0,OFFSET(BM!$M$15,$A21,0))</f>
        <v>0</v>
      </c>
      <c r="AM21" s="263" t="n">
        <f aca="true" t="array" ref="AM21:AM21">IF(ACOMPANHAMENTO&lt;&gt;"BM",0,SUMPRODUCT(OFFSET(BM!$O$15,$A21,0,$B21)*(OFFSET(BM!$A$15,$A21,0,$B21)="S")*OFFSET(ORÇAMENTO!AA$15,$A21,0,$B21)/(OFFSET(ORÇAMENTO!$X$15,$A21,0,$B21)+10^-12)))</f>
        <v>0</v>
      </c>
      <c r="AN21" s="263" t="n">
        <f aca="true" t="array" ref="AN21:AN21">IF(ACOMPANHAMENTO&lt;&gt;"BM",0,SUMPRODUCT(OFFSET(BM!$O$15,$A21,0,$B21)*(OFFSET(BM!$A$15,$A21,0,$B21)="S")*OFFSET(ORÇAMENTO!AB$15,$A21,0,$B21)/(OFFSET(ORÇAMENTO!$X$15,$A21,0,$B21)+10^-12)))</f>
        <v>0</v>
      </c>
      <c r="AO21" s="263" t="n">
        <f aca="true">IF(ACOMPANHAMENTO&lt;&gt;"BM",0,OFFSET(BM!$O$15,$A21,0))</f>
        <v>0</v>
      </c>
    </row>
    <row r="22" customFormat="false" ht="30" hidden="false" customHeight="true" outlineLevel="0" collapsed="false">
      <c r="A22" s="0" t="e">
        <f aca="false">MATCH(E22,ORÇAMENTO!$E$15:$E$21,0)-1</f>
        <v>#N/A</v>
      </c>
      <c r="B22" s="0" t="e">
        <f aca="true">IF(ISERROR($A22),NA(),OFFSET(ORÇAMENTO!$D$15,$A22,0))</f>
        <v>#N/A</v>
      </c>
      <c r="C22" s="0" t="str">
        <f aca="false">QCI!B22</f>
        <v>Branco</v>
      </c>
      <c r="D22" s="0" t="str">
        <f aca="false">IF(L22&gt;0,"F","")</f>
        <v/>
      </c>
      <c r="E22" s="534" t="n">
        <f aca="false">QCI!D22</f>
        <v>9</v>
      </c>
      <c r="F22" s="689" t="str">
        <f aca="false">QCI!G22</f>
        <v/>
      </c>
      <c r="G22" s="690" t="n">
        <f aca="false">QCI!H22</f>
        <v>0</v>
      </c>
      <c r="H22" s="537" t="n">
        <f aca="false">QCI!I22</f>
        <v>0</v>
      </c>
      <c r="I22" s="537" t="str">
        <f aca="false">QCI!J22</f>
        <v/>
      </c>
      <c r="J22" s="691" t="str">
        <f aca="false">QCI!K22</f>
        <v/>
      </c>
      <c r="K22" s="692" t="str">
        <f aca="true" t="array" ref="K22:K22">IF($C22="Automático",IF(ACOMPANHAMENTO="BM",BM.medicao,PLE.Medicao),IF(ISBLANK($X22),"",$X22))</f>
        <v/>
      </c>
      <c r="L22" s="542" t="n">
        <f aca="false">QCI!$O22</f>
        <v>0</v>
      </c>
      <c r="M22" s="539" t="n">
        <f aca="false">ROUND(IF(C22="Automático",AE22+AL22,Y22),2)</f>
        <v>0</v>
      </c>
      <c r="N22" s="540" t="n">
        <f aca="false">O22-M22</f>
        <v>0</v>
      </c>
      <c r="O22" s="541" t="n">
        <f aca="false">ROUND(IF(C22="Automático",AH22+AO22,Z22),2)</f>
        <v>0</v>
      </c>
      <c r="P22" s="693" t="n">
        <f aca="false">O22/(L22+10^-12)</f>
        <v>0</v>
      </c>
      <c r="R22" s="694" t="n">
        <f aca="false">ROUND(IF($C22="Automático",AC22+AJ22,$Y22*IF(ISERROR(QCI!$AA22/QCI!$O22),0,QCI!$AA22/QCI!$O22)),2)</f>
        <v>0</v>
      </c>
      <c r="S22" s="694" t="n">
        <f aca="false">ROUND(IF($C22="Automático",AD22+AK22,$Y22*IF(ISERROR(QCI!$AB22/QCI!$O22),0,QCI!$AB22/QCI!$O22)),2)</f>
        <v>0</v>
      </c>
      <c r="T22" s="694" t="n">
        <f aca="false">ROUND(IF($C22="Automático",AF22+AM22,$Z22*IF(ISERROR(QCI!$AA22/QCI!$O22),0,QCI!$AA22/QCI!$O22)),2)</f>
        <v>0</v>
      </c>
      <c r="U22" s="694" t="n">
        <f aca="false">ROUND(IF($C22="Automático",AG22+AN22,$Z22*IF(ISERROR(QCI!$AB22/QCI!$O22),0,QCI!$AB22/QCI!$O22)),2)</f>
        <v>0</v>
      </c>
      <c r="V22" s="97" t="n">
        <f aca="true">IF(AND($L22&gt;0,$J22&lt;&gt;0,$J22&lt;&gt;"",COUNTIF($J$13:$J22,$J22)=1),OFFSET(V22,-1,0)+1,OFFSET(V22,-1,0))</f>
        <v>0</v>
      </c>
      <c r="X22" s="695"/>
      <c r="Y22" s="696"/>
      <c r="Z22" s="697"/>
      <c r="AC22" s="263" t="e">
        <f aca="true" t="array" ref="AC22:AC22">IF(ACOMPANHAMENTO&lt;&gt;"PLE",0,SUMPRODUCT((OFFSET(CÁLCULO!$AX$15:$BH$15,$A22,0,$B22)&lt;=(PLE.Medicao-1))*OFFSET(CÁLCULO!$AB$15:$AL$15,$A22,0,$B22)*OFFSET(ORÇAMENTO!$AA$15,$A22,0,$B22)/(OFFSET(ORÇAMENTO!$X$15,$A22,0,$B22)+10^-12))+IF(AUTOEVENTO="Manual",SUMPRODUCT((OFFSET(CÁLCULO!$M$15,$A22,0,$B22)=1)*OFFSET(ORÇAMENTO!$AA$15,$A22,0,$B22)*(PLE!$AE$9-PLE!$Y$9)),0))</f>
        <v>#N/A</v>
      </c>
      <c r="AD22" s="263" t="e">
        <f aca="true" t="array" ref="AD22:AD22">IF(ACOMPANHAMENTO&lt;&gt;"PLE",0,SUMPRODUCT((OFFSET(CÁLCULO!$AX$15:$BH$15,$A22,0,$B22)&lt;=(PLE.Medicao-1))*OFFSET(CÁLCULO!$AB$15:$AL$15,$A22,0,$B22)*OFFSET(ORÇAMENTO!$AB$15,$A22,0,$B22)/(OFFSET(ORÇAMENTO!$X$15,$A22,0,$B22)+10^-12))+IF(AUTOEVENTO="Manual",SUMPRODUCT((OFFSET(CÁLCULO!$M$15,$A22,0,$B22)=1)*OFFSET(ORÇAMENTO!$AB$15,$A22,0,$B22)*(PLE!$AE$9-PLE!$Y$9)),0))</f>
        <v>#N/A</v>
      </c>
      <c r="AE22" s="263" t="e">
        <f aca="true">ROUND(
            IF(ACOMPANHAMENTO&lt;&gt;"PLE",0,
                      SUMIF(OFFSET(CÁLCULO!$AX$15:$BH$15,$A22,0,$B22),"&lt;="&amp;(PLE.Medicao-1),OFFSET(CÁLCULO!$AB$15:$AL$15,$A22,0,$B22))
                      +IF(AdmLocal="Automática",
                              SUMIF(OFFSET(CÁLCULO!$M$15,$A22,0,$B22),1,OFFSET(ORÇAMENTO!$X$15,$A22,0,$B22))*(PLE!$AE$9-PLE!$Y$9),
                              0)),
            2)</f>
        <v>#N/A</v>
      </c>
      <c r="AF22" s="263" t="e">
        <f aca="true" t="array" ref="AF22:AF22">IF(ACOMPANHAMENTO&lt;&gt;"PLE",0,SUMPRODUCT((OFFSET(CÁLCULO!$AX$15:$BH$15,$A22,0,$B22)&lt;=PLE.Medicao)*OFFSET(CÁLCULO!$AB$15:$AL$15,$A22,0,$B22)*OFFSET(ORÇAMENTO!$AA$15,$A22,0,$B22)/(OFFSET(ORÇAMENTO!$X$15,$A22,0,$B22)+10^-12))+IF(AUTOEVENTO="Manual",SUMPRODUCT((OFFSET(CÁLCULO!$M$15,$A22,0,$B22)=1)*OFFSET(ORÇAMENTO!$AA$15,$A22,0,$B22)*PLE!$AE$9),0))</f>
        <v>#N/A</v>
      </c>
      <c r="AG22" s="263" t="e">
        <f aca="true" t="array" ref="AG22:AG22">IF(ACOMPANHAMENTO&lt;&gt;"PLE",0,SUMPRODUCT((OFFSET(CÁLCULO!$AX$15:$BH$15,$A22,0,$B22)&lt;=PLE.Medicao)*OFFSET(CÁLCULO!$AB$15:$AL$15,$A22,0,$B22)*OFFSET(ORÇAMENTO!$AB$15,$A22,0,$B22)/(OFFSET(ORÇAMENTO!$X$15,$A22,0,$B22)+10^-12))+IF(AUTOEVENTO="Manual",SUMPRODUCT((OFFSET(CÁLCULO!$M$15,$A22,0,$B22)=1)*OFFSET(ORÇAMENTO!$AB$15,$A22,0,$B22)*PLE!$AE$9),0))</f>
        <v>#N/A</v>
      </c>
      <c r="AH22" s="263" t="e">
        <f aca="true">ROUND(IF(ACOMPANHAMENTO&lt;&gt;"PLE",0,SUMIF(OFFSET(CÁLCULO!$AX$15:$BH$15,$A22,0,$B22),"&lt;="&amp;PLE.Medicao,OFFSET(CÁLCULO!$AB$15:$AL$15,$A22,0,$B22))+IF(AdmLocal="Automática",SUMIF(OFFSET(CÁLCULO!$M$15,$A22,0,$B22),1,OFFSET(ORÇAMENTO!$X$15,$A22,0,$B22))*PLE!$AE$9,0)),2)</f>
        <v>#N/A</v>
      </c>
      <c r="AJ22" s="263" t="n">
        <f aca="true" t="array" ref="AJ22:AJ22">IF(ACOMPANHAMENTO&lt;&gt;"BM",0,SUMPRODUCT(OFFSET(BM!$M$15,$A22,0,$B22)*(OFFSET(BM!$A$15,$A22,0,$B22)="S")*OFFSET(ORÇAMENTO!AA$15,$A22,0,$B22)/(OFFSET(ORÇAMENTO!$X$15,$A22,0,$B22)+10^-12)))</f>
        <v>0</v>
      </c>
      <c r="AK22" s="263" t="n">
        <f aca="true" t="array" ref="AK22:AK22">IF(ACOMPANHAMENTO&lt;&gt;"BM",0,SUMPRODUCT(OFFSET(BM!$M$15,$A22,0,$B22)*(OFFSET(BM!$A$15,$A22,0,$B22)="S")*OFFSET(ORÇAMENTO!AB$15,$A22,0,$B22)/(OFFSET(ORÇAMENTO!$X$15,$A22,0,$B22)+10^-12)))</f>
        <v>0</v>
      </c>
      <c r="AL22" s="263" t="n">
        <f aca="true">IF(ACOMPANHAMENTO&lt;&gt;"BM",0,OFFSET(BM!$M$15,$A22,0))</f>
        <v>0</v>
      </c>
      <c r="AM22" s="263" t="n">
        <f aca="true" t="array" ref="AM22:AM22">IF(ACOMPANHAMENTO&lt;&gt;"BM",0,SUMPRODUCT(OFFSET(BM!$O$15,$A22,0,$B22)*(OFFSET(BM!$A$15,$A22,0,$B22)="S")*OFFSET(ORÇAMENTO!AA$15,$A22,0,$B22)/(OFFSET(ORÇAMENTO!$X$15,$A22,0,$B22)+10^-12)))</f>
        <v>0</v>
      </c>
      <c r="AN22" s="263" t="n">
        <f aca="true" t="array" ref="AN22:AN22">IF(ACOMPANHAMENTO&lt;&gt;"BM",0,SUMPRODUCT(OFFSET(BM!$O$15,$A22,0,$B22)*(OFFSET(BM!$A$15,$A22,0,$B22)="S")*OFFSET(ORÇAMENTO!AB$15,$A22,0,$B22)/(OFFSET(ORÇAMENTO!$X$15,$A22,0,$B22)+10^-12)))</f>
        <v>0</v>
      </c>
      <c r="AO22" s="263" t="n">
        <f aca="true">IF(ACOMPANHAMENTO&lt;&gt;"BM",0,OFFSET(BM!$O$15,$A22,0))</f>
        <v>0</v>
      </c>
    </row>
    <row r="23" customFormat="false" ht="30" hidden="false" customHeight="true" outlineLevel="0" collapsed="false">
      <c r="A23" s="0" t="e">
        <f aca="false">MATCH(E23,ORÇAMENTO!$E$15:$E$21,0)-1</f>
        <v>#N/A</v>
      </c>
      <c r="B23" s="0" t="e">
        <f aca="true">IF(ISERROR($A23),NA(),OFFSET(ORÇAMENTO!$D$15,$A23,0))</f>
        <v>#N/A</v>
      </c>
      <c r="C23" s="0" t="str">
        <f aca="false">QCI!B23</f>
        <v>Branco</v>
      </c>
      <c r="D23" s="0" t="str">
        <f aca="false">IF(L23&gt;0,"F","")</f>
        <v/>
      </c>
      <c r="E23" s="534" t="n">
        <f aca="false">QCI!D23</f>
        <v>10</v>
      </c>
      <c r="F23" s="689" t="str">
        <f aca="false">QCI!G23</f>
        <v/>
      </c>
      <c r="G23" s="690" t="n">
        <f aca="false">QCI!H23</f>
        <v>0</v>
      </c>
      <c r="H23" s="537" t="n">
        <f aca="false">QCI!I23</f>
        <v>0</v>
      </c>
      <c r="I23" s="537" t="str">
        <f aca="false">QCI!J23</f>
        <v/>
      </c>
      <c r="J23" s="691" t="str">
        <f aca="false">QCI!K23</f>
        <v/>
      </c>
      <c r="K23" s="692" t="str">
        <f aca="true" t="array" ref="K23:K23">IF($C23="Automático",IF(ACOMPANHAMENTO="BM",BM.medicao,PLE.Medicao),IF(ISBLANK($X23),"",$X23))</f>
        <v/>
      </c>
      <c r="L23" s="542" t="n">
        <f aca="false">QCI!$O23</f>
        <v>0</v>
      </c>
      <c r="M23" s="539" t="n">
        <f aca="false">ROUND(IF(C23="Automático",AE23+AL23,Y23),2)</f>
        <v>0</v>
      </c>
      <c r="N23" s="540" t="n">
        <f aca="false">O23-M23</f>
        <v>0</v>
      </c>
      <c r="O23" s="541" t="n">
        <f aca="false">ROUND(IF(C23="Automático",AH23+AO23,Z23),2)</f>
        <v>0</v>
      </c>
      <c r="P23" s="693" t="n">
        <f aca="false">O23/(L23+10^-12)</f>
        <v>0</v>
      </c>
      <c r="R23" s="694" t="n">
        <f aca="false">ROUND(IF($C23="Automático",AC23+AJ23,$Y23*IF(ISERROR(QCI!$AA23/QCI!$O23),0,QCI!$AA23/QCI!$O23)),2)</f>
        <v>0</v>
      </c>
      <c r="S23" s="694" t="n">
        <f aca="false">ROUND(IF($C23="Automático",AD23+AK23,$Y23*IF(ISERROR(QCI!$AB23/QCI!$O23),0,QCI!$AB23/QCI!$O23)),2)</f>
        <v>0</v>
      </c>
      <c r="T23" s="694" t="n">
        <f aca="false">ROUND(IF($C23="Automático",AF23+AM23,$Z23*IF(ISERROR(QCI!$AA23/QCI!$O23),0,QCI!$AA23/QCI!$O23)),2)</f>
        <v>0</v>
      </c>
      <c r="U23" s="694" t="n">
        <f aca="false">ROUND(IF($C23="Automático",AG23+AN23,$Z23*IF(ISERROR(QCI!$AB23/QCI!$O23),0,QCI!$AB23/QCI!$O23)),2)</f>
        <v>0</v>
      </c>
      <c r="V23" s="97" t="n">
        <f aca="true">IF(AND($L23&gt;0,$J23&lt;&gt;0,$J23&lt;&gt;"",COUNTIF($J$13:$J23,$J23)=1),OFFSET(V23,-1,0)+1,OFFSET(V23,-1,0))</f>
        <v>0</v>
      </c>
      <c r="X23" s="695"/>
      <c r="Y23" s="696"/>
      <c r="Z23" s="697"/>
      <c r="AC23" s="263" t="e">
        <f aca="true" t="array" ref="AC23:AC23">IF(ACOMPANHAMENTO&lt;&gt;"PLE",0,SUMPRODUCT((OFFSET(CÁLCULO!$AX$15:$BH$15,$A23,0,$B23)&lt;=(PLE.Medicao-1))*OFFSET(CÁLCULO!$AB$15:$AL$15,$A23,0,$B23)*OFFSET(ORÇAMENTO!$AA$15,$A23,0,$B23)/(OFFSET(ORÇAMENTO!$X$15,$A23,0,$B23)+10^-12))+IF(AUTOEVENTO="Manual",SUMPRODUCT((OFFSET(CÁLCULO!$M$15,$A23,0,$B23)=1)*OFFSET(ORÇAMENTO!$AA$15,$A23,0,$B23)*(PLE!$AE$9-PLE!$Y$9)),0))</f>
        <v>#N/A</v>
      </c>
      <c r="AD23" s="263" t="e">
        <f aca="true" t="array" ref="AD23:AD23">IF(ACOMPANHAMENTO&lt;&gt;"PLE",0,SUMPRODUCT((OFFSET(CÁLCULO!$AX$15:$BH$15,$A23,0,$B23)&lt;=(PLE.Medicao-1))*OFFSET(CÁLCULO!$AB$15:$AL$15,$A23,0,$B23)*OFFSET(ORÇAMENTO!$AB$15,$A23,0,$B23)/(OFFSET(ORÇAMENTO!$X$15,$A23,0,$B23)+10^-12))+IF(AUTOEVENTO="Manual",SUMPRODUCT((OFFSET(CÁLCULO!$M$15,$A23,0,$B23)=1)*OFFSET(ORÇAMENTO!$AB$15,$A23,0,$B23)*(PLE!$AE$9-PLE!$Y$9)),0))</f>
        <v>#N/A</v>
      </c>
      <c r="AE23" s="263" t="e">
        <f aca="true">ROUND(
            IF(ACOMPANHAMENTO&lt;&gt;"PLE",0,
                      SUMIF(OFFSET(CÁLCULO!$AX$15:$BH$15,$A23,0,$B23),"&lt;="&amp;(PLE.Medicao-1),OFFSET(CÁLCULO!$AB$15:$AL$15,$A23,0,$B23))
                      +IF(AdmLocal="Automática",
                              SUMIF(OFFSET(CÁLCULO!$M$15,$A23,0,$B23),1,OFFSET(ORÇAMENTO!$X$15,$A23,0,$B23))*(PLE!$AE$9-PLE!$Y$9),
                              0)),
            2)</f>
        <v>#N/A</v>
      </c>
      <c r="AF23" s="263" t="e">
        <f aca="true" t="array" ref="AF23:AF23">IF(ACOMPANHAMENTO&lt;&gt;"PLE",0,SUMPRODUCT((OFFSET(CÁLCULO!$AX$15:$BH$15,$A23,0,$B23)&lt;=PLE.Medicao)*OFFSET(CÁLCULO!$AB$15:$AL$15,$A23,0,$B23)*OFFSET(ORÇAMENTO!$AA$15,$A23,0,$B23)/(OFFSET(ORÇAMENTO!$X$15,$A23,0,$B23)+10^-12))+IF(AUTOEVENTO="Manual",SUMPRODUCT((OFFSET(CÁLCULO!$M$15,$A23,0,$B23)=1)*OFFSET(ORÇAMENTO!$AA$15,$A23,0,$B23)*PLE!$AE$9),0))</f>
        <v>#N/A</v>
      </c>
      <c r="AG23" s="263" t="e">
        <f aca="true" t="array" ref="AG23:AG23">IF(ACOMPANHAMENTO&lt;&gt;"PLE",0,SUMPRODUCT((OFFSET(CÁLCULO!$AX$15:$BH$15,$A23,0,$B23)&lt;=PLE.Medicao)*OFFSET(CÁLCULO!$AB$15:$AL$15,$A23,0,$B23)*OFFSET(ORÇAMENTO!$AB$15,$A23,0,$B23)/(OFFSET(ORÇAMENTO!$X$15,$A23,0,$B23)+10^-12))+IF(AUTOEVENTO="Manual",SUMPRODUCT((OFFSET(CÁLCULO!$M$15,$A23,0,$B23)=1)*OFFSET(ORÇAMENTO!$AB$15,$A23,0,$B23)*PLE!$AE$9),0))</f>
        <v>#N/A</v>
      </c>
      <c r="AH23" s="263" t="e">
        <f aca="true">ROUND(IF(ACOMPANHAMENTO&lt;&gt;"PLE",0,SUMIF(OFFSET(CÁLCULO!$AX$15:$BH$15,$A23,0,$B23),"&lt;="&amp;PLE.Medicao,OFFSET(CÁLCULO!$AB$15:$AL$15,$A23,0,$B23))+IF(AdmLocal="Automática",SUMIF(OFFSET(CÁLCULO!$M$15,$A23,0,$B23),1,OFFSET(ORÇAMENTO!$X$15,$A23,0,$B23))*PLE!$AE$9,0)),2)</f>
        <v>#N/A</v>
      </c>
      <c r="AJ23" s="263" t="n">
        <f aca="true" t="array" ref="AJ23:AJ23">IF(ACOMPANHAMENTO&lt;&gt;"BM",0,SUMPRODUCT(OFFSET(BM!$M$15,$A23,0,$B23)*(OFFSET(BM!$A$15,$A23,0,$B23)="S")*OFFSET(ORÇAMENTO!AA$15,$A23,0,$B23)/(OFFSET(ORÇAMENTO!$X$15,$A23,0,$B23)+10^-12)))</f>
        <v>0</v>
      </c>
      <c r="AK23" s="263" t="n">
        <f aca="true" t="array" ref="AK23:AK23">IF(ACOMPANHAMENTO&lt;&gt;"BM",0,SUMPRODUCT(OFFSET(BM!$M$15,$A23,0,$B23)*(OFFSET(BM!$A$15,$A23,0,$B23)="S")*OFFSET(ORÇAMENTO!AB$15,$A23,0,$B23)/(OFFSET(ORÇAMENTO!$X$15,$A23,0,$B23)+10^-12)))</f>
        <v>0</v>
      </c>
      <c r="AL23" s="263" t="n">
        <f aca="true">IF(ACOMPANHAMENTO&lt;&gt;"BM",0,OFFSET(BM!$M$15,$A23,0))</f>
        <v>0</v>
      </c>
      <c r="AM23" s="263" t="n">
        <f aca="true" t="array" ref="AM23:AM23">IF(ACOMPANHAMENTO&lt;&gt;"BM",0,SUMPRODUCT(OFFSET(BM!$O$15,$A23,0,$B23)*(OFFSET(BM!$A$15,$A23,0,$B23)="S")*OFFSET(ORÇAMENTO!AA$15,$A23,0,$B23)/(OFFSET(ORÇAMENTO!$X$15,$A23,0,$B23)+10^-12)))</f>
        <v>0</v>
      </c>
      <c r="AN23" s="263" t="n">
        <f aca="true" t="array" ref="AN23:AN23">IF(ACOMPANHAMENTO&lt;&gt;"BM",0,SUMPRODUCT(OFFSET(BM!$O$15,$A23,0,$B23)*(OFFSET(BM!$A$15,$A23,0,$B23)="S")*OFFSET(ORÇAMENTO!AB$15,$A23,0,$B23)/(OFFSET(ORÇAMENTO!$X$15,$A23,0,$B23)+10^-12)))</f>
        <v>0</v>
      </c>
      <c r="AO23" s="263" t="n">
        <f aca="true">IF(ACOMPANHAMENTO&lt;&gt;"BM",0,OFFSET(BM!$O$15,$A23,0))</f>
        <v>0</v>
      </c>
    </row>
    <row r="24" customFormat="false" ht="12.75" hidden="false" customHeight="true" outlineLevel="0" collapsed="false">
      <c r="D24" s="0" t="s">
        <v>594</v>
      </c>
      <c r="E24" s="32"/>
      <c r="F24" s="32"/>
      <c r="G24" s="32"/>
      <c r="H24" s="32"/>
      <c r="I24" s="33"/>
      <c r="J24" s="699" t="s">
        <v>982</v>
      </c>
      <c r="K24" s="699"/>
      <c r="L24" s="700" t="n">
        <f aca="false">IF(ISERROR(L28/$L28),0,ROUND(L28/$L28,4))</f>
        <v>0</v>
      </c>
      <c r="M24" s="701" t="n">
        <f aca="false">IF(ISERROR(M28/$L28),0,ROUND(M28/$L28,4))</f>
        <v>0</v>
      </c>
      <c r="N24" s="702" t="n">
        <f aca="false">IF(ISERROR(N28/$L28),0,ROUND(N28/$L28,4))</f>
        <v>0</v>
      </c>
      <c r="O24" s="703" t="n">
        <f aca="false">IF(ISERROR(O28/$L28),0,ROUND(O28/$L28,4))</f>
        <v>0</v>
      </c>
      <c r="P24" s="704" t="n">
        <f aca="false">O28/(L28+10^-12)</f>
        <v>0</v>
      </c>
      <c r="X24" s="566"/>
      <c r="Y24" s="568"/>
      <c r="Z24" s="569"/>
    </row>
    <row r="25" customFormat="false" ht="12.75" hidden="false" customHeight="true" outlineLevel="0" collapsed="false">
      <c r="D25" s="0" t="s">
        <v>594</v>
      </c>
      <c r="I25" s="8"/>
      <c r="J25" s="705" t="str">
        <f aca="false">IF(import.recurso="FGTS","Financiamento","Repasse")</f>
        <v>Repasse</v>
      </c>
      <c r="K25" s="705"/>
      <c r="L25" s="542" t="n">
        <f aca="false">QCI!L24</f>
        <v>0</v>
      </c>
      <c r="M25" s="539" t="n">
        <f aca="false">M28-M27-M26</f>
        <v>0</v>
      </c>
      <c r="N25" s="540" t="n">
        <f aca="false">O25-M25</f>
        <v>0</v>
      </c>
      <c r="O25" s="541" t="n">
        <f aca="false">O28-O27-O26</f>
        <v>0</v>
      </c>
      <c r="P25" s="704"/>
      <c r="X25" s="706"/>
      <c r="Y25" s="707" t="s">
        <v>983</v>
      </c>
      <c r="Z25" s="708" t="s">
        <v>984</v>
      </c>
      <c r="AC25" s="709" t="s">
        <v>985</v>
      </c>
      <c r="AD25" s="709" t="s">
        <v>986</v>
      </c>
    </row>
    <row r="26" customFormat="false" ht="12.75" hidden="false" customHeight="true" outlineLevel="0" collapsed="false">
      <c r="D26" s="0" t="s">
        <v>594</v>
      </c>
      <c r="I26" s="8"/>
      <c r="J26" s="710" t="s">
        <v>987</v>
      </c>
      <c r="K26" s="710"/>
      <c r="L26" s="711" t="n">
        <f aca="false">QCI!M24</f>
        <v>0</v>
      </c>
      <c r="M26" s="712" t="n">
        <f aca="true">ROUND(IF(OFFSET($X$26,0,1)&lt;&gt;"",OFFSET($X$26,0,1),SUM(R13:OFFSET(R24,-1,0))),2)</f>
        <v>0</v>
      </c>
      <c r="N26" s="713" t="n">
        <f aca="false">O26-M26</f>
        <v>0</v>
      </c>
      <c r="O26" s="714" t="n">
        <f aca="true">IF(OFFSET($X$26,0,2)&lt;&gt;"",OFFSET($X$26,0,2),$AE$3)</f>
        <v>0</v>
      </c>
      <c r="P26" s="704"/>
      <c r="X26" s="715" t="s">
        <v>514</v>
      </c>
      <c r="Y26" s="716"/>
      <c r="Z26" s="717"/>
      <c r="AC26" s="718" t="n">
        <f aca="true">MIN($L26,$O$28-OFFSET($X$27,0,1))</f>
        <v>0</v>
      </c>
      <c r="AD26" s="718" t="n">
        <f aca="true">MIN($L26,$O$28-OFFSET($X$27,0,2))</f>
        <v>0</v>
      </c>
    </row>
    <row r="27" customFormat="false" ht="12.75" hidden="false" customHeight="true" outlineLevel="0" collapsed="false">
      <c r="D27" s="0" t="s">
        <v>594</v>
      </c>
      <c r="I27" s="8"/>
      <c r="J27" s="719" t="s">
        <v>964</v>
      </c>
      <c r="K27" s="719"/>
      <c r="L27" s="720" t="n">
        <f aca="false">QCI!N24</f>
        <v>0</v>
      </c>
      <c r="M27" s="721" t="n">
        <f aca="true">ROUND(IF(OFFSET($X$27,0,1)&lt;&gt;"",OFFSET($X$27,0,1),SUM(S13:OFFSET(S24,-1,0))),2)</f>
        <v>0</v>
      </c>
      <c r="N27" s="722" t="n">
        <f aca="false">O27-M27</f>
        <v>0</v>
      </c>
      <c r="O27" s="723" t="n">
        <f aca="true">IF(OFFSET($X$27,0,2)&lt;&gt;"",OFFSET($X$27,0,2),$AE$4)</f>
        <v>0</v>
      </c>
      <c r="P27" s="704"/>
      <c r="X27" s="724" t="s">
        <v>776</v>
      </c>
      <c r="Y27" s="725"/>
      <c r="Z27" s="726"/>
      <c r="AC27" s="718" t="n">
        <f aca="true">MIN($L27,$O$28-OFFSET($X$26,0,1))</f>
        <v>0</v>
      </c>
      <c r="AD27" s="718" t="n">
        <f aca="true">MIN($L27,$O$28-OFFSET($X$26,0,2))</f>
        <v>0</v>
      </c>
    </row>
    <row r="28" customFormat="false" ht="14.15" hidden="false" customHeight="false" outlineLevel="0" collapsed="false">
      <c r="D28" s="0" t="s">
        <v>594</v>
      </c>
      <c r="I28" s="8"/>
      <c r="J28" s="727" t="s">
        <v>966</v>
      </c>
      <c r="K28" s="727"/>
      <c r="L28" s="728" t="n">
        <f aca="true">SUM(L13:OFFSET(L24,-1,0))</f>
        <v>0</v>
      </c>
      <c r="M28" s="729" t="n">
        <f aca="true">ROUND(SUM(M13:OFFSET(M24,-1,0)),2)</f>
        <v>0</v>
      </c>
      <c r="N28" s="730" t="n">
        <f aca="false">O28-M28</f>
        <v>0</v>
      </c>
      <c r="O28" s="731" t="n">
        <f aca="true">SUM(O13:OFFSET(O24,-1,0))</f>
        <v>0</v>
      </c>
      <c r="P28" s="704"/>
      <c r="X28" s="578"/>
      <c r="Y28" s="580"/>
      <c r="Z28" s="581"/>
    </row>
    <row r="29" customFormat="false" ht="12.75" hidden="false" customHeight="false" outlineLevel="0" collapsed="false">
      <c r="O29" s="732" t="str">
        <f aca="false">"Acumulado Anterior:  "&amp;TEXT($M$28/($L$28+10^-12),"0,00%")</f>
        <v>Acumulado Anterior:  0,00%</v>
      </c>
      <c r="P29" s="732"/>
    </row>
    <row r="30" customFormat="false" ht="13.8" hidden="false" customHeight="false" outlineLevel="0" collapsed="false">
      <c r="E30" s="248" t="s">
        <v>749</v>
      </c>
      <c r="P30" s="8"/>
    </row>
    <row r="31" customFormat="false" ht="12.75" hidden="false" customHeight="true" outlineLevel="0" collapsed="false">
      <c r="E31" s="249"/>
      <c r="F31" s="249"/>
      <c r="G31" s="249"/>
      <c r="H31" s="249"/>
      <c r="I31" s="249"/>
      <c r="J31" s="249"/>
      <c r="K31" s="249"/>
      <c r="L31" s="249"/>
      <c r="M31" s="249"/>
      <c r="N31" s="249"/>
      <c r="O31" s="249"/>
      <c r="P31" s="249"/>
    </row>
    <row r="32" customFormat="false" ht="12.75" hidden="false" customHeight="true" outlineLevel="0" collapsed="false">
      <c r="E32" s="249"/>
      <c r="F32" s="249"/>
      <c r="G32" s="249"/>
      <c r="H32" s="249"/>
      <c r="I32" s="249"/>
      <c r="J32" s="249"/>
      <c r="K32" s="249"/>
      <c r="L32" s="249"/>
      <c r="M32" s="249"/>
      <c r="N32" s="249"/>
      <c r="O32" s="249"/>
      <c r="P32" s="249"/>
      <c r="Y32" s="733"/>
      <c r="Z32" s="733"/>
    </row>
    <row r="33" customFormat="false" ht="12.75" hidden="false" customHeight="true" outlineLevel="0" collapsed="false">
      <c r="E33" s="249"/>
      <c r="F33" s="249"/>
      <c r="G33" s="249"/>
      <c r="H33" s="249"/>
      <c r="I33" s="249"/>
      <c r="J33" s="249"/>
      <c r="K33" s="249"/>
      <c r="L33" s="249"/>
      <c r="M33" s="249"/>
      <c r="N33" s="249"/>
      <c r="O33" s="249"/>
      <c r="P33" s="249"/>
    </row>
    <row r="34" customFormat="false" ht="12.75" hidden="false" customHeight="false" outlineLevel="0" collapsed="false">
      <c r="L34" s="108" t="str">
        <f aca="false">IF(L35=0,"Preencher a data de fechamento do RRE na aba DADOS (célula "&amp;ADDRESS(ROW(Import.DataFechaRRE),COLUMN(Import.DataFechaRRE),4)&amp;")","")</f>
        <v>Preencher a data de fechamento do RRE na aba DADOS (célula C48)</v>
      </c>
    </row>
    <row r="35" customFormat="false" ht="13.8" hidden="false" customHeight="false" outlineLevel="0" collapsed="false">
      <c r="E35" s="255" t="n">
        <f aca="false">Import.Município</f>
        <v>0</v>
      </c>
      <c r="F35" s="255"/>
      <c r="G35" s="255"/>
      <c r="I35" s="734"/>
      <c r="K35" s="735"/>
      <c r="L35" s="303" t="n">
        <f aca="false">DADOS!$C$48</f>
        <v>0</v>
      </c>
      <c r="M35" s="303"/>
      <c r="N35" s="303"/>
      <c r="O35" s="303"/>
    </row>
    <row r="36" customFormat="false" ht="12.75" hidden="false" customHeight="false" outlineLevel="0" collapsed="false">
      <c r="E36" s="52" t="s">
        <v>753</v>
      </c>
      <c r="L36" s="52" t="s">
        <v>754</v>
      </c>
    </row>
    <row r="38" customFormat="false" ht="12.75" hidden="false" customHeight="false" outlineLevel="0" collapsed="false">
      <c r="E38" s="46"/>
      <c r="F38" s="46"/>
      <c r="G38" s="46"/>
      <c r="L38" s="46"/>
      <c r="M38" s="46"/>
      <c r="N38" s="46"/>
      <c r="O38" s="46"/>
    </row>
    <row r="39" customFormat="false" ht="12.75" hidden="false" customHeight="false" outlineLevel="0" collapsed="false">
      <c r="E39" s="736" t="str">
        <f aca="false">IF(CAIXA.Modo,"Responsável Gerencial CAIXA","Representante Tomador")</f>
        <v>Representante Tomador</v>
      </c>
      <c r="F39" s="48"/>
      <c r="L39" s="736" t="str">
        <f aca="false">IF(CAIXA.Modo,"Responsável Técnico CAIXA","Responsável Técnico pela Fiscalização")</f>
        <v>Responsável Técnico pela Fiscalização</v>
      </c>
    </row>
    <row r="40" customFormat="false" ht="12.75" hidden="false" customHeight="false" outlineLevel="0" collapsed="false">
      <c r="E40" s="147" t="s">
        <v>295</v>
      </c>
      <c r="F40" s="608" t="str">
        <f aca="false">IF(CAIXA.Modo,DADOS!C60,DADOS!C28)</f>
        <v>DARLENE TORRADA PEREIRA</v>
      </c>
      <c r="L40" s="147" t="s">
        <v>295</v>
      </c>
      <c r="M40" s="659" t="n">
        <f aca="false">IF(CAIXA.Modo,BM!X33,DADOS!C51)</f>
        <v>0</v>
      </c>
      <c r="N40" s="659"/>
      <c r="O40" s="659"/>
    </row>
    <row r="41" customFormat="false" ht="12.75" hidden="false" customHeight="false" outlineLevel="0" collapsed="false">
      <c r="E41" s="147" t="str">
        <f aca="false">IF(CAIXA.Modo,"Função:","Cargo:")</f>
        <v>Cargo:</v>
      </c>
      <c r="F41" s="608" t="str">
        <f aca="false">IF(CAIXA.Modo,DADOS!C61,DADOS!C29)</f>
        <v>PREFEITA MUNICIPAL</v>
      </c>
      <c r="L41" s="147" t="str">
        <f aca="false">IF(CAIXA.Modo,"Matrícula:","Profissão:")</f>
        <v>Profissão:</v>
      </c>
      <c r="M41" s="659" t="n">
        <f aca="false">IF(CAIXA.Modo,BM!X34,DADOS!C52)</f>
        <v>0</v>
      </c>
      <c r="N41" s="659"/>
      <c r="O41" s="659"/>
    </row>
    <row r="42" customFormat="false" ht="12.75" hidden="false" customHeight="false" outlineLevel="0" collapsed="false">
      <c r="L42" s="147" t="s">
        <v>299</v>
      </c>
      <c r="M42" s="659" t="n">
        <f aca="false">IF(CAIXA.Modo,BM!X35,DADOS!C53)</f>
        <v>0</v>
      </c>
      <c r="N42" s="659"/>
      <c r="O42" s="659"/>
    </row>
    <row r="43" customFormat="false" ht="12.75" hidden="false" customHeight="false" outlineLevel="0" collapsed="false">
      <c r="L43" s="147" t="str">
        <f aca="false">IF(CAIXA.Modo,"","ART/RRT:")</f>
        <v>ART/RRT:</v>
      </c>
      <c r="M43" s="63" t="n">
        <f aca="false">IF(CAIXA.Modo,"",DADOS!C54)</f>
        <v>0</v>
      </c>
    </row>
    <row r="45" customFormat="false" ht="12.75" hidden="false" customHeight="false" outlineLevel="0" collapsed="false">
      <c r="E45" s="46"/>
      <c r="F45" s="46"/>
      <c r="G45" s="46"/>
      <c r="L45" s="46"/>
      <c r="M45" s="46"/>
      <c r="N45" s="46"/>
      <c r="O45" s="46"/>
    </row>
    <row r="46" customFormat="false" ht="12.75" hidden="false" customHeight="false" outlineLevel="0" collapsed="false">
      <c r="E46" s="0" t="str">
        <f aca="false">IF(CAIXA.Modo,"Responsável Social CAIXA","Responsável Social")</f>
        <v>Responsável Social</v>
      </c>
      <c r="L46" s="0" t="str">
        <f aca="false">IF(CAIXA.Modo,"Responsável Operacional CAIXA","Responsável Financeiro")</f>
        <v>Responsável Financeiro</v>
      </c>
    </row>
    <row r="47" customFormat="false" ht="12.75" hidden="false" customHeight="false" outlineLevel="0" collapsed="false">
      <c r="E47" s="147" t="s">
        <v>295</v>
      </c>
      <c r="F47" s="662"/>
      <c r="G47" s="662"/>
      <c r="L47" s="147" t="s">
        <v>295</v>
      </c>
      <c r="M47" s="662"/>
      <c r="N47" s="662"/>
      <c r="O47" s="662"/>
    </row>
    <row r="48" customFormat="false" ht="12.75" hidden="false" customHeight="false" outlineLevel="0" collapsed="false">
      <c r="E48" s="147" t="str">
        <f aca="false">IF(CAIXA.Modo,"Função:","Cargo:")</f>
        <v>Cargo:</v>
      </c>
      <c r="F48" s="662"/>
      <c r="G48" s="662"/>
      <c r="L48" s="147" t="str">
        <f aca="false">IF(CAIXA.Modo,"Função:","Cargo:")</f>
        <v>Cargo:</v>
      </c>
      <c r="M48" s="662"/>
      <c r="N48" s="662"/>
      <c r="O48" s="662"/>
    </row>
    <row r="49" customFormat="false" ht="12.75" hidden="false" customHeight="false" outlineLevel="0" collapsed="false">
      <c r="E49" s="147" t="str">
        <f aca="false">IF(CAIXA.Modo,"Matr:","")</f>
        <v/>
      </c>
      <c r="F49" s="662"/>
      <c r="G49" s="662"/>
      <c r="L49" s="147" t="str">
        <f aca="false">IF(CAIXA.Modo,"Matrícula:","")</f>
        <v/>
      </c>
      <c r="M49" s="662"/>
      <c r="N49" s="662"/>
      <c r="O49" s="662"/>
    </row>
  </sheetData>
  <sheetProtection algorithmName="SHA-512" hashValue="K0rJ/iMd8K6oY+tbohyojYgWMcJnwBzuUa1c1T6uAUM688TKLBKv4/n0YQWCQd85fowEAZsVoEhiWi8TYiBdGQ==" saltValue="dLEGR9Qki0tRE0zAFMk0Yg==" spinCount="100000" sheet="true" objects="true" scenarios="true" autoFilter="false"/>
  <autoFilter ref="D13:D30"/>
  <mergeCells count="40">
    <mergeCell ref="E3:H3"/>
    <mergeCell ref="I3:K3"/>
    <mergeCell ref="E4:H4"/>
    <mergeCell ref="I4:K4"/>
    <mergeCell ref="M4:O4"/>
    <mergeCell ref="E6:H6"/>
    <mergeCell ref="I6:L6"/>
    <mergeCell ref="D7:D11"/>
    <mergeCell ref="E7:H7"/>
    <mergeCell ref="I7:L7"/>
    <mergeCell ref="G9:H9"/>
    <mergeCell ref="I9:J9"/>
    <mergeCell ref="L9:L10"/>
    <mergeCell ref="G10:H10"/>
    <mergeCell ref="AC10:AH10"/>
    <mergeCell ref="AJ10:AO10"/>
    <mergeCell ref="Y11:Z11"/>
    <mergeCell ref="AC11:AE11"/>
    <mergeCell ref="AF11:AH11"/>
    <mergeCell ref="AJ11:AL11"/>
    <mergeCell ref="AM11:AO11"/>
    <mergeCell ref="J24:K24"/>
    <mergeCell ref="P24:P28"/>
    <mergeCell ref="J25:K25"/>
    <mergeCell ref="J26:K26"/>
    <mergeCell ref="J27:K27"/>
    <mergeCell ref="J28:K28"/>
    <mergeCell ref="O29:P29"/>
    <mergeCell ref="E31:P33"/>
    <mergeCell ref="E35:G35"/>
    <mergeCell ref="L35:O35"/>
    <mergeCell ref="M40:O40"/>
    <mergeCell ref="M41:O41"/>
    <mergeCell ref="M42:O42"/>
    <mergeCell ref="F47:G47"/>
    <mergeCell ref="M47:O47"/>
    <mergeCell ref="F48:G48"/>
    <mergeCell ref="M48:O48"/>
    <mergeCell ref="F49:G49"/>
    <mergeCell ref="M49:O49"/>
  </mergeCells>
  <conditionalFormatting sqref="X12:Z12 X14:Z22 X23:Z23">
    <cfRule type="expression" priority="2" aboveAverage="0" equalAverage="0" bottom="0" percent="0" rank="0" text="" dxfId="124">
      <formula>OR($C12="Automático",$C12="Branco")</formula>
    </cfRule>
  </conditionalFormatting>
  <conditionalFormatting sqref="F49:G49 M49:O49">
    <cfRule type="expression" priority="3" aboveAverage="0" equalAverage="0" bottom="0" percent="0" rank="0" text="" dxfId="125">
      <formula>CAIXA.Modo=0</formula>
    </cfRule>
  </conditionalFormatting>
  <conditionalFormatting sqref="M12 M25:M28 O12 O25:O28 M14:M22 O14:O22 M23 O23">
    <cfRule type="cellIs" priority="4" operator="notBetween" aboveAverage="0" equalAverage="0" bottom="0" percent="0" rank="0" text="" dxfId="126">
      <formula>0</formula>
      <formula>$L12</formula>
    </cfRule>
  </conditionalFormatting>
  <conditionalFormatting sqref="M10:N10">
    <cfRule type="cellIs" priority="5" operator="lessThan" aboveAverage="0" equalAverage="0" bottom="0" percent="0" rank="0" text="" dxfId="127">
      <formula>0</formula>
    </cfRule>
  </conditionalFormatting>
  <dataValidations count="5">
    <dataValidation allowBlank="true" error="Valor menor que 0,00 ou maior que o valor da Contrapartida/Outros." errorStyle="warning" errorTitle="Erro de valor" operator="between" prompt="Deixe essa célula em branco para o cálculo automático. Preencha somente para valores de CP diferentes do previsto." promptTitle="Contrapartida Anterior:" showDropDown="false" showErrorMessage="true" showInputMessage="true" sqref="Y26" type="decimal">
      <formula1>0</formula1>
      <formula2>RRE.MaxCPAnt</formula2>
    </dataValidation>
    <dataValidation allowBlank="true" error="Valor menor que 0,00 ou maior que o valor da Contrapartida/Outros." errorStyle="warning" errorTitle="Erro de valor" operator="between" prompt="Deixe essa célula em branco para o cálculo automático. Preencha somente para valores de CP diferentes do previsto." promptTitle="Contrapartida Acumulada:" showDropDown="false" showErrorMessage="true" showInputMessage="true" sqref="Z26" type="decimal">
      <formula1>0</formula1>
      <formula2>RRE.MaxCPAcum</formula2>
    </dataValidation>
    <dataValidation allowBlank="true" error="Valor menor que 0,00 ou maior que o valor da Contrapartida/Outros." errorStyle="warning" errorTitle="Erro de valor" operator="between" prompt="Deixe essa célula em branco para o cálculo automático. Preencha somente para valores de Outros diferentes do previsto." promptTitle="Outros Anterior:" showDropDown="false" showErrorMessage="true" showInputMessage="true" sqref="Y27" type="decimal">
      <formula1>0</formula1>
      <formula2>RRE.MaxOUAnt</formula2>
    </dataValidation>
    <dataValidation allowBlank="true" error="Valor menor que 0,00 ou maior que o valor da Contrapartida/Outros." errorStyle="warning" errorTitle="Erro de valor" operator="between" prompt="Deixe essa célula em branco para o cálculo automático. Preencha somente para valores de Outros diferentes do previsto." promptTitle="Outros Acumulada:" showDropDown="false" showErrorMessage="true" showInputMessage="true" sqref="Z27" type="decimal">
      <formula1>0</formula1>
      <formula2>RRE.MaxOUAcum</formula2>
    </dataValidation>
    <dataValidation allowBlank="true" errorStyle="stop" operator="between" showDropDown="false" showErrorMessage="true" showInputMessage="true" sqref="Y12:Z12 Y14:Z23" type="decimal">
      <formula1>0</formula1>
      <formula2>RRE.VIMeta</formula2>
    </dataValidation>
  </dataValidations>
  <printOptions headings="false" gridLines="false" gridLinesSet="true" horizontalCentered="false" verticalCentered="false"/>
  <pageMargins left="0.7875" right="0.7875" top="0.786805555555556" bottom="0.786805555555556" header="0.590277777777778" footer="0.590277777777778"/>
  <pageSetup paperSize="9" scale="100" fitToWidth="1" fitToHeight="0" pageOrder="downThenOver" orientation="landscape" blackAndWhite="false" draft="false" cellComments="none" horizontalDpi="300" verticalDpi="300" copies="1"/>
  <headerFooter differentFirst="false" differentOddEven="false">
    <oddHeader>&amp;L_&amp;C&amp;14I</oddHeader>
    <oddFooter>&amp;LPMv3.16&amp;R&amp;P / &amp;N</oddFooter>
  </headerFooter>
  <colBreaks count="1" manualBreakCount="1">
    <brk id="15" man="true" max="65535" min="0"/>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M5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2.75" customHeight="false" zeroHeight="false" outlineLevelRow="0" outlineLevelCol="0"/>
  <cols>
    <col collapsed="false" customWidth="true" hidden="false" outlineLevel="0" max="1" min="1" style="0" width="2"/>
    <col collapsed="false" customWidth="true" hidden="false" outlineLevel="0" max="2" min="2" style="0" width="15.57"/>
    <col collapsed="false" customWidth="true" hidden="false" outlineLevel="0" max="3" min="3" style="0" width="6.57"/>
    <col collapsed="false" customWidth="true" hidden="false" outlineLevel="0" max="5" min="4" style="0" width="20.57"/>
    <col collapsed="false" customWidth="true" hidden="false" outlineLevel="0" max="6" min="6" style="0" width="8.57"/>
    <col collapsed="false" customWidth="true" hidden="false" outlineLevel="0" max="7" min="7" style="0" width="12.57"/>
    <col collapsed="false" customWidth="true" hidden="false" outlineLevel="0" max="8" min="8" style="0" width="20.57"/>
    <col collapsed="false" customWidth="true" hidden="false" outlineLevel="0" max="10" min="10" style="0" width="14.14"/>
  </cols>
  <sheetData>
    <row r="1" customFormat="false" ht="12.75" hidden="false" customHeight="false" outlineLevel="0" collapsed="false">
      <c r="B1" s="737"/>
      <c r="C1" s="737"/>
      <c r="D1" s="94"/>
      <c r="E1" s="94"/>
      <c r="F1" s="94"/>
      <c r="G1" s="97" t="s">
        <v>702</v>
      </c>
    </row>
    <row r="2" customFormat="false" ht="12.75" hidden="false" customHeight="false" outlineLevel="0" collapsed="false">
      <c r="B2" s="737"/>
      <c r="C2" s="737"/>
      <c r="D2" s="94"/>
      <c r="E2" s="94"/>
      <c r="F2" s="94"/>
      <c r="G2" s="58" t="s">
        <v>988</v>
      </c>
    </row>
    <row r="3" customFormat="false" ht="25.5" hidden="false" customHeight="true" outlineLevel="0" collapsed="false">
      <c r="B3" s="737"/>
      <c r="C3" s="737"/>
      <c r="D3" s="94"/>
      <c r="E3" s="94"/>
      <c r="F3" s="94"/>
      <c r="G3" s="738"/>
    </row>
    <row r="4" customFormat="false" ht="12.75" hidden="false" customHeight="true" outlineLevel="0" collapsed="false">
      <c r="B4" s="737"/>
      <c r="C4" s="737"/>
      <c r="D4" s="94"/>
      <c r="E4" s="94"/>
      <c r="F4" s="94"/>
      <c r="G4" s="94"/>
    </row>
    <row r="5" customFormat="false" ht="12.75" hidden="false" customHeight="false" outlineLevel="0" collapsed="false">
      <c r="C5" s="108" t="str">
        <f aca="false">IF(Import.Ofício.Num=0,"Preencher o número do Ofício","")</f>
        <v>Preencher o número do Ofício</v>
      </c>
    </row>
    <row r="6" customFormat="false" ht="12.75" hidden="false" customHeight="false" outlineLevel="0" collapsed="false">
      <c r="B6" s="739" t="s">
        <v>989</v>
      </c>
      <c r="C6" s="740"/>
      <c r="D6" s="740"/>
      <c r="E6" s="739"/>
      <c r="F6" s="739"/>
      <c r="G6" s="94"/>
      <c r="J6" s="52"/>
    </row>
    <row r="7" customFormat="false" ht="12.75" hidden="false" customHeight="false" outlineLevel="0" collapsed="false">
      <c r="B7" s="94"/>
      <c r="C7" s="94"/>
      <c r="D7" s="94"/>
      <c r="E7" s="94"/>
      <c r="F7" s="94"/>
      <c r="G7" s="94"/>
    </row>
    <row r="8" customFormat="false" ht="12.75" hidden="false" customHeight="false" outlineLevel="0" collapsed="false">
      <c r="B8" s="741" t="str">
        <f aca="false">CONCATENATE(RRE!$E$35,", ",TEXT(RRE!$L$35,"dd"" de ""mmmm"" de ""aaaa"))</f>
        <v>0, 00 de janeiro de 1900</v>
      </c>
      <c r="C8" s="741"/>
      <c r="D8" s="741"/>
      <c r="E8" s="741"/>
      <c r="F8" s="741"/>
      <c r="G8" s="741"/>
      <c r="H8" s="742"/>
      <c r="J8" s="742"/>
      <c r="K8" s="742"/>
      <c r="L8" s="742"/>
      <c r="M8" s="742"/>
    </row>
    <row r="9" customFormat="false" ht="12.75" hidden="false" customHeight="false" outlineLevel="0" collapsed="false">
      <c r="B9" s="743" t="s">
        <v>990</v>
      </c>
      <c r="C9" s="94"/>
      <c r="D9" s="94"/>
      <c r="G9" s="94"/>
      <c r="H9" s="742"/>
      <c r="J9" s="742"/>
      <c r="K9" s="742"/>
      <c r="L9" s="742"/>
      <c r="M9" s="742"/>
    </row>
    <row r="10" customFormat="false" ht="12.75" hidden="false" customHeight="false" outlineLevel="0" collapsed="false">
      <c r="B10" s="744" t="s">
        <v>991</v>
      </c>
      <c r="C10" s="744"/>
      <c r="D10" s="744"/>
      <c r="G10" s="94"/>
      <c r="H10" s="742"/>
      <c r="J10" s="742"/>
      <c r="K10" s="742"/>
      <c r="L10" s="742"/>
      <c r="M10" s="742"/>
    </row>
    <row r="11" customFormat="false" ht="12.75" hidden="false" customHeight="false" outlineLevel="0" collapsed="false">
      <c r="B11" s="745" t="s">
        <v>992</v>
      </c>
      <c r="C11" s="662"/>
      <c r="D11" s="662"/>
      <c r="G11" s="94"/>
      <c r="H11" s="742"/>
      <c r="J11" s="742"/>
      <c r="K11" s="742"/>
      <c r="L11" s="742"/>
      <c r="M11" s="742"/>
    </row>
    <row r="12" customFormat="false" ht="12.75" hidden="false" customHeight="false" outlineLevel="0" collapsed="false">
      <c r="B12" s="302"/>
      <c r="C12" s="302"/>
      <c r="D12" s="302"/>
      <c r="E12" s="302"/>
      <c r="F12" s="302"/>
      <c r="G12" s="94"/>
      <c r="H12" s="742"/>
      <c r="J12" s="742"/>
      <c r="K12" s="742"/>
      <c r="L12" s="742"/>
      <c r="M12" s="742"/>
    </row>
    <row r="13" customFormat="false" ht="12.75" hidden="false" customHeight="false" outlineLevel="0" collapsed="false">
      <c r="B13" s="94"/>
      <c r="C13" s="94"/>
      <c r="D13" s="94"/>
      <c r="E13" s="94"/>
      <c r="F13" s="94"/>
      <c r="G13" s="94"/>
    </row>
    <row r="14" customFormat="false" ht="12.75" hidden="false" customHeight="false" outlineLevel="0" collapsed="false">
      <c r="B14" s="743" t="s">
        <v>993</v>
      </c>
      <c r="C14" s="744" t="str">
        <f aca="true" t="array" ref="C14:C14">CONCATENATE(RRE.Numero,"ª"," Solicitação de ",IF(import.recurso="OGU","Desbloqueio","Desembolso")," de Recursos.")</f>
        <v>1ª Solicitação de Desembolso de Recursos.</v>
      </c>
      <c r="D14" s="744"/>
      <c r="E14" s="744"/>
      <c r="F14" s="744"/>
      <c r="G14" s="744"/>
    </row>
    <row r="15" customFormat="false" ht="12.75" hidden="false" customHeight="true" outlineLevel="0" collapsed="false">
      <c r="B15" s="743" t="s">
        <v>994</v>
      </c>
      <c r="C15" s="746" t="str">
        <f aca="false">CONCATENATE("Contrato de ",IF(import.recurso="OGU","Repasse","Financiamento")," - Operação nº ",Import.CR,IF(Import.TransfereGOV="","",CONCATENATE(" - TransfereGOV nº ",Import.TransfereGOV)))</f>
        <v>Contrato de Financiamento - Operação nº </v>
      </c>
      <c r="D15" s="746"/>
      <c r="E15" s="746"/>
      <c r="F15" s="746"/>
      <c r="G15" s="746"/>
    </row>
    <row r="16" customFormat="false" ht="12.75" hidden="false" customHeight="false" outlineLevel="0" collapsed="false">
      <c r="B16" s="743"/>
      <c r="C16" s="746"/>
      <c r="D16" s="746"/>
      <c r="E16" s="746"/>
      <c r="F16" s="746"/>
      <c r="G16" s="746"/>
    </row>
    <row r="17" customFormat="false" ht="12.75" hidden="false" customHeight="false" outlineLevel="0" collapsed="false">
      <c r="B17" s="94"/>
      <c r="C17" s="94"/>
      <c r="D17" s="94"/>
      <c r="E17" s="94"/>
      <c r="F17" s="94"/>
      <c r="G17" s="94"/>
    </row>
    <row r="18" customFormat="false" ht="12.75" hidden="false" customHeight="true" outlineLevel="0" collapsed="false">
      <c r="B18" s="608" t="s">
        <v>995</v>
      </c>
      <c r="C18" s="747" t="str">
        <f aca="false">Import.DescLote</f>
        <v>REVITALIZAÇÃO DIVERSAS RUAS</v>
      </c>
      <c r="D18" s="747"/>
      <c r="E18" s="747"/>
      <c r="F18" s="747"/>
      <c r="G18" s="747"/>
    </row>
    <row r="19" customFormat="false" ht="12.75" hidden="false" customHeight="true" outlineLevel="0" collapsed="false">
      <c r="B19" s="748" t="s">
        <v>996</v>
      </c>
      <c r="C19" s="749" t="n">
        <f aca="false">Import.Proponente</f>
        <v>0</v>
      </c>
      <c r="D19" s="749"/>
      <c r="E19" s="749"/>
      <c r="F19" s="749"/>
      <c r="G19" s="749"/>
    </row>
    <row r="20" customFormat="false" ht="12.75" hidden="false" customHeight="false" outlineLevel="0" collapsed="false">
      <c r="B20" s="748"/>
      <c r="C20" s="749"/>
      <c r="D20" s="749"/>
      <c r="E20" s="749"/>
      <c r="F20" s="749"/>
      <c r="G20" s="749"/>
    </row>
    <row r="21" customFormat="false" ht="12.75" hidden="false" customHeight="false" outlineLevel="0" collapsed="false">
      <c r="B21" s="94"/>
      <c r="C21" s="94"/>
      <c r="D21" s="94"/>
      <c r="E21" s="94"/>
      <c r="F21" s="94"/>
      <c r="G21" s="94"/>
    </row>
    <row r="22" customFormat="false" ht="12.75" hidden="false" customHeight="false" outlineLevel="0" collapsed="false">
      <c r="B22" s="0" t="str">
        <f aca="false">IF(B11="GIGOV","Senhor Gerente","Senhor Superintendente")</f>
        <v>Senhor Gerente</v>
      </c>
      <c r="D22" s="94"/>
      <c r="E22" s="94"/>
      <c r="F22" s="94"/>
      <c r="G22" s="94"/>
    </row>
    <row r="23" customFormat="false" ht="12.75" hidden="false" customHeight="false" outlineLevel="0" collapsed="false">
      <c r="B23" s="94"/>
      <c r="C23" s="94"/>
      <c r="D23" s="94"/>
      <c r="E23" s="94"/>
      <c r="F23" s="94"/>
      <c r="G23" s="94"/>
    </row>
    <row r="24" customFormat="false" ht="12.75" hidden="false" customHeight="true" outlineLevel="0" collapsed="false">
      <c r="B24" s="747" t="str">
        <f aca="false">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47"/>
      <c r="D24" s="747"/>
      <c r="E24" s="747"/>
      <c r="F24" s="747"/>
      <c r="G24" s="747"/>
    </row>
    <row r="25" customFormat="false" ht="12.75" hidden="false" customHeight="false" outlineLevel="0" collapsed="false">
      <c r="B25" s="747"/>
      <c r="C25" s="747"/>
      <c r="D25" s="747"/>
      <c r="E25" s="747"/>
      <c r="F25" s="747"/>
      <c r="G25" s="747"/>
    </row>
    <row r="26" customFormat="false" ht="12.75" hidden="false" customHeight="false" outlineLevel="0" collapsed="false">
      <c r="B26" s="747"/>
      <c r="C26" s="747"/>
      <c r="D26" s="747"/>
      <c r="E26" s="747"/>
      <c r="F26" s="747"/>
      <c r="G26" s="747"/>
    </row>
    <row r="27" customFormat="false" ht="12.75" hidden="false" customHeight="false" outlineLevel="0" collapsed="false">
      <c r="B27" s="94"/>
      <c r="C27" s="94"/>
      <c r="D27" s="94"/>
      <c r="E27" s="94"/>
      <c r="F27" s="94"/>
      <c r="G27" s="94"/>
    </row>
    <row r="28" customFormat="false" ht="12.75" hidden="false" customHeight="true" outlineLevel="0" collapsed="false">
      <c r="B28" s="750"/>
      <c r="C28" s="750"/>
      <c r="D28" s="751" t="s">
        <v>997</v>
      </c>
      <c r="E28" s="751" t="str">
        <f aca="true" t="array" ref="E28:E28">"Evolução da "&amp;RRE.Numero&amp;"ª Medição"</f>
        <v>Evolução da 1ª Medição</v>
      </c>
      <c r="F28" s="752" t="s">
        <v>998</v>
      </c>
      <c r="G28" s="752"/>
    </row>
    <row r="29" customFormat="false" ht="12.75" hidden="false" customHeight="false" outlineLevel="0" collapsed="false">
      <c r="B29" s="750"/>
      <c r="C29" s="750"/>
      <c r="D29" s="751"/>
      <c r="E29" s="751"/>
      <c r="F29" s="752"/>
      <c r="G29" s="752"/>
    </row>
    <row r="30" customFormat="false" ht="12.75" hidden="false" customHeight="false" outlineLevel="0" collapsed="false">
      <c r="B30" s="753" t="str">
        <f aca="false">IF(import.recurso="FGTS","Financiamento:","Repasse:")</f>
        <v>Repasse:</v>
      </c>
      <c r="C30" s="753"/>
      <c r="D30" s="754" t="n">
        <f aca="false">RRE!L25</f>
        <v>0</v>
      </c>
      <c r="E30" s="754" t="n">
        <f aca="false">RRE!N25</f>
        <v>0</v>
      </c>
      <c r="F30" s="755" t="n">
        <f aca="false">RRE!O25</f>
        <v>0</v>
      </c>
      <c r="G30" s="755"/>
    </row>
    <row r="31" customFormat="false" ht="12.75" hidden="false" customHeight="false" outlineLevel="0" collapsed="false">
      <c r="B31" s="753" t="s">
        <v>999</v>
      </c>
      <c r="C31" s="753"/>
      <c r="D31" s="754" t="n">
        <f aca="false">RRE!L26</f>
        <v>0</v>
      </c>
      <c r="E31" s="754" t="n">
        <f aca="false">RRE!N26</f>
        <v>0</v>
      </c>
      <c r="F31" s="755" t="n">
        <f aca="false">RRE!O26</f>
        <v>0</v>
      </c>
      <c r="G31" s="755"/>
    </row>
    <row r="32" customFormat="false" ht="12.75" hidden="false" customHeight="false" outlineLevel="0" collapsed="false">
      <c r="B32" s="753" t="s">
        <v>886</v>
      </c>
      <c r="C32" s="753"/>
      <c r="D32" s="754" t="n">
        <f aca="false">RRE!L27</f>
        <v>0</v>
      </c>
      <c r="E32" s="754" t="n">
        <f aca="false">RRE!N27</f>
        <v>0</v>
      </c>
      <c r="F32" s="755" t="n">
        <f aca="false">RRE!O27</f>
        <v>0</v>
      </c>
      <c r="G32" s="755"/>
    </row>
    <row r="33" customFormat="false" ht="12.75" hidden="false" customHeight="false" outlineLevel="0" collapsed="false">
      <c r="B33" s="753" t="s">
        <v>887</v>
      </c>
      <c r="C33" s="753"/>
      <c r="D33" s="754" t="n">
        <f aca="false">RRE!L28</f>
        <v>0</v>
      </c>
      <c r="E33" s="754" t="n">
        <f aca="false">RRE!N28</f>
        <v>0</v>
      </c>
      <c r="F33" s="755" t="n">
        <f aca="false">RRE!O28</f>
        <v>0</v>
      </c>
      <c r="G33" s="755"/>
    </row>
    <row r="34" customFormat="false" ht="12.75" hidden="false" customHeight="false" outlineLevel="0" collapsed="false">
      <c r="B34" s="756" t="s">
        <v>1000</v>
      </c>
      <c r="C34" s="756"/>
      <c r="D34" s="757" t="s">
        <v>748</v>
      </c>
      <c r="E34" s="758" t="n">
        <f aca="false">RRE!$N$28/(RRE!$L$28+10^-12)</f>
        <v>0</v>
      </c>
      <c r="F34" s="759" t="n">
        <f aca="false">RRE!P24</f>
        <v>0</v>
      </c>
      <c r="G34" s="759"/>
    </row>
    <row r="35" customFormat="false" ht="12.75" hidden="false" customHeight="false" outlineLevel="0" collapsed="false">
      <c r="B35" s="257"/>
      <c r="C35" s="94"/>
      <c r="D35" s="94"/>
      <c r="E35" s="94"/>
      <c r="F35" s="94"/>
      <c r="G35" s="94"/>
    </row>
    <row r="36" customFormat="false" ht="12.75" hidden="false" customHeight="false" outlineLevel="0" collapsed="false">
      <c r="B36" s="257"/>
      <c r="C36" s="257"/>
      <c r="D36" s="257"/>
      <c r="E36" s="257"/>
      <c r="F36" s="257"/>
      <c r="G36" s="94"/>
    </row>
    <row r="37" customFormat="false" ht="12.75" hidden="false" customHeight="false" outlineLevel="0" collapsed="false">
      <c r="B37" s="760" t="str">
        <f aca="true" t="array" ref="B37:B37">IF(RRE.Numero&gt;1,"2. Encaminhamos ainda a documentação relativa à prestação de contas da etapa físico-financeira anterior.","")</f>
        <v/>
      </c>
      <c r="C37" s="760"/>
      <c r="D37" s="760"/>
      <c r="E37" s="760"/>
      <c r="F37" s="760"/>
      <c r="G37" s="760"/>
    </row>
    <row r="38" customFormat="false" ht="12.75" hidden="false" customHeight="false" outlineLevel="0" collapsed="false">
      <c r="B38" s="760"/>
      <c r="C38" s="760"/>
      <c r="D38" s="760"/>
      <c r="E38" s="760"/>
      <c r="F38" s="760"/>
      <c r="G38" s="760"/>
    </row>
    <row r="39" customFormat="false" ht="12.75" hidden="false" customHeight="true" outlineLevel="0" collapsed="false">
      <c r="B39" s="760" t="str">
        <f aca="true" t="array" ref="B39:B39">IF(AND(RRE.Numero&gt;1,NOT(ISBLANK(Import.TransfereGOV))),"3. Na oportunidade, informamos que a execução financeira da parcela anterior está devidamente comprovada no TransfereGOV.","")</f>
        <v/>
      </c>
      <c r="C39" s="760"/>
      <c r="D39" s="760"/>
      <c r="E39" s="760"/>
      <c r="F39" s="760"/>
      <c r="G39" s="760"/>
    </row>
    <row r="40" customFormat="false" ht="12.75" hidden="false" customHeight="false" outlineLevel="0" collapsed="false">
      <c r="B40" s="760"/>
      <c r="C40" s="760"/>
      <c r="D40" s="760"/>
      <c r="E40" s="760"/>
      <c r="F40" s="760"/>
      <c r="G40" s="760"/>
    </row>
    <row r="41" customFormat="false" ht="12.75" hidden="false" customHeight="false" outlineLevel="0" collapsed="false">
      <c r="B41" s="761"/>
      <c r="C41" s="745"/>
      <c r="D41" s="745"/>
      <c r="E41" s="745"/>
      <c r="F41" s="745"/>
      <c r="G41" s="745"/>
    </row>
    <row r="42" customFormat="false" ht="12.75" hidden="false" customHeight="true" outlineLevel="0" collapsed="false">
      <c r="B42" s="760" t="str">
        <f aca="false">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60"/>
      <c r="D42" s="760"/>
      <c r="E42" s="760"/>
      <c r="F42" s="760"/>
      <c r="G42" s="760"/>
    </row>
    <row r="43" customFormat="false" ht="12.75" hidden="false" customHeight="false" outlineLevel="0" collapsed="false">
      <c r="B43" s="760"/>
      <c r="C43" s="760"/>
      <c r="D43" s="760"/>
      <c r="E43" s="760"/>
      <c r="F43" s="760"/>
      <c r="G43" s="760"/>
    </row>
    <row r="44" customFormat="false" ht="12.75" hidden="false" customHeight="false" outlineLevel="0" collapsed="false">
      <c r="B44" s="760"/>
      <c r="C44" s="760"/>
      <c r="D44" s="760"/>
      <c r="E44" s="760"/>
      <c r="F44" s="760"/>
      <c r="G44" s="760"/>
    </row>
    <row r="45" customFormat="false" ht="12.75" hidden="false" customHeight="false" outlineLevel="0" collapsed="false">
      <c r="B45" s="760"/>
      <c r="C45" s="760"/>
      <c r="D45" s="760"/>
      <c r="E45" s="760"/>
      <c r="F45" s="760"/>
      <c r="G45" s="760"/>
    </row>
    <row r="46" customFormat="false" ht="12.75" hidden="false" customHeight="false" outlineLevel="0" collapsed="false">
      <c r="B46" s="760"/>
      <c r="C46" s="760"/>
      <c r="D46" s="760"/>
      <c r="E46" s="760"/>
      <c r="F46" s="760"/>
      <c r="G46" s="760"/>
    </row>
    <row r="47" customFormat="false" ht="12.75" hidden="false" customHeight="false" outlineLevel="0" collapsed="false">
      <c r="G47" s="522"/>
    </row>
    <row r="48" customFormat="false" ht="12.75" hidden="false" customHeight="false" outlineLevel="0" collapsed="false">
      <c r="G48" s="522"/>
    </row>
    <row r="49" customFormat="false" ht="12.75" hidden="false" customHeight="false" outlineLevel="0" collapsed="false">
      <c r="B49" s="94" t="s">
        <v>1001</v>
      </c>
      <c r="G49" s="522"/>
    </row>
    <row r="50" customFormat="false" ht="12.75" hidden="false" customHeight="false" outlineLevel="0" collapsed="false">
      <c r="B50" s="522"/>
      <c r="C50" s="522"/>
      <c r="D50" s="522"/>
      <c r="E50" s="522"/>
      <c r="F50" s="522"/>
      <c r="G50" s="522"/>
    </row>
    <row r="51" customFormat="false" ht="12.75" hidden="false" customHeight="false" outlineLevel="0" collapsed="false">
      <c r="B51" s="94"/>
      <c r="C51" s="94"/>
      <c r="D51" s="94"/>
      <c r="E51" s="94"/>
      <c r="F51" s="94"/>
      <c r="G51" s="94"/>
    </row>
    <row r="52" customFormat="false" ht="12.75" hidden="false" customHeight="false" outlineLevel="0" collapsed="false">
      <c r="B52" s="94"/>
      <c r="C52" s="94"/>
      <c r="D52" s="94"/>
      <c r="E52" s="94"/>
      <c r="F52" s="94"/>
      <c r="G52" s="94"/>
    </row>
    <row r="53" customFormat="false" ht="12.75" hidden="false" customHeight="false" outlineLevel="0" collapsed="false">
      <c r="B53" s="762"/>
      <c r="C53" s="762"/>
      <c r="D53" s="762"/>
      <c r="E53" s="94"/>
      <c r="F53" s="94"/>
      <c r="G53" s="94"/>
    </row>
    <row r="54" customFormat="false" ht="12.75" hidden="false" customHeight="false" outlineLevel="0" collapsed="false">
      <c r="B54" s="763" t="str">
        <f aca="false">DADOS!$C$28</f>
        <v>DARLENE TORRADA PEREIRA</v>
      </c>
      <c r="C54" s="763"/>
      <c r="D54" s="763"/>
      <c r="E54" s="763"/>
      <c r="F54" s="763"/>
      <c r="G54" s="763"/>
    </row>
    <row r="55" customFormat="false" ht="12.75" hidden="false" customHeight="false" outlineLevel="0" collapsed="false">
      <c r="B55" s="763" t="str">
        <f aca="false">DADOS!$C$29</f>
        <v>PREFEITA MUNICIPAL</v>
      </c>
      <c r="C55" s="763"/>
      <c r="D55" s="763"/>
      <c r="E55" s="763"/>
      <c r="F55" s="763"/>
      <c r="G55" s="763"/>
    </row>
    <row r="56" customFormat="false" ht="12.75" hidden="false" customHeight="false" outlineLevel="0" collapsed="false">
      <c r="B56" s="763"/>
      <c r="C56" s="763"/>
      <c r="D56" s="763"/>
      <c r="E56" s="763"/>
      <c r="F56" s="763"/>
      <c r="G56" s="763"/>
    </row>
  </sheetData>
  <sheetProtection algorithmName="SHA-512" hashValue="q8hyYSVJ32IirMHlf/U4hWjzs6HWl4f5ow3KnWkwmCw25N3t/nnz1sROYQUe3I/PC4M0oth20BrsjoyMxaYtOw==" saltValue="YcOonIUd08uihYJ9/fxKTg==" spinCount="100000" sheet="true" objects="true" scenarios="true" autoFilter="false"/>
  <mergeCells count="30">
    <mergeCell ref="B1:C4"/>
    <mergeCell ref="C6:D6"/>
    <mergeCell ref="B8:G8"/>
    <mergeCell ref="B10:D10"/>
    <mergeCell ref="C11:D11"/>
    <mergeCell ref="C14:G14"/>
    <mergeCell ref="C15:G16"/>
    <mergeCell ref="C18:G18"/>
    <mergeCell ref="B19:B20"/>
    <mergeCell ref="C19:G20"/>
    <mergeCell ref="B24:G26"/>
    <mergeCell ref="B28:C29"/>
    <mergeCell ref="D28:D29"/>
    <mergeCell ref="E28:E29"/>
    <mergeCell ref="F28:G29"/>
    <mergeCell ref="B30:C30"/>
    <mergeCell ref="F30:G30"/>
    <mergeCell ref="B31:C31"/>
    <mergeCell ref="F31:G31"/>
    <mergeCell ref="B32:C32"/>
    <mergeCell ref="F32:G32"/>
    <mergeCell ref="B33:C33"/>
    <mergeCell ref="F33:G33"/>
    <mergeCell ref="B34:C34"/>
    <mergeCell ref="F34:G34"/>
    <mergeCell ref="B37:G38"/>
    <mergeCell ref="B39:G40"/>
    <mergeCell ref="B42:G46"/>
    <mergeCell ref="B54:G54"/>
    <mergeCell ref="B55:G56"/>
  </mergeCells>
  <conditionalFormatting sqref="D30:D33 F30:G33">
    <cfRule type="cellIs" priority="2" operator="notBetween" aboveAverage="0" equalAverage="0" bottom="0" percent="0" rank="0" text="" dxfId="128">
      <formula>0</formula>
      <formula>D$33</formula>
    </cfRule>
  </conditionalFormatting>
  <dataValidations count="1">
    <dataValidation allowBlank="true" errorStyle="stop" operator="between" showDropDown="false" showErrorMessage="true" showInputMessage="false" sqref="B11" type="list">
      <formula1>"GIGOV,SR"</formula1>
      <formula2>0</formula2>
    </dataValidation>
  </dataValidations>
  <printOptions headings="false" gridLines="false" gridLinesSet="true" horizontalCentered="false" verticalCentered="false"/>
  <pageMargins left="0.7875" right="0.7875" top="0.786805555555556" bottom="0.786805555555556" header="5.70833333333333" footer="0.590277777777778"/>
  <pageSetup paperSize="9" scale="97"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9.1484375" defaultRowHeight="15" customHeight="false" zeroHeight="false" outlineLevelRow="0" outlineLevelCol="0"/>
  <cols>
    <col collapsed="false" customWidth="true" hidden="false" outlineLevel="0" max="1" min="1" style="764" width="15"/>
    <col collapsed="false" customWidth="true" hidden="false" outlineLevel="0" max="2" min="2" style="764" width="25"/>
    <col collapsed="false" customWidth="true" hidden="false" outlineLevel="0" max="3" min="3" style="764" width="12"/>
    <col collapsed="false" customWidth="true" hidden="false" outlineLevel="0" max="4" min="4" style="765" width="15.57"/>
    <col collapsed="false" customWidth="true" hidden="false" outlineLevel="0" max="5" min="5" style="764" width="70"/>
    <col collapsed="false" customWidth="true" hidden="false" outlineLevel="0" max="6" min="6" style="764" width="20"/>
    <col collapsed="false" customWidth="true" hidden="false" outlineLevel="0" max="7" min="7" style="764" width="10"/>
    <col collapsed="false" customWidth="true" hidden="false" outlineLevel="0" max="8" min="8" style="764" width="25"/>
    <col collapsed="false" customWidth="true" hidden="false" outlineLevel="0" max="9" min="9" style="764" width="15"/>
    <col collapsed="false" customWidth="true" hidden="false" outlineLevel="0" max="10" min="10" style="764" width="13"/>
    <col collapsed="false" customWidth="true" hidden="false" outlineLevel="0" max="12" min="11" style="764" width="35"/>
    <col collapsed="false" customWidth="true" hidden="false" outlineLevel="0" max="13" min="13" style="764" width="20"/>
    <col collapsed="false" customWidth="true" hidden="false" outlineLevel="0" max="14" min="14" style="764" width="15"/>
    <col collapsed="false" customWidth="true" hidden="false" outlineLevel="0" max="15" min="15" style="764" width="50"/>
    <col collapsed="false" customWidth="true" hidden="false" outlineLevel="0" max="16" min="16" style="764" width="20"/>
    <col collapsed="false" customWidth="true" hidden="false" outlineLevel="0" max="17" min="17" style="764" width="50"/>
    <col collapsed="false" customWidth="true" hidden="false" outlineLevel="0" max="18" min="18" style="764" width="15"/>
    <col collapsed="false" customWidth="true" hidden="false" outlineLevel="0" max="19" min="19" style="764" width="17.57"/>
    <col collapsed="false" customWidth="false" hidden="false" outlineLevel="0" max="16384" min="20" style="764" width="9.14"/>
  </cols>
  <sheetData>
    <row r="1" customFormat="false" ht="15" hidden="false" customHeight="false" outlineLevel="0" collapsed="false">
      <c r="A1" s="766" t="s">
        <v>1002</v>
      </c>
      <c r="B1" s="766" t="s">
        <v>1003</v>
      </c>
      <c r="C1" s="766" t="s">
        <v>806</v>
      </c>
      <c r="D1" s="767" t="s">
        <v>807</v>
      </c>
      <c r="E1" s="766" t="s">
        <v>1004</v>
      </c>
      <c r="F1" s="766" t="s">
        <v>1005</v>
      </c>
      <c r="G1" s="766" t="s">
        <v>1006</v>
      </c>
      <c r="H1" s="766" t="s">
        <v>1007</v>
      </c>
      <c r="I1" s="766" t="s">
        <v>1008</v>
      </c>
      <c r="J1" s="766" t="s">
        <v>23</v>
      </c>
      <c r="K1" s="766" t="s">
        <v>1009</v>
      </c>
      <c r="L1" s="766" t="s">
        <v>1010</v>
      </c>
      <c r="M1" s="766" t="s">
        <v>1011</v>
      </c>
      <c r="N1" s="766" t="s">
        <v>1012</v>
      </c>
      <c r="O1" s="766" t="s">
        <v>1013</v>
      </c>
      <c r="P1" s="766" t="s">
        <v>1014</v>
      </c>
      <c r="Q1" s="766" t="s">
        <v>1015</v>
      </c>
      <c r="R1" s="766" t="s">
        <v>1016</v>
      </c>
      <c r="S1" s="766" t="s">
        <v>1017</v>
      </c>
    </row>
    <row r="2" customFormat="false" ht="45" hidden="false" customHeight="true" outlineLevel="0" collapsed="false">
      <c r="A2" s="768"/>
      <c r="B2" s="768"/>
      <c r="C2" s="768"/>
      <c r="D2" s="768"/>
      <c r="E2" s="768"/>
      <c r="F2" s="769"/>
      <c r="G2" s="768"/>
      <c r="H2" s="770"/>
      <c r="I2" s="770"/>
      <c r="J2" s="771"/>
      <c r="K2" s="772"/>
      <c r="L2" s="773"/>
      <c r="M2" s="768"/>
      <c r="N2" s="774"/>
      <c r="O2" s="768"/>
      <c r="P2" s="774"/>
      <c r="Q2" s="768"/>
      <c r="R2" s="775"/>
      <c r="S2" s="772"/>
    </row>
  </sheetData>
  <sheetProtection algorithmName="SHA-512" hashValue="DP/sE0qVYRuAiAaTZ2cjmUUQSZi0DQyflHWWMp+crwGJQFgPJngpm21Thb+vdiGThqwkWrBqRwj3eopAS/r68A==" saltValue="bcb0Fvnku4kGYtmZvdgPPQ==" spinCount="100000" sheet="true" objects="true" scenarios="true"/>
  <conditionalFormatting sqref="R2">
    <cfRule type="expression" priority="2" aboveAverage="0" equalAverage="0" bottom="0" percent="0" rank="0" text="" dxfId="129">
      <formula>IF($A2="Macrosserviço",R2&lt;&gt;"",OR(NOT(ISNUMBER(R2)),R2&lt;&gt;ROUND(R2,2),R2&lt;=0,R2&gt;99999999.99))</formula>
    </cfRule>
  </conditionalFormatting>
  <conditionalFormatting sqref="Q2">
    <cfRule type="expression" priority="3" aboveAverage="0" equalAverage="0" bottom="0" percent="0" rank="0" text="" dxfId="130">
      <formula>IF($A2="Macrosserviço",Q2&lt;&gt;"",OR(Q2="",LEN(Q2)&gt;100))</formula>
    </cfRule>
  </conditionalFormatting>
  <conditionalFormatting sqref="P2">
    <cfRule type="expression" priority="4" aboveAverage="0" equalAverage="0" bottom="0" percent="0" rank="0" text="" dxfId="131">
      <formula>IF($A2="Macrosserviço",P2&lt;&gt;"",OR(NOT(ISNUMBER(P2)),P2&lt;&gt;ROUND(P2,0),P2&lt;1,P2&gt;999))</formula>
    </cfRule>
  </conditionalFormatting>
  <conditionalFormatting sqref="O2">
    <cfRule type="expression" priority="5" aboveAverage="0" equalAverage="0" bottom="0" percent="0" rank="0" text="" dxfId="132">
      <formula>IF($A2="Serviço",OR(O2="",LEN(O2)&gt;100),O2&lt;&gt;"")</formula>
    </cfRule>
  </conditionalFormatting>
  <conditionalFormatting sqref="N2">
    <cfRule type="expression" priority="6" aboveAverage="0" equalAverage="0" bottom="0" percent="0" rank="0" text="" dxfId="133">
      <formula>IF($A2="Serviço",OR(NOT(ISNUMBER(N2)),N2&lt;&gt;ROUND(N2,0),N2&lt;1,N2&gt;999),N2&lt;&gt;"")</formula>
    </cfRule>
  </conditionalFormatting>
  <conditionalFormatting sqref="J2">
    <cfRule type="expression" priority="7" aboveAverage="0" equalAverage="0" bottom="0" percent="0" rank="0" text="" dxfId="134">
      <formula>IF($A2="Serviço",OR(NOT(ISNUMBER(VALUE(J2))),VALUE(J2)&lt;&gt;ROUND(VALUE(J2),4),VALUE(J2)&lt;=0,VALUE(J2)&gt;100%),J2&lt;&gt;"")</formula>
    </cfRule>
  </conditionalFormatting>
  <conditionalFormatting sqref="I2">
    <cfRule type="expression" priority="8" aboveAverage="0" equalAverage="0" bottom="0" percent="0" rank="0" text="" dxfId="135">
      <formula>IF($A2="Serviço",OR(NOT(ISNUMBER(I2)),I2&lt;&gt;ROUND(I2,2),I2&lt;=0,I2&gt;9999999999.99,AND(I2&gt;H2,H2&gt;0)),I2&lt;&gt;"")</formula>
    </cfRule>
  </conditionalFormatting>
  <conditionalFormatting sqref="H2">
    <cfRule type="expression" priority="9" aboveAverage="0" equalAverage="0" bottom="0" percent="0" rank="0" text="" dxfId="136">
      <formula>IF(A2="Serviço",OR(NOT(ISNUMBER(H2)),H2&lt;&gt;ROUND(H2,2),AND(C2&lt;&gt;"SINAPI",H2=0),H2&lt;0,H2&gt;9999999999.99),H2&lt;&gt;"")</formula>
    </cfRule>
  </conditionalFormatting>
  <conditionalFormatting sqref="D2">
    <cfRule type="expression" priority="10" aboveAverage="0" equalAverage="0" bottom="0" percent="0" rank="0" text="" dxfId="137">
      <formula>IF($A2="Serviço",OR(D2="",LEN($D2)&gt;13),D2&lt;&gt;"")</formula>
    </cfRule>
  </conditionalFormatting>
  <conditionalFormatting sqref="C2">
    <cfRule type="expression" priority="11" aboveAverage="0" equalAverage="0" bottom="0" percent="0" rank="0" text="" dxfId="138">
      <formula>IF($A2="Serviço",AND(C2&lt;&gt;"Composição",C2&lt;&gt;"Cotação",C2&lt;&gt;"SINAPI",C2&lt;&gt;"Outros"),C2&lt;&gt;"")</formula>
    </cfRule>
  </conditionalFormatting>
  <conditionalFormatting sqref="A2">
    <cfRule type="expression" priority="12" aboveAverage="0" equalAverage="0" bottom="0" percent="0" rank="0" text="" dxfId="139">
      <formula>AND(A2&lt;&gt;"Macrosserviço",A2&lt;&gt;"Serviço",A2&lt;&gt;"")</formula>
    </cfRule>
  </conditionalFormatting>
  <conditionalFormatting sqref="A2:S2">
    <cfRule type="expression" priority="13" aboveAverage="0" equalAverage="0" bottom="0" percent="0" rank="0" text="" dxfId="140">
      <formula>$A2="Macrosserviço"</formula>
    </cfRule>
  </conditionalFormatting>
  <conditionalFormatting sqref="M2">
    <cfRule type="expression" priority="14" aboveAverage="0" equalAverage="0" bottom="0" percent="0" rank="0" text="" dxfId="141">
      <formula>IF($A2="Serviço",LEN(M2)&gt;500,M2&lt;&gt;"")</formula>
    </cfRule>
  </conditionalFormatting>
  <conditionalFormatting sqref="E2">
    <cfRule type="expression" priority="15" aboveAverage="0" equalAverage="0" bottom="0" percent="0" rank="0" text="" dxfId="142">
      <formula>IF($A2="Macrosserviço",LEN($E2)&gt;100,LEN($E2)&gt;500)</formula>
    </cfRule>
  </conditionalFormatting>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6" id="{3352582D-9679-4311-BB7A-6170449589CE}">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1484375" defaultRowHeight="15" customHeight="false" zeroHeight="false" outlineLevelRow="0" outlineLevelCol="0"/>
  <cols>
    <col collapsed="false" customWidth="true" hidden="false" outlineLevel="0" max="1" min="1" style="764" width="15"/>
    <col collapsed="false" customWidth="true" hidden="false" outlineLevel="0" max="2" min="2" style="764" width="50"/>
    <col collapsed="false" customWidth="true" hidden="false" outlineLevel="0" max="3" min="3" style="764" width="20"/>
    <col collapsed="false" customWidth="true" hidden="false" outlineLevel="0" max="4" min="4" style="764" width="50"/>
    <col collapsed="false" customWidth="true" hidden="false" outlineLevel="0" max="5" min="5" style="764" width="35"/>
    <col collapsed="false" customWidth="false" hidden="false" outlineLevel="0" max="16384" min="6" style="764" width="9.14"/>
  </cols>
  <sheetData>
    <row r="1" customFormat="false" ht="15" hidden="false" customHeight="false" outlineLevel="0" collapsed="false">
      <c r="A1" s="766" t="s">
        <v>1018</v>
      </c>
      <c r="B1" s="766" t="s">
        <v>839</v>
      </c>
      <c r="C1" s="766" t="s">
        <v>1019</v>
      </c>
      <c r="D1" s="766" t="s">
        <v>1015</v>
      </c>
      <c r="E1" s="766" t="s">
        <v>1020</v>
      </c>
    </row>
    <row r="2" customFormat="false" ht="45" hidden="false" customHeight="true" outlineLevel="0" collapsed="false">
      <c r="A2" s="776"/>
      <c r="B2" s="776"/>
      <c r="C2" s="776"/>
      <c r="D2" s="776"/>
      <c r="E2" s="776"/>
    </row>
  </sheetData>
  <sheetProtection algorithmName="SHA-512" hashValue="uDcop0r63Qhkl//sA1xTovTwfnphQxeIqqrEHwKx2neeHkLXbpmKA+/96KnrVKd4EId78M0g0JaaWt+2oziygw==" saltValue="jminM0oBwyHevylHVubqnA==" spinCount="100000" sheet="true" objects="true" scenarios="true"/>
  <conditionalFormatting sqref="E2">
    <cfRule type="expression" priority="2" aboveAverage="0" equalAverage="0" bottom="0" percent="0" rank="0" text="" dxfId="144">
      <formula>OR(NOT(ISNUMBER(E2)),E2&lt;&gt;ROUND(E2,0),E2&lt;1,E2&gt;120)</formula>
    </cfRule>
  </conditionalFormatting>
  <conditionalFormatting sqref="B2 D2">
    <cfRule type="expression" priority="3" aboveAverage="0" equalAverage="0" bottom="0" percent="0" rank="0" text="" dxfId="145">
      <formula>OR(B2="",LEN(B2)&gt;100)</formula>
    </cfRule>
  </conditionalFormatting>
  <conditionalFormatting sqref="A2 C2">
    <cfRule type="expression" priority="4" aboveAverage="0" equalAverage="0" bottom="0" percent="0" rank="0" text="" dxfId="146">
      <formula>OR(NOT(ISNUMBER(A2)),A2&lt;&gt;ROUND(A2,0),A2&lt;1,A2&gt;999)</formula>
    </cfRule>
  </conditionalFormatting>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9.1484375" defaultRowHeight="15" customHeight="false" zeroHeight="false" outlineLevelRow="0" outlineLevelCol="0"/>
  <cols>
    <col collapsed="false" customWidth="true" hidden="false" outlineLevel="0" max="1" min="1" style="764" width="15"/>
    <col collapsed="false" customWidth="true" hidden="false" outlineLevel="0" max="2" min="2" style="764" width="25"/>
    <col collapsed="false" customWidth="true" hidden="false" outlineLevel="0" max="3" min="3" style="764" width="12"/>
    <col collapsed="false" customWidth="true" hidden="false" outlineLevel="0" max="4" min="4" style="765" width="15.57"/>
    <col collapsed="false" customWidth="true" hidden="false" outlineLevel="0" max="5" min="5" style="764" width="70"/>
    <col collapsed="false" customWidth="true" hidden="false" outlineLevel="0" max="6" min="6" style="764" width="20"/>
    <col collapsed="false" customWidth="true" hidden="false" outlineLevel="0" max="7" min="7" style="764" width="10"/>
    <col collapsed="false" customWidth="true" hidden="false" outlineLevel="0" max="8" min="8" style="764" width="25"/>
    <col collapsed="false" customWidth="true" hidden="false" outlineLevel="0" max="9" min="9" style="764" width="15"/>
    <col collapsed="false" customWidth="true" hidden="false" outlineLevel="0" max="10" min="10" style="764" width="13"/>
    <col collapsed="false" customWidth="true" hidden="false" outlineLevel="0" max="12" min="11" style="764" width="35"/>
    <col collapsed="false" customWidth="true" hidden="false" outlineLevel="0" max="14" min="13" style="764" width="20"/>
    <col collapsed="false" customWidth="true" hidden="false" outlineLevel="0" max="15" min="15" style="764" width="50"/>
    <col collapsed="false" customWidth="true" hidden="false" outlineLevel="0" max="16" min="16" style="764" width="15"/>
    <col collapsed="false" customWidth="true" hidden="false" outlineLevel="0" max="17" min="17" style="764" width="17.57"/>
    <col collapsed="false" customWidth="false" hidden="false" outlineLevel="0" max="16384" min="18" style="764" width="9.14"/>
  </cols>
  <sheetData>
    <row r="1" customFormat="false" ht="15" hidden="false" customHeight="false" outlineLevel="0" collapsed="false">
      <c r="A1" s="766" t="s">
        <v>1002</v>
      </c>
      <c r="B1" s="766" t="s">
        <v>1003</v>
      </c>
      <c r="C1" s="766" t="s">
        <v>806</v>
      </c>
      <c r="D1" s="767" t="s">
        <v>807</v>
      </c>
      <c r="E1" s="766" t="s">
        <v>1004</v>
      </c>
      <c r="F1" s="766" t="s">
        <v>1005</v>
      </c>
      <c r="G1" s="766" t="s">
        <v>1006</v>
      </c>
      <c r="H1" s="766" t="s">
        <v>1007</v>
      </c>
      <c r="I1" s="766" t="s">
        <v>1008</v>
      </c>
      <c r="J1" s="766" t="s">
        <v>23</v>
      </c>
      <c r="K1" s="766" t="s">
        <v>1009</v>
      </c>
      <c r="L1" s="766" t="s">
        <v>1010</v>
      </c>
      <c r="M1" s="766" t="s">
        <v>1011</v>
      </c>
      <c r="N1" s="766" t="s">
        <v>1014</v>
      </c>
      <c r="O1" s="766" t="s">
        <v>1015</v>
      </c>
      <c r="P1" s="766" t="s">
        <v>1016</v>
      </c>
      <c r="Q1" s="766" t="s">
        <v>1017</v>
      </c>
    </row>
    <row r="2" customFormat="false" ht="45" hidden="false" customHeight="true" outlineLevel="0" collapsed="false">
      <c r="A2" s="768"/>
      <c r="B2" s="768"/>
      <c r="C2" s="768"/>
      <c r="D2" s="768"/>
      <c r="E2" s="768"/>
      <c r="F2" s="769"/>
      <c r="G2" s="768"/>
      <c r="H2" s="770"/>
      <c r="I2" s="770"/>
      <c r="J2" s="777"/>
      <c r="K2" s="772"/>
      <c r="L2" s="772"/>
      <c r="M2" s="768"/>
      <c r="N2" s="774"/>
      <c r="O2" s="768"/>
      <c r="P2" s="775"/>
      <c r="Q2" s="772"/>
    </row>
  </sheetData>
  <sheetProtection algorithmName="SHA-512" hashValue="AmWKGkps/9+HNgfzJ5ilwBpYYVz3XDN45R/9Lcp3+uoVL14JMsyoF6yYd/XJo8x876lM+B+vHiE83e8MJiq/oQ==" saltValue="BcJzM4QXFqmqqe8g/+76SA==" spinCount="100000" sheet="true" objects="true" scenarios="true"/>
  <conditionalFormatting sqref="P2">
    <cfRule type="expression" priority="2" aboveAverage="0" equalAverage="0" bottom="0" percent="0" rank="0" text="" dxfId="147">
      <formula>IF($A2="Macrosserviço",P2&lt;&gt;"",OR(NOT(ISNUMBER(P2)),P2&lt;&gt;ROUND(P2,2),P2&lt;=0,P2&gt;99999999.99))</formula>
    </cfRule>
  </conditionalFormatting>
  <conditionalFormatting sqref="O2">
    <cfRule type="expression" priority="3" aboveAverage="0" equalAverage="0" bottom="0" percent="0" rank="0" text="" dxfId="148">
      <formula>IF($A2="Macrosserviço",O2&lt;&gt;"",OR(O2="",LEN(O2)&gt;100))</formula>
    </cfRule>
  </conditionalFormatting>
  <conditionalFormatting sqref="N2">
    <cfRule type="expression" priority="4" aboveAverage="0" equalAverage="0" bottom="0" percent="0" rank="0" text="" dxfId="149">
      <formula>IF($A2="Macrosserviço",N2&lt;&gt;"",OR(NOT(ISNUMBER(N2)),N2&lt;&gt;ROUND(N2,0),N2&lt;1,N2&gt;999))</formula>
    </cfRule>
  </conditionalFormatting>
  <conditionalFormatting sqref="B2">
    <cfRule type="cellIs" priority="5" operator="equal" aboveAverage="0" equalAverage="0" bottom="0" percent="0" rank="0" text="" dxfId="150">
      <formula>""</formula>
    </cfRule>
  </conditionalFormatting>
  <conditionalFormatting sqref="J2">
    <cfRule type="expression" priority="6" aboveAverage="0" equalAverage="0" bottom="0" percent="0" rank="0" text="" dxfId="151">
      <formula>IF($A2="Serviço",OR(NOT(ISNUMBER(VALUE(J2))),VALUE(J2)&lt;&gt;ROUND(VALUE(J2),4),VALUE(J2)&lt;=0,VALUE(J2)&gt;100%),J2&lt;&gt;"")</formula>
    </cfRule>
  </conditionalFormatting>
  <conditionalFormatting sqref="I2">
    <cfRule type="expression" priority="7" aboveAverage="0" equalAverage="0" bottom="0" percent="0" rank="0" text="" dxfId="152">
      <formula>IF($A2="Serviço",OR(NOT(ISNUMBER(I2)),I2&lt;&gt;ROUND(I2,2),I2&lt;=0,I2&gt;9999999999.99,AND(I2&gt;H2,H2&gt;0)),I2&lt;&gt;"")</formula>
    </cfRule>
  </conditionalFormatting>
  <conditionalFormatting sqref="H2">
    <cfRule type="expression" priority="8" aboveAverage="0" equalAverage="0" bottom="0" percent="0" rank="0" text="" dxfId="153">
      <formula>IF(A2="Serviço",OR(NOT(ISNUMBER(H2)),H2&lt;&gt;ROUND(H2,2),AND(C2&lt;&gt;"SINAPI",H2=0),H2&lt;0,H2&gt;9999999999.99),H2&lt;&gt;"")</formula>
    </cfRule>
  </conditionalFormatting>
  <conditionalFormatting sqref="D2">
    <cfRule type="expression" priority="9" aboveAverage="0" equalAverage="0" bottom="0" percent="0" rank="0" text="" dxfId="154">
      <formula>IF($A2="Serviço",OR(D2="",LEN($D2)&gt;13),D2&lt;&gt;"")</formula>
    </cfRule>
  </conditionalFormatting>
  <conditionalFormatting sqref="C2">
    <cfRule type="expression" priority="10" aboveAverage="0" equalAverage="0" bottom="0" percent="0" rank="0" text="" dxfId="155">
      <formula>IF($A2="Serviço",AND(C2&lt;&gt;"Composição",C2&lt;&gt;"Cotação",C2&lt;&gt;"SINAPI",C2&lt;&gt;"Outros"),C2&lt;&gt;"")</formula>
    </cfRule>
  </conditionalFormatting>
  <conditionalFormatting sqref="A2">
    <cfRule type="expression" priority="11" aboveAverage="0" equalAverage="0" bottom="0" percent="0" rank="0" text="" dxfId="156">
      <formula>AND(A2&lt;&gt;"Macrosserviço",A2&lt;&gt;"Serviço")</formula>
    </cfRule>
  </conditionalFormatting>
  <conditionalFormatting sqref="A2:Q2">
    <cfRule type="expression" priority="12" aboveAverage="0" equalAverage="0" bottom="0" percent="0" rank="0" text="" dxfId="157">
      <formula>$A2="Macrosserviço"</formula>
    </cfRule>
  </conditionalFormatting>
  <conditionalFormatting sqref="M2">
    <cfRule type="expression" priority="13" aboveAverage="0" equalAverage="0" bottom="0" percent="0" rank="0" text="" dxfId="158">
      <formula>IF($A2="Serviço",LEN(M2)&gt;500,M2&lt;&gt;"")</formula>
    </cfRule>
  </conditionalFormatting>
  <conditionalFormatting sqref="E2">
    <cfRule type="expression" priority="14" aboveAverage="0" equalAverage="0" bottom="0" percent="0" rank="0" text="" dxfId="159">
      <formula>OR(E2="",IF($A2="Macrosserviço",LEN($E2)&gt;100,LEN($E2)&gt;500))</formula>
    </cfRule>
  </conditionalFormatting>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5" id="{8C287424-6071-45A3-8560-BD3CB53B17B1}">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1484375" defaultRowHeight="15" customHeight="false" zeroHeight="false" outlineLevelRow="0" outlineLevelCol="0"/>
  <cols>
    <col collapsed="false" customWidth="true" hidden="false" outlineLevel="0" max="1" min="1" style="764" width="15"/>
    <col collapsed="false" customWidth="true" hidden="false" outlineLevel="0" max="2" min="2" style="764" width="70"/>
    <col collapsed="false" customWidth="true" hidden="false" outlineLevel="0" max="3" min="3" style="764" width="10"/>
    <col collapsed="false" customWidth="true" hidden="false" outlineLevel="0" max="4" min="4" style="764" width="20"/>
    <col collapsed="false" customWidth="false" hidden="false" outlineLevel="0" max="16384" min="5" style="764" width="9.14"/>
  </cols>
  <sheetData>
    <row r="1" customFormat="false" ht="15" hidden="false" customHeight="false" outlineLevel="0" collapsed="false">
      <c r="A1" s="766" t="s">
        <v>1021</v>
      </c>
      <c r="B1" s="766" t="s">
        <v>1022</v>
      </c>
      <c r="C1" s="766" t="s">
        <v>865</v>
      </c>
      <c r="D1" s="766" t="s">
        <v>1023</v>
      </c>
    </row>
    <row r="2" customFormat="false" ht="45" hidden="false" customHeight="true" outlineLevel="0" collapsed="false">
      <c r="A2" s="778"/>
      <c r="B2" s="778"/>
      <c r="C2" s="776"/>
      <c r="D2" s="771"/>
    </row>
  </sheetData>
  <sheetProtection algorithmName="SHA-512" hashValue="rH4frZoazd3DTn8ftgtLDgTayTlwaC2u1+sB0S/xtCYrCO2DSr0jh/wk/fpxx3eZNNWJwWqUvaq75DGwHj/Scg==" saltValue="EP56SgM6g5VV0Pf9e6E1ng==" spinCount="100000" sheet="true" objects="true" scenarios="true"/>
  <conditionalFormatting sqref="D2">
    <cfRule type="expression" priority="2" aboveAverage="0" equalAverage="0" bottom="0" percent="0" rank="0" text="" dxfId="161">
      <formula>OR(NOT(ISNUMBER(D2)),D2&lt;&gt;ROUND(D2,2),D2&lt;=0,D2&gt;100)</formula>
    </cfRule>
  </conditionalFormatting>
  <conditionalFormatting sqref="D2">
    <cfRule type="expression" priority="3" aboveAverage="0" equalAverage="0" bottom="0" percent="0" rank="0" text="" dxfId="162">
      <formula>$A2="Macrosserviço"</formula>
    </cfRule>
  </conditionalFormatting>
  <conditionalFormatting sqref="B2">
    <cfRule type="expression" priority="4" aboveAverage="0" equalAverage="0" bottom="0" percent="0" rank="0" text="" dxfId="163">
      <formula>OR(B2="",LEN(B2)&gt;100)</formula>
    </cfRule>
  </conditionalFormatting>
  <conditionalFormatting sqref="A2 C2">
    <cfRule type="expression" priority="5" aboveAverage="0" equalAverage="0" bottom="0" percent="0" rank="0" text="" dxfId="164">
      <formula>OR(NOT(ISNUMBER(A2)),A2&lt;&gt;ROUND(A2,0),A2&lt;1,A2&gt;999)</formula>
    </cfRule>
  </conditionalFormatting>
  <printOptions headings="false" gridLines="false" gridLinesSet="true" horizontalCentered="false" verticalCentered="false"/>
  <pageMargins left="0.7875" right="0.7875" top="0.786805555555556" bottom="0.786805555555556" header="5.70833333333333" footer="0.590277777777778"/>
  <pageSetup paperSize="9" scale="100" fitToWidth="1" fitToHeight="1" pageOrder="downThenOver" orientation="portrait" blackAndWhite="false" draft="false" cellComments="none" horizontalDpi="300" verticalDpi="300" copies="1"/>
  <headerFooter differentFirst="false" differentOddEven="false">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1997-01-10T22:22:50Z</dcterms:created>
  <dc:creator>CAIXA - GN Padronização e normas técnicas</dc:creator>
  <dc:description/>
  <dc:language>pt-BR</dc:language>
  <cp:lastModifiedBy>Ana</cp:lastModifiedBy>
  <cp:lastPrinted>2025-12-21T16:25:46Z</cp:lastPrinted>
  <dcterms:modified xsi:type="dcterms:W3CDTF">2025-12-22T18:24:30Z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ActionId">
    <vt:lpwstr>a35afa61-0e86-4f3f-84ac-6edb60dde1d6</vt:lpwstr>
  </property>
  <property fmtid="{D5CDD505-2E9C-101B-9397-08002B2CF9AE}" pid="3" name="MSIP_Label_fde7aacd-7cc4-4c31-9e6f-7ef306428f09_ContentBits">
    <vt:lpwstr>1</vt:lpwstr>
  </property>
  <property fmtid="{D5CDD505-2E9C-101B-9397-08002B2CF9AE}" pid="4" name="MSIP_Label_fde7aacd-7cc4-4c31-9e6f-7ef306428f09_Enabled">
    <vt:lpwstr>true</vt:lpwstr>
  </property>
  <property fmtid="{D5CDD505-2E9C-101B-9397-08002B2CF9AE}" pid="5" name="MSIP_Label_fde7aacd-7cc4-4c31-9e6f-7ef306428f09_Method">
    <vt:lpwstr>Privileged</vt:lpwstr>
  </property>
  <property fmtid="{D5CDD505-2E9C-101B-9397-08002B2CF9AE}" pid="6" name="MSIP_Label_fde7aacd-7cc4-4c31-9e6f-7ef306428f09_Name">
    <vt:lpwstr>_PUBLICO</vt:lpwstr>
  </property>
  <property fmtid="{D5CDD505-2E9C-101B-9397-08002B2CF9AE}" pid="7" name="MSIP_Label_fde7aacd-7cc4-4c31-9e6f-7ef306428f09_SetDate">
    <vt:lpwstr>2023-11-21T19:16:23Z</vt:lpwstr>
  </property>
  <property fmtid="{D5CDD505-2E9C-101B-9397-08002B2CF9AE}" pid="8" name="MSIP_Label_fde7aacd-7cc4-4c31-9e6f-7ef306428f09_SiteId">
    <vt:lpwstr>ab9bba98-684a-43fb-add8-9c2bebede229</vt:lpwstr>
  </property>
</Properties>
</file>