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D:\Caroline\Material Aldeia indígena Horto do Cassino\"/>
    </mc:Choice>
  </mc:AlternateContent>
  <xr:revisionPtr revIDLastSave="0" documentId="13_ncr:1_{817B4AA3-802D-460E-9A9E-1ADAE0318A69}" xr6:coauthVersionLast="47" xr6:coauthVersionMax="47" xr10:uidLastSave="{00000000-0000-0000-0000-000000000000}"/>
  <bookViews>
    <workbookView xWindow="-28920" yWindow="-120" windowWidth="29040" windowHeight="15720" tabRatio="500" xr2:uid="{00000000-000D-0000-FFFF-FFFF00000000}"/>
  </bookViews>
  <sheets>
    <sheet name="Orçamento Sintético" sheetId="1" r:id="rId1"/>
    <sheet name="Planilha2" sheetId="3" r:id="rId2"/>
    <sheet name="Planilha1" sheetId="2" r:id="rId3"/>
  </sheets>
  <definedNames>
    <definedName name="_xlnm.Print_Area" localSheetId="0">'Orçamento Sintético'!$A$1:$I$389</definedName>
    <definedName name="_xlnm.Print_Area" localSheetId="1">Planilha2!$A$1:$H$18</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F16" i="3" l="1"/>
  <c r="G16" i="3"/>
  <c r="H16" i="3" s="1"/>
  <c r="E16" i="3"/>
  <c r="D16" i="3"/>
  <c r="E14" i="3"/>
  <c r="F14" i="3"/>
  <c r="G14" i="3"/>
  <c r="H14" i="3"/>
  <c r="D14" i="3"/>
  <c r="F17" i="3"/>
  <c r="G17" i="3" s="1"/>
  <c r="H17" i="3" s="1"/>
  <c r="E17" i="3"/>
  <c r="D17" i="3"/>
  <c r="K7" i="3"/>
  <c r="K6" i="3"/>
  <c r="H15" i="3"/>
  <c r="G15" i="3"/>
  <c r="F15" i="3"/>
  <c r="E15" i="3"/>
  <c r="D15" i="3"/>
  <c r="C5" i="3"/>
  <c r="J12" i="3"/>
  <c r="K12" i="3" s="1"/>
  <c r="J10" i="3"/>
  <c r="K10" i="3" s="1"/>
  <c r="J8" i="3"/>
  <c r="K8" i="3" s="1"/>
  <c r="J6" i="3"/>
  <c r="I10" i="1"/>
  <c r="I7" i="1"/>
  <c r="D386" i="1"/>
  <c r="I13" i="1"/>
  <c r="I14" i="1"/>
  <c r="I15" i="1"/>
  <c r="I16" i="1"/>
  <c r="I17" i="1"/>
  <c r="I18" i="1"/>
  <c r="I12" i="1"/>
  <c r="I21" i="1"/>
  <c r="I22" i="1"/>
  <c r="I23" i="1"/>
  <c r="I24" i="1"/>
  <c r="I20" i="1"/>
  <c r="I27" i="1"/>
  <c r="I28" i="1"/>
  <c r="I26" i="1"/>
  <c r="I31" i="1"/>
  <c r="I32" i="1"/>
  <c r="I33" i="1"/>
  <c r="I34" i="1"/>
  <c r="I35" i="1"/>
  <c r="I36" i="1"/>
  <c r="I37" i="1"/>
  <c r="I30" i="1"/>
  <c r="I40" i="1"/>
  <c r="I41" i="1"/>
  <c r="I42" i="1"/>
  <c r="I43" i="1"/>
  <c r="I44" i="1"/>
  <c r="I39" i="1"/>
  <c r="I47" i="1"/>
  <c r="I48" i="1"/>
  <c r="I49" i="1"/>
  <c r="I50" i="1"/>
  <c r="I51" i="1"/>
  <c r="I52" i="1"/>
  <c r="I53" i="1"/>
  <c r="I54" i="1"/>
  <c r="I46" i="1"/>
  <c r="I60" i="1"/>
  <c r="I61" i="1"/>
  <c r="I62" i="1"/>
  <c r="I63" i="1"/>
  <c r="I64" i="1"/>
  <c r="I65" i="1"/>
  <c r="I66" i="1"/>
  <c r="I67" i="1"/>
  <c r="I59" i="1"/>
  <c r="I70" i="1"/>
  <c r="I71" i="1"/>
  <c r="I72" i="1"/>
  <c r="I69" i="1"/>
  <c r="I74" i="1"/>
  <c r="I75" i="1"/>
  <c r="I76" i="1"/>
  <c r="I77" i="1"/>
  <c r="I78" i="1"/>
  <c r="I81" i="1"/>
  <c r="I82" i="1"/>
  <c r="I83" i="1"/>
  <c r="I80" i="1"/>
  <c r="I87" i="1"/>
  <c r="I86" i="1"/>
  <c r="I88" i="1"/>
  <c r="I89" i="1"/>
  <c r="I90" i="1"/>
  <c r="I91" i="1"/>
  <c r="I92" i="1"/>
  <c r="I93" i="1"/>
  <c r="I94" i="1"/>
  <c r="I96" i="1"/>
  <c r="I95" i="1" s="1"/>
  <c r="I97" i="1"/>
  <c r="I98" i="1"/>
  <c r="I99" i="1"/>
  <c r="I102" i="1"/>
  <c r="I103" i="1"/>
  <c r="I104" i="1"/>
  <c r="I101" i="1"/>
  <c r="I108" i="1"/>
  <c r="I109" i="1"/>
  <c r="I110" i="1"/>
  <c r="I111" i="1"/>
  <c r="I112" i="1"/>
  <c r="I113" i="1"/>
  <c r="I114" i="1"/>
  <c r="I115" i="1"/>
  <c r="I116" i="1"/>
  <c r="I117" i="1"/>
  <c r="I118" i="1"/>
  <c r="I107" i="1"/>
  <c r="I121" i="1"/>
  <c r="I122" i="1"/>
  <c r="I123" i="1"/>
  <c r="I124" i="1"/>
  <c r="I125" i="1"/>
  <c r="I126" i="1"/>
  <c r="I127" i="1"/>
  <c r="I120" i="1"/>
  <c r="I130" i="1"/>
  <c r="I131" i="1"/>
  <c r="I132" i="1"/>
  <c r="I133" i="1"/>
  <c r="I134" i="1"/>
  <c r="I135" i="1"/>
  <c r="I136" i="1"/>
  <c r="I129" i="1"/>
  <c r="I139" i="1"/>
  <c r="I140" i="1"/>
  <c r="I141" i="1"/>
  <c r="I142" i="1"/>
  <c r="I143" i="1"/>
  <c r="I144" i="1"/>
  <c r="I145" i="1"/>
  <c r="I146" i="1"/>
  <c r="I138" i="1"/>
  <c r="I147" i="1"/>
  <c r="I148" i="1"/>
  <c r="I149" i="1"/>
  <c r="I150" i="1"/>
  <c r="I151" i="1"/>
  <c r="I152" i="1"/>
  <c r="I153" i="1"/>
  <c r="H156" i="1"/>
  <c r="H155" i="1"/>
  <c r="H149" i="1"/>
  <c r="H150" i="1"/>
  <c r="H151" i="1"/>
  <c r="H152" i="1"/>
  <c r="H153" i="1"/>
  <c r="H148" i="1"/>
  <c r="H139" i="1"/>
  <c r="H140" i="1"/>
  <c r="H141" i="1"/>
  <c r="H142" i="1"/>
  <c r="H143" i="1"/>
  <c r="H144" i="1"/>
  <c r="H145" i="1"/>
  <c r="H146" i="1"/>
  <c r="H138" i="1"/>
  <c r="H131" i="1"/>
  <c r="H132" i="1"/>
  <c r="H133" i="1"/>
  <c r="H134" i="1"/>
  <c r="H135" i="1"/>
  <c r="H136" i="1"/>
  <c r="H130" i="1"/>
  <c r="H129" i="1"/>
  <c r="H121" i="1"/>
  <c r="H122" i="1"/>
  <c r="H123" i="1"/>
  <c r="H124" i="1"/>
  <c r="H125" i="1"/>
  <c r="H126" i="1"/>
  <c r="H127" i="1"/>
  <c r="H120" i="1"/>
  <c r="H108" i="1"/>
  <c r="H109" i="1"/>
  <c r="H110" i="1"/>
  <c r="H111" i="1"/>
  <c r="H112" i="1"/>
  <c r="H113" i="1"/>
  <c r="H114" i="1"/>
  <c r="H115" i="1"/>
  <c r="H116" i="1"/>
  <c r="H117" i="1"/>
  <c r="H118" i="1"/>
  <c r="H107" i="1"/>
  <c r="H102" i="1"/>
  <c r="H103" i="1"/>
  <c r="H104" i="1"/>
  <c r="H101" i="1"/>
  <c r="H97" i="1"/>
  <c r="H98" i="1"/>
  <c r="H99" i="1"/>
  <c r="H96" i="1"/>
  <c r="H87" i="1"/>
  <c r="H88" i="1"/>
  <c r="H89" i="1"/>
  <c r="H90" i="1"/>
  <c r="H91" i="1"/>
  <c r="H92" i="1"/>
  <c r="H93" i="1"/>
  <c r="H94" i="1"/>
  <c r="H86" i="1"/>
  <c r="H81" i="1"/>
  <c r="H82" i="1"/>
  <c r="H83" i="1"/>
  <c r="H80" i="1"/>
  <c r="H75" i="1"/>
  <c r="H76" i="1"/>
  <c r="H77" i="1"/>
  <c r="H78" i="1"/>
  <c r="H74" i="1"/>
  <c r="H70" i="1"/>
  <c r="H71" i="1"/>
  <c r="H72" i="1"/>
  <c r="H69" i="1"/>
  <c r="H60" i="1"/>
  <c r="H61" i="1"/>
  <c r="H62" i="1"/>
  <c r="H63" i="1"/>
  <c r="H64" i="1"/>
  <c r="H65" i="1"/>
  <c r="H66" i="1"/>
  <c r="H67" i="1"/>
  <c r="H59" i="1"/>
  <c r="H56" i="1"/>
  <c r="H47" i="1"/>
  <c r="H48" i="1"/>
  <c r="H49" i="1"/>
  <c r="H50" i="1"/>
  <c r="H51" i="1"/>
  <c r="H52" i="1"/>
  <c r="H53" i="1"/>
  <c r="H54" i="1"/>
  <c r="H46" i="1"/>
  <c r="H40" i="1"/>
  <c r="H41" i="1"/>
  <c r="H42" i="1"/>
  <c r="H43" i="1"/>
  <c r="H44" i="1"/>
  <c r="H39" i="1"/>
  <c r="H31" i="1"/>
  <c r="H32" i="1"/>
  <c r="H33" i="1"/>
  <c r="H34" i="1"/>
  <c r="H35" i="1"/>
  <c r="H36" i="1"/>
  <c r="H37" i="1"/>
  <c r="H30" i="1"/>
  <c r="H27" i="1"/>
  <c r="H28" i="1"/>
  <c r="H26" i="1"/>
  <c r="H21" i="1"/>
  <c r="H22" i="1"/>
  <c r="H23" i="1"/>
  <c r="H24" i="1"/>
  <c r="H20" i="1"/>
  <c r="H13" i="1"/>
  <c r="H14" i="1"/>
  <c r="H15" i="1"/>
  <c r="H16" i="1"/>
  <c r="H17" i="1"/>
  <c r="H18" i="1"/>
  <c r="H12" i="1"/>
  <c r="H9" i="1"/>
  <c r="H6" i="1"/>
  <c r="I218" i="1"/>
  <c r="I217" i="1" s="1"/>
  <c r="I192" i="1" s="1"/>
  <c r="I193" i="1"/>
  <c r="I162" i="1"/>
  <c r="I159" i="1" s="1"/>
  <c r="H158" i="1"/>
  <c r="I186" i="1"/>
  <c r="I184" i="1"/>
  <c r="I179" i="1"/>
  <c r="I170" i="1"/>
  <c r="H385" i="1"/>
  <c r="I385" i="1" s="1"/>
  <c r="H384" i="1"/>
  <c r="I384" i="1" s="1"/>
  <c r="H383" i="1"/>
  <c r="I383" i="1" s="1"/>
  <c r="H382" i="1"/>
  <c r="I382" i="1" s="1"/>
  <c r="H381" i="1"/>
  <c r="I381" i="1" s="1"/>
  <c r="H380" i="1"/>
  <c r="I380" i="1" s="1"/>
  <c r="H379" i="1"/>
  <c r="I379" i="1" s="1"/>
  <c r="H378" i="1"/>
  <c r="I378" i="1" s="1"/>
  <c r="H377" i="1"/>
  <c r="I377" i="1" s="1"/>
  <c r="H376" i="1"/>
  <c r="I376" i="1" s="1"/>
  <c r="H375" i="1"/>
  <c r="I375" i="1" s="1"/>
  <c r="I374" i="1"/>
  <c r="H374" i="1"/>
  <c r="H373" i="1"/>
  <c r="I373" i="1" s="1"/>
  <c r="H372" i="1"/>
  <c r="I372" i="1" s="1"/>
  <c r="H371" i="1"/>
  <c r="I371" i="1" s="1"/>
  <c r="H370" i="1"/>
  <c r="I370" i="1" s="1"/>
  <c r="H369" i="1"/>
  <c r="I369" i="1" s="1"/>
  <c r="I368" i="1"/>
  <c r="H368" i="1"/>
  <c r="H367" i="1"/>
  <c r="I367" i="1" s="1"/>
  <c r="I366" i="1"/>
  <c r="H366" i="1"/>
  <c r="H364" i="1"/>
  <c r="I364" i="1" s="1"/>
  <c r="H363" i="1"/>
  <c r="I363" i="1" s="1"/>
  <c r="H362" i="1"/>
  <c r="I362" i="1" s="1"/>
  <c r="H361" i="1"/>
  <c r="I361" i="1" s="1"/>
  <c r="H360" i="1"/>
  <c r="I360" i="1" s="1"/>
  <c r="H359" i="1"/>
  <c r="I359" i="1" s="1"/>
  <c r="H358" i="1"/>
  <c r="I358" i="1" s="1"/>
  <c r="H357" i="1"/>
  <c r="I357" i="1" s="1"/>
  <c r="H356" i="1"/>
  <c r="I356" i="1" s="1"/>
  <c r="H355" i="1"/>
  <c r="I355" i="1" s="1"/>
  <c r="H354" i="1"/>
  <c r="I354" i="1" s="1"/>
  <c r="H353" i="1"/>
  <c r="I353" i="1" s="1"/>
  <c r="H352" i="1"/>
  <c r="I352" i="1" s="1"/>
  <c r="H351" i="1"/>
  <c r="I351" i="1" s="1"/>
  <c r="I350" i="1"/>
  <c r="H350" i="1"/>
  <c r="H349" i="1"/>
  <c r="I349" i="1" s="1"/>
  <c r="H348" i="1"/>
  <c r="I348" i="1" s="1"/>
  <c r="H347" i="1"/>
  <c r="I347" i="1" s="1"/>
  <c r="H346" i="1"/>
  <c r="I346" i="1" s="1"/>
  <c r="H345" i="1"/>
  <c r="I345" i="1" s="1"/>
  <c r="H344" i="1"/>
  <c r="I344" i="1" s="1"/>
  <c r="H343" i="1"/>
  <c r="I343" i="1" s="1"/>
  <c r="H342" i="1"/>
  <c r="I342" i="1" s="1"/>
  <c r="H341" i="1"/>
  <c r="I341" i="1" s="1"/>
  <c r="H339" i="1"/>
  <c r="I339" i="1" s="1"/>
  <c r="H338" i="1"/>
  <c r="I338" i="1" s="1"/>
  <c r="H337" i="1"/>
  <c r="I337" i="1" s="1"/>
  <c r="H336" i="1"/>
  <c r="I336" i="1" s="1"/>
  <c r="H335" i="1"/>
  <c r="I335" i="1" s="1"/>
  <c r="H334" i="1"/>
  <c r="I334" i="1" s="1"/>
  <c r="H333" i="1"/>
  <c r="I333" i="1" s="1"/>
  <c r="H332" i="1"/>
  <c r="I332" i="1" s="1"/>
  <c r="H331" i="1"/>
  <c r="I331" i="1" s="1"/>
  <c r="H330" i="1"/>
  <c r="I330" i="1" s="1"/>
  <c r="H329" i="1"/>
  <c r="I329" i="1" s="1"/>
  <c r="H328" i="1"/>
  <c r="I328" i="1" s="1"/>
  <c r="H327" i="1"/>
  <c r="I327" i="1" s="1"/>
  <c r="H326" i="1"/>
  <c r="I326" i="1" s="1"/>
  <c r="H325" i="1"/>
  <c r="I325" i="1" s="1"/>
  <c r="H324" i="1"/>
  <c r="I324" i="1" s="1"/>
  <c r="H323" i="1"/>
  <c r="I323" i="1" s="1"/>
  <c r="H322" i="1"/>
  <c r="I322" i="1" s="1"/>
  <c r="H321" i="1"/>
  <c r="I321" i="1" s="1"/>
  <c r="H320" i="1"/>
  <c r="I320" i="1" s="1"/>
  <c r="H319" i="1"/>
  <c r="I319" i="1" s="1"/>
  <c r="H318" i="1"/>
  <c r="I318" i="1" s="1"/>
  <c r="H317" i="1"/>
  <c r="I317" i="1" s="1"/>
  <c r="H316" i="1"/>
  <c r="I316" i="1" s="1"/>
  <c r="H315" i="1"/>
  <c r="I315" i="1" s="1"/>
  <c r="H314" i="1"/>
  <c r="I314" i="1" s="1"/>
  <c r="H313" i="1"/>
  <c r="I313" i="1" s="1"/>
  <c r="H312" i="1"/>
  <c r="I312" i="1" s="1"/>
  <c r="H311" i="1"/>
  <c r="I311" i="1" s="1"/>
  <c r="H310" i="1"/>
  <c r="I310" i="1" s="1"/>
  <c r="H309" i="1"/>
  <c r="I309" i="1" s="1"/>
  <c r="H308" i="1"/>
  <c r="I308" i="1" s="1"/>
  <c r="H307" i="1"/>
  <c r="I307" i="1" s="1"/>
  <c r="H306" i="1"/>
  <c r="I306" i="1" s="1"/>
  <c r="H305" i="1"/>
  <c r="I305" i="1" s="1"/>
  <c r="H304" i="1"/>
  <c r="I304" i="1" s="1"/>
  <c r="I303" i="1" s="1"/>
  <c r="H301" i="1"/>
  <c r="I301" i="1" s="1"/>
  <c r="H300" i="1"/>
  <c r="I300" i="1" s="1"/>
  <c r="H299" i="1"/>
  <c r="I299" i="1" s="1"/>
  <c r="H298" i="1"/>
  <c r="I298" i="1" s="1"/>
  <c r="H297" i="1"/>
  <c r="I297" i="1" s="1"/>
  <c r="H296" i="1"/>
  <c r="I296" i="1" s="1"/>
  <c r="H295" i="1"/>
  <c r="I295" i="1" s="1"/>
  <c r="H294" i="1"/>
  <c r="I294" i="1" s="1"/>
  <c r="H293" i="1"/>
  <c r="I293" i="1" s="1"/>
  <c r="H292" i="1"/>
  <c r="I292" i="1" s="1"/>
  <c r="H291" i="1"/>
  <c r="I291" i="1" s="1"/>
  <c r="I290" i="1"/>
  <c r="H290" i="1"/>
  <c r="H289" i="1"/>
  <c r="I289" i="1" s="1"/>
  <c r="H288" i="1"/>
  <c r="I288" i="1" s="1"/>
  <c r="H287" i="1"/>
  <c r="I287" i="1" s="1"/>
  <c r="H286" i="1"/>
  <c r="I286" i="1" s="1"/>
  <c r="H285" i="1"/>
  <c r="I285" i="1" s="1"/>
  <c r="H284" i="1"/>
  <c r="I284" i="1" s="1"/>
  <c r="H283" i="1"/>
  <c r="I283" i="1" s="1"/>
  <c r="I282" i="1"/>
  <c r="H282" i="1"/>
  <c r="H281" i="1"/>
  <c r="I281" i="1" s="1"/>
  <c r="H280" i="1"/>
  <c r="I280" i="1" s="1"/>
  <c r="H279" i="1"/>
  <c r="I279" i="1" s="1"/>
  <c r="I278" i="1" s="1"/>
  <c r="H276" i="1"/>
  <c r="I276" i="1" s="1"/>
  <c r="H275" i="1"/>
  <c r="I275" i="1" s="1"/>
  <c r="H274" i="1"/>
  <c r="I274" i="1" s="1"/>
  <c r="H273" i="1"/>
  <c r="I273" i="1" s="1"/>
  <c r="H272" i="1"/>
  <c r="I272" i="1" s="1"/>
  <c r="H271" i="1"/>
  <c r="I271" i="1" s="1"/>
  <c r="H270" i="1"/>
  <c r="I270" i="1" s="1"/>
  <c r="H269" i="1"/>
  <c r="I269" i="1" s="1"/>
  <c r="H268" i="1"/>
  <c r="I268" i="1" s="1"/>
  <c r="H267" i="1"/>
  <c r="I267" i="1" s="1"/>
  <c r="H266" i="1"/>
  <c r="I266" i="1" s="1"/>
  <c r="H265" i="1"/>
  <c r="I265" i="1" s="1"/>
  <c r="H264" i="1"/>
  <c r="I264" i="1" s="1"/>
  <c r="H263" i="1"/>
  <c r="I263" i="1" s="1"/>
  <c r="H262" i="1"/>
  <c r="I262" i="1" s="1"/>
  <c r="H261" i="1"/>
  <c r="I261" i="1" s="1"/>
  <c r="H260" i="1"/>
  <c r="I260" i="1" s="1"/>
  <c r="H259" i="1"/>
  <c r="I259" i="1" s="1"/>
  <c r="H258" i="1"/>
  <c r="I258" i="1" s="1"/>
  <c r="H257" i="1"/>
  <c r="I257" i="1" s="1"/>
  <c r="H256" i="1"/>
  <c r="I256" i="1" s="1"/>
  <c r="H255" i="1"/>
  <c r="I255" i="1" s="1"/>
  <c r="H254" i="1"/>
  <c r="I254" i="1" s="1"/>
  <c r="I253" i="1" s="1"/>
  <c r="F36" i="1"/>
  <c r="H8" i="2"/>
  <c r="H7" i="2"/>
  <c r="H6" i="2"/>
  <c r="H4" i="2"/>
  <c r="H3" i="2"/>
  <c r="I158" i="1"/>
  <c r="I157" i="1" s="1"/>
  <c r="I156" i="1"/>
  <c r="I154" i="1" s="1"/>
  <c r="I155" i="1"/>
  <c r="F153" i="1"/>
  <c r="F152" i="1"/>
  <c r="F150" i="1"/>
  <c r="F149" i="1"/>
  <c r="F148" i="1"/>
  <c r="F146" i="1"/>
  <c r="F145" i="1"/>
  <c r="F144" i="1"/>
  <c r="F142" i="1"/>
  <c r="F141" i="1"/>
  <c r="F140" i="1"/>
  <c r="F139" i="1"/>
  <c r="F138" i="1"/>
  <c r="F136" i="1"/>
  <c r="F135" i="1"/>
  <c r="F133" i="1"/>
  <c r="F132" i="1"/>
  <c r="F131" i="1"/>
  <c r="F130" i="1"/>
  <c r="I119" i="1"/>
  <c r="I106" i="1"/>
  <c r="F67" i="1"/>
  <c r="F64" i="1"/>
  <c r="F63" i="1"/>
  <c r="I56" i="1"/>
  <c r="I55" i="1" s="1"/>
  <c r="F56" i="1"/>
  <c r="F49" i="1"/>
  <c r="F43" i="1"/>
  <c r="F42" i="1"/>
  <c r="F41" i="1"/>
  <c r="F37" i="1"/>
  <c r="F32" i="1"/>
  <c r="F30" i="1"/>
  <c r="F28" i="1"/>
  <c r="F27" i="1"/>
  <c r="F26" i="1"/>
  <c r="F23" i="1"/>
  <c r="F22" i="1"/>
  <c r="F20" i="1"/>
  <c r="F18" i="1"/>
  <c r="F15" i="1"/>
  <c r="F14" i="1"/>
  <c r="F13" i="1"/>
  <c r="F12" i="1"/>
  <c r="I9" i="1"/>
  <c r="I8" i="1" s="1"/>
  <c r="I6" i="1"/>
  <c r="I5" i="1" s="1"/>
  <c r="C7" i="3" l="1"/>
  <c r="I85" i="1"/>
  <c r="I84" i="1" s="1"/>
  <c r="I100" i="1"/>
  <c r="I73" i="1"/>
  <c r="I68" i="1"/>
  <c r="I79" i="1"/>
  <c r="I365" i="1"/>
  <c r="I340" i="1"/>
  <c r="I302" i="1" s="1"/>
  <c r="I277" i="1" s="1"/>
  <c r="I191" i="1" s="1"/>
  <c r="I25" i="1"/>
  <c r="I58" i="1"/>
  <c r="I45" i="1"/>
  <c r="I137" i="1" l="1"/>
  <c r="I128" i="1"/>
  <c r="I57" i="1"/>
  <c r="I38" i="1"/>
  <c r="I29" i="1"/>
  <c r="I19" i="1"/>
  <c r="I11" i="1"/>
  <c r="I105" i="1" l="1"/>
</calcChain>
</file>

<file path=xl/sharedStrings.xml><?xml version="1.0" encoding="utf-8"?>
<sst xmlns="http://schemas.openxmlformats.org/spreadsheetml/2006/main" count="1732" uniqueCount="855">
  <si>
    <t>Obra</t>
  </si>
  <si>
    <t>Bancos</t>
  </si>
  <si>
    <t>B.D.I.</t>
  </si>
  <si>
    <t>Encargos Sociais</t>
  </si>
  <si>
    <t>ORÇAMENTO CASAS DE PASSAGEM KAINGANG - HORTO MUNICIPAL</t>
  </si>
  <si>
    <t>Orçamento Sintético</t>
  </si>
  <si>
    <t>Item</t>
  </si>
  <si>
    <t>Código</t>
  </si>
  <si>
    <t>Banco</t>
  </si>
  <si>
    <t>Descrição</t>
  </si>
  <si>
    <t>Und</t>
  </si>
  <si>
    <t>Quant.</t>
  </si>
  <si>
    <t>Valor Unit</t>
  </si>
  <si>
    <t>Valor Unit com BDI</t>
  </si>
  <si>
    <t>Total</t>
  </si>
  <si>
    <t xml:space="preserve"> 1 </t>
  </si>
  <si>
    <t>SERVIÇOS PRELIMINARES</t>
  </si>
  <si>
    <t xml:space="preserve"> 1.1 </t>
  </si>
  <si>
    <t>SINAPI</t>
  </si>
  <si>
    <t>FORNECIMENTO E INSTALAÇÃO DE PLACA DE OBRA COM CHAPA GALVANIZADA E ESTRUTURA DE MADEIRA. AF_03/2022_PS</t>
  </si>
  <si>
    <t>m²</t>
  </si>
  <si>
    <t xml:space="preserve"> 2 </t>
  </si>
  <si>
    <t>BANHEIROS NOVOS E COZINHA</t>
  </si>
  <si>
    <t xml:space="preserve"> 2.1 </t>
  </si>
  <si>
    <t>SERVIÇOS INICIAIS</t>
  </si>
  <si>
    <t xml:space="preserve"> 2.1.3 </t>
  </si>
  <si>
    <t xml:space="preserve"> 99059 </t>
  </si>
  <si>
    <t>LOCACAO CONVENCIONAL DE OBRA, UTILIZANDO GABARITO DE TÁBUAS CORRIDAS PONTALETADAS A CADA 2,00M -  2 UTILIZAÇÕES. AF_10/2018</t>
  </si>
  <si>
    <t>M</t>
  </si>
  <si>
    <t xml:space="preserve"> 2.2 </t>
  </si>
  <si>
    <t>ARQUITETÔNICO</t>
  </si>
  <si>
    <t xml:space="preserve"> 2.2.1 </t>
  </si>
  <si>
    <t>ALVENARIA</t>
  </si>
  <si>
    <t xml:space="preserve"> 2.2.1.1 </t>
  </si>
  <si>
    <t>ALVENARIA DE VEDAÇÃO DE BLOCOS CERÂMICOS FURADOS NA HORIZONTAL DE 14X19X29 CM (ESPESSURA 14 CM) E ARGAMASSA DE ASSENTAMENTO COM PREPARO EM BETONEIRA. AF_12/2021</t>
  </si>
  <si>
    <t>CHAPISCO APLICADO EM ALVENARIAS E ESTRUTURAS DE CONCRETO INTERNAS, COM COLHER DE PEDREIRO. ARGAMASSA TRAÇO 1:3 COM PREPARO EM BETONEIRA 400L. AF_10/2022</t>
  </si>
  <si>
    <t>CHAPISCO APLICADO EM ALVENARIA (COM PRESENÇA DE VÃOS) E ESTRUTURAS DE CONCRETO DE FACHADA, COM COLHER DE PEDREIRO. ARGAMASSA TRAÇO 1:3 COM PREPARO EM BETONEIRA 400L. AF_10/2022</t>
  </si>
  <si>
    <t>EMBOÇO OU MASSA ÚNICA EM ARGAMASSA TRAÇO 1:2:8, PREPARO MANUAL, APLICADA MANUALMENTE COM PRESENÇA DE VÃOS, ESPESSURA DE 25 MM. AF_08/2022</t>
  </si>
  <si>
    <t>VERGA PRÉ FABRICADA, ESPESSURA DE 15CM</t>
  </si>
  <si>
    <t>CONTRAVERGA PRÉ FABRICADA, ESPESSURA DE 15CM</t>
  </si>
  <si>
    <t>DIVISORIA SANITÁRIA, TIPO CABINE, EM PAINEL DE GRANILITE, ESP = 3CM, ASSENTADO COM ARGAMASSA COLANTE AC III-E. AF_01/2021</t>
  </si>
  <si>
    <t xml:space="preserve"> 2.2.2 </t>
  </si>
  <si>
    <t>PISOS</t>
  </si>
  <si>
    <t xml:space="preserve"> 2.2.2.1 </t>
  </si>
  <si>
    <t xml:space="preserve"> 96386 </t>
  </si>
  <si>
    <t>EXECUÇÃO E COMPACTAÇÃO DE ATERRO COM SOLO PREDOMINANTEMENTE ARENOSO - EXCLUSIVE SOLO, ESCAVAÇÃO, CARGA E TRANSPORTE. AF_11/2019</t>
  </si>
  <si>
    <t>m³</t>
  </si>
  <si>
    <t>ATERRO MANUAL DE VALAS COM AREIA PARA ATERRO. AF_08/2023</t>
  </si>
  <si>
    <t>CONCRETO FCK = 20MPA, TRAÇO 1:2,7:3 (EM MASSA SECA DE CIMENTO/ AREIA MÉDIA/ BRITA 1) - PREPARO MECÂNICO COM BETONEIRA 400 L. AF_05/2021</t>
  </si>
  <si>
    <t>LASTRO COM MATERIAL GRANULAR, APLICADO EM PISOS OU LAJES SOBRE SOLO, ESPESSURA DE *5 CM*. AF_01/2024</t>
  </si>
  <si>
    <t>REVESTIMENTO CERÂMICO PARA PISO COM PLACAS TIPO ESMALTADA DE DIMENSÕES 35X35 CM APLICADA EM AMBIENTES DE ÁREA MAIOR QUE 10 M2. AF_02/2023_PE</t>
  </si>
  <si>
    <t xml:space="preserve"> 2.2.3 </t>
  </si>
  <si>
    <t>REVESTIMENTOS</t>
  </si>
  <si>
    <t xml:space="preserve"> 2.2.3.1 </t>
  </si>
  <si>
    <t>REVESTIMENTO CERÂMICO PARA PAREDES INTERNAS COM PLACAS TIPO ESMALTADA DE DIMENSÕES 33X45 CM APLICADAS A MEIA ALTURA DAS PAREDES. AF_02/2023_PE</t>
  </si>
  <si>
    <t xml:space="preserve"> 2.2.3.2 </t>
  </si>
  <si>
    <t xml:space="preserve"> 88485 </t>
  </si>
  <si>
    <t>APLICAÇÃO DE FUNDO SELADOR ACRÍLICO EM PAREDES, UMA DEMÃO. AF_06/2014</t>
  </si>
  <si>
    <t xml:space="preserve"> 2.2.3.3 </t>
  </si>
  <si>
    <t xml:space="preserve"> 88489 </t>
  </si>
  <si>
    <t>APLICAÇÃO MANUAL DE PINTURA COM TINTA LÁTEX ACRÍLICA EM PAREDES, DUAS DEMÃOS. AF_06/2014</t>
  </si>
  <si>
    <t xml:space="preserve"> 2.2.4 </t>
  </si>
  <si>
    <t>ESQUADRIAS</t>
  </si>
  <si>
    <t xml:space="preserve"> 2.2.4.1 </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</si>
  <si>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</si>
  <si>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COMPOSIÇÃO 01</t>
  </si>
  <si>
    <t>JANELA BASCULANTE, EM ALUMINIO, 40 X 40 CM (A X L), COM VIDRO 4 MM, SEM GUARNICAO/ALIZAR - INCLUSIVE INSTALAÇÃO</t>
  </si>
  <si>
    <t>UN</t>
  </si>
  <si>
    <t>PORTA EM ALUMÍNIO DE ABRIR TIPO VENEZIANA COM GUARNIÇÃO, FIXAÇÃO COM PARAFUSOS - FORNECIMENTO E INSTALAÇÃO. AF_12/2019</t>
  </si>
  <si>
    <t>M²</t>
  </si>
  <si>
    <t>PORTA DE MADEIRA, MACIÇA (PESADA OU SUPERPESADA), 90X210CM, ESPESSURA DE 3,5CM, INCLUSO DOBRADIÇAS - FORNECIMENTO E INSTALAÇÃO. AF_12/2019 (wc pne)</t>
  </si>
  <si>
    <t>FECHADURA DE EMBUTIR PARA PORTA DE BANHEIRO, COMPLETA, ACABAMENTO PADRÃO POPULAR, INCLUSO EXECUÇÃO DE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</si>
  <si>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</si>
  <si>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CAERN</t>
  </si>
  <si>
    <t>PORTA DE MADEIRA MAÇICA DE GIRO, COM FECHADURA E DOBRADIÇAS - FORNECIMENTO E INSTALAÇÃO. R_05/2021 (cozinha)</t>
  </si>
  <si>
    <t>PINTURA VERNIZ (INCOLOR) ALQUÍDICO EM MADEIRA, USO INTERNO E EXTERNO, 2 DEMÃOS. AF_01/2021</t>
  </si>
  <si>
    <t xml:space="preserve"> 2.2.5 </t>
  </si>
  <si>
    <t>TETO</t>
  </si>
  <si>
    <t xml:space="preserve"> 2.2.5.1 </t>
  </si>
  <si>
    <t>INSTALAÇÃO DE TESOURA (INTEIRA OU MEIA), BIAPOIADA, EM MADEIRA NÃO APARELHADA, PARA VÃOS MAIORES OU IGUAIS A 3,0 M E MENORES QUE 6,0 M, INCLUSO IÇAMENTO. AF_07/2019</t>
  </si>
  <si>
    <t xml:space="preserve"> 2.2.5.2 </t>
  </si>
  <si>
    <t>INSTALAÇÃO DE TESOURA (INTEIRA OU MEIA), BIAPOIADA, EM MADEIRA NÃO APARELHADA, PARA VÃOS MAIORES OU IGUAIS A 8,0 M E MENORES QUE 10,0 M, INCLUSO IÇAMENTO. AF_07/2019</t>
  </si>
  <si>
    <t>TRAMA DE MADEIRA COMPOSTA POR TERÇAS PARA TELHADOS DE ATÉ 2 ÁGUAS PARA TELHA ONDULADA DE FIBROCIMENTO, METÁLICA, PLÁSTICA OU TERMOACÚSTICA, INCLUSO TRANSPORTE VERTICAL. AF_07/2019</t>
  </si>
  <si>
    <t xml:space="preserve"> 94207 </t>
  </si>
  <si>
    <t>TELHAMENTO COM TELHA ONDULADA DE FIBROCIMENTO E = 6 MM, COM RECOBRIMENTO LATERAL DE 1/4 DE ONDA PARA TELHADO COM INCLINAÇÃO MAIOR QUE 10°, COM ATÉ 2 ÁGUAS, INCLUSO IÇAMENTO. AF_07/2019</t>
  </si>
  <si>
    <t xml:space="preserve"> 94223 </t>
  </si>
  <si>
    <t>CUMEEIRA PARA TELHA DE FIBROCIMENTO ONDULADA E = 6 MM, INCLUSO ACESSÓRIOS DE FIXAÇÃO E IÇAMENTO. AF_07/2019</t>
  </si>
  <si>
    <t xml:space="preserve"> 96486 </t>
  </si>
  <si>
    <t>FORRO DE PVC, LISO, PARA AMBIENTES COMERCIAIS, INCLUSIVE ESTRUTURA DE FIXAÇÃO. AF_05/2017_P</t>
  </si>
  <si>
    <t xml:space="preserve"> 2.2.6 </t>
  </si>
  <si>
    <t>EQUPAMENTOS</t>
  </si>
  <si>
    <t xml:space="preserve"> 2.2.6.1 </t>
  </si>
  <si>
    <t>VASO SANITÁRIO SIFONADO COM CAIXA ACOPLADA LOUÇA BRANCA - FORNECIMENTO E INSTALAÇÃO. AF_01/2020</t>
  </si>
  <si>
    <t>UNIDADE</t>
  </si>
  <si>
    <t xml:space="preserve"> 2.2.6.2 </t>
  </si>
  <si>
    <t>LAVATÓRIO LOUÇA BRANCA COM COLUNA, *44 X 35,5* CM, PADRÃO POPULAR - FORNECIMENTO E INSTALAÇÃO. AF_01/2020</t>
  </si>
  <si>
    <t>VASO SANITARIO INFANTIL SIFONADO, PARA VALVULA DE DESCARGA, EM LOUCA BRANCA, COM ACESSORIOS, INCLUSIVE ASSENTO PLASTICO, BOLSA DE BORRACHA PARA LIGACAO, TUBO PVC LIGACAO - FORNECIMENTO E INSTALACAO</t>
  </si>
  <si>
    <t>ESPELHO CRISTAL, ESPESSURA 4 MM, SEM MOLDURA, ADERIDO COM ADESIVO FIXA-ESPELHO. AF_01/2021</t>
  </si>
  <si>
    <t>C1151</t>
  </si>
  <si>
    <t>SEINFRA</t>
  </si>
  <si>
    <t>DUCHA HIGIÊNICA P/ WC CROMADO (INSTALADO)</t>
  </si>
  <si>
    <t xml:space="preserve"> 100866 </t>
  </si>
  <si>
    <t>BARRA DE APOIO RETA, EM ACO INOX POLIDO, COMPRIMENTO 60CM, FIXADA NA PAREDE - FORNECIMENTO E INSTALAÇÃO. AF_01/2020</t>
  </si>
  <si>
    <t>LAVATÓRIO LOUÇA BRANCA SUSPENSO, 29,5 X 39CM OU EQUIVALENTE, PADRÃO POPULAR - FORNECIMENTO E INSTALAÇÃO. AF_01/2020</t>
  </si>
  <si>
    <t xml:space="preserve"> 86925 </t>
  </si>
  <si>
    <t>TANQUE DE MÁRMORE SINTÉTICO COM COLUNA, 22L OU EQUIVALENTE, INCLUSO SIFÃO FLEXÍVEL EM PVC, VÁLVULA PLÁSTICA E TORNEIRA DE METAL CROMADO PADRÃO POPULAR - FORNECIMENTO E INSTALAÇÃO. AF_12/2013</t>
  </si>
  <si>
    <t>VÁLVULA DE DESCARGA METÁLICA, BASE 1 1/4", ACABAMENTO METALICO CROMADO - FORNECIMENTO E INSTALAÇÃO. AF_08/2021</t>
  </si>
  <si>
    <t xml:space="preserve"> 2.2.7 </t>
  </si>
  <si>
    <t>IMPERMEBIALIZAÇÃO</t>
  </si>
  <si>
    <t xml:space="preserve"> 2.2.7.1 </t>
  </si>
  <si>
    <t>IMPERMEABILIZACAO DE ESTRUTURAS ENTERRADAS, COM TINTA ASFALTICA, DUAS DEMAOS.</t>
  </si>
  <si>
    <t xml:space="preserve"> 2.3 </t>
  </si>
  <si>
    <t>ESTRUTURAL BANHEIRO NOVO</t>
  </si>
  <si>
    <t xml:space="preserve"> 2.3.1 </t>
  </si>
  <si>
    <t>FUNDAÇÃO</t>
  </si>
  <si>
    <t xml:space="preserve"> 2.3.1.1 </t>
  </si>
  <si>
    <t>FABRICAÇÃO, MONTAGEM E DESMONTAGEM DE FÔRMA PARA SAPATA, EM MADEIRA SERRADA, E=25 MM, 4 UTILIZAÇÕES. AF_01/2024</t>
  </si>
  <si>
    <t>FABRICAÇÃO, MONTAGEM E DESMONTAGEM DE FÔRMA PARA VIGA BALDRAME, EM MADEIRA SERRADA, E=25 MM, 4 UTILIZAÇÕES. AF_01/2024</t>
  </si>
  <si>
    <t>ESCAVAÇÃO MANUAL PARA BLOCO DE COROAMENTO OU SAPATA. AF_01/2024</t>
  </si>
  <si>
    <t>LASTRO DE CONCRETO MAGRO, ESPESSURA DE 5 CM. AF_01/2024</t>
  </si>
  <si>
    <t>ESCAVAÇÃO MANUAL PARA VIGA BALDRAME OU SAPATA CORRIDA. AF_01/2024</t>
  </si>
  <si>
    <t>ARMAÇÃO DE SAPATA ISOLADA, VIGA BALDRAME E SAPATA CORRIDA UTILIZANDO AÇO CA-50 DE 10 MM - MONTAGEM. AF_01/2024</t>
  </si>
  <si>
    <t>KG</t>
  </si>
  <si>
    <t>ARMAÇÃO DE SAPATA ISOLADA, VIGA BALDRAME E SAPATA CORRIDA UTILIZANDO AÇO CA-60 DE 5 MM - MONTAGEM. AF_01/2024</t>
  </si>
  <si>
    <t>ARMAÇÃO DE SAPATA ISOLADA, VIGA BALDRAME E SAPATA CORRIDA UTILIZANDO AÇO CA-50 DE 8 MM - MONTAGEM. AF_01/2024</t>
  </si>
  <si>
    <t>CONCRETO FCK = 25MPA, TRAÇO 1:2,3:2,7 (EM MASSA SECA DE CIMENTO/ AREIA MÉDIA/ BRITA 1) - PREPARO MECÂNICO COM BETONEIRA 400 L. AF_05/2021</t>
  </si>
  <si>
    <t xml:space="preserve"> 2.3.2 </t>
  </si>
  <si>
    <t>MONTAGEM E DESMONTAGEM DE FÔRMA DE PILARES RETANGULARES E ESTRUTURAS SIMILARES, PÉ-DIREITO SIMPLES, EM CHAPA DE MADEIRA COMPENSADA PLASTIFICADA, 18 UTILIZAÇÕES. AF_09/2020</t>
  </si>
  <si>
    <t>ARMAÇÃO DE PILAR OU VIGA DE ESTRUTURA DE CONCRETO ARMADO EMBUTIDA EM ALVENARIA DE VEDAÇÃO UTILIZANDO AÇO CA-50 DE 10,0 MM - MONTAGEM. AF_06/2022</t>
  </si>
  <si>
    <t>kg</t>
  </si>
  <si>
    <t>ARMAÇÃO DE PILAR OU VIGA DE ESTRUTURA DE CONCRETO ARMADO EMBUTIDA EM ALVENARIA DE VEDAÇÃO UTILIZANDO AÇO CA-60 DE 5,0 MM - MONTAGEM. AF_06/2022</t>
  </si>
  <si>
    <t>VIGAS E CINTAS</t>
  </si>
  <si>
    <t>MONTAGEM E DESMONTAGEM DE FÔRMA DE VIGA, ESCORAMENTO COM GARFO DE MADEIRA, PÉ-DIREITO SIMPLES, EM CHAPA DE MADEIRA PLASTIFICADA, 18 UTILIZAÇÕES. AF_09/2020</t>
  </si>
  <si>
    <t>ARMAÇÃO DE PILAR OU VIGA DE ESTRUTURA DE CONCRETO ARMADO EMBUTIDA EM ALVENARIA DE VEDAÇÃO UTILIZANDO AÇO CA-50 DE 8,0 MM - MONTAGEM. AF_06/2022</t>
  </si>
  <si>
    <t>LAJE RESERVATÓRIO</t>
  </si>
  <si>
    <t>ARMAÇÃO DE LAJE DE ESTRUTURA CONVENCIONAL DE CONCRETO ARMADO UTILIZANDO AÇO CA-50 DE 6,3 MM - MONTAGEM. AF_06/2022</t>
  </si>
  <si>
    <t>FABRICAÇÃO DE FÔRMA PARA LAJES, EM CHAPA DE MADEIRA COMPENSADA RESINADA, E = 17 MM. AF_09/2020</t>
  </si>
  <si>
    <t>IMPERMEABILIZAÇÃO DE SUPERFÍCIE COM MEMBRANA À BASE DE RESINA ACRÍLICA, 3 DEMÃOS. AF_09/2023</t>
  </si>
  <si>
    <t>ESTRTURAL COZINHA</t>
  </si>
  <si>
    <t>PILARES</t>
  </si>
  <si>
    <t>INSTALAÇÕES HIDROSANITÁRIAS</t>
  </si>
  <si>
    <t xml:space="preserve"> 2.4.1 </t>
  </si>
  <si>
    <t>ÁGUA FRIA</t>
  </si>
  <si>
    <t xml:space="preserve"> 89402 </t>
  </si>
  <si>
    <t>TUBO, PVC, SOLDÁVEL, DN 25MM, INSTALADO EM RAMAL DE DISTRIBUIÇÃO DE ÁGUA - FORNECIMENTO E INSTALAÇÃO. AF_12/2014</t>
  </si>
  <si>
    <t xml:space="preserve"> 89403 </t>
  </si>
  <si>
    <t>TUBO, PVC, SOLDÁVEL, DN 32MM, INSTALADO EM RAMAL DE DISTRIBUIÇÃO DE ÁGUA - FORNECIMENTO E INSTALAÇÃO. AF_06/2022</t>
  </si>
  <si>
    <t xml:space="preserve"> 89448 </t>
  </si>
  <si>
    <t>TUBO, PVC, SOLDÁVEL, DN 40MM, INSTALADO EM PRUMADA DE ÁGUA - FORNECIMENTO E INSTALAÇÃO. AF_06/2022</t>
  </si>
  <si>
    <t xml:space="preserve"> 89408 </t>
  </si>
  <si>
    <t>JOELHO 90 GRAUS, PVC, SOLDÁVEL, DN 25MM, INSTALADO EM RAMAL DE DISTRIBUIÇÃO DE ÁGUA - FORNECIMENTO E INSTALAÇÃO. AF_12/2014</t>
  </si>
  <si>
    <t xml:space="preserve"> 89413 </t>
  </si>
  <si>
    <t>JOELHO 90 GRAUS, PVC, SOLDÁVEL, DN 32MM, INSTALADO EM RAMAL DE DISTRIBUIÇÃO DE ÁGUA - FORNECIMENTO E INSTALAÇÃO. AF_06/2022</t>
  </si>
  <si>
    <t xml:space="preserve"> 89497 </t>
  </si>
  <si>
    <t>JOELHO 90 GRAUS, PVC, SOLDÁVEL, DN 40MM, INSTALADO EM PRUMADA DE ÁGUA - FORNECIMENTO E INSTALAÇÃO. AF_06/2022</t>
  </si>
  <si>
    <t xml:space="preserve"> 89617 </t>
  </si>
  <si>
    <t>TE, PVC, SOLDÁVEL, DN 25MM, INSTALADO EM PRUMADA DE ÁGUA - FORNECIMENTO E INSTALAÇÃO. AF_06/2022</t>
  </si>
  <si>
    <t xml:space="preserve"> 1169 </t>
  </si>
  <si>
    <t>ORSE</t>
  </si>
  <si>
    <t>Tê 90º de pvc rígido soldável, marrom  diâm = 32mm</t>
  </si>
  <si>
    <t>un</t>
  </si>
  <si>
    <t xml:space="preserve"> 89426 </t>
  </si>
  <si>
    <t>LUVA DE REDUÇÃO, PVC, SOLDÁVEL, DN 32MM X 25MM, INSTALADO EM RAMAL DE DISTRIBUIÇÃO DE ÁGUA - FORNECIMENTO E INSTALAÇÃO. AF_06/2022</t>
  </si>
  <si>
    <t>REGISTRO DE GAVETA BRUTO, LATÃO, ROSCÁVEL, 1" - FORNECIMENTO E INSTALAÇÃO. AF_08/2021</t>
  </si>
  <si>
    <t>REGISTRO DE PRESSÃO BRUTO, LATÃO, ROSCÁVEL,FORNECIMENTO E INSTALAÇÃO. AF_08/2021</t>
  </si>
  <si>
    <t>REGISTRO DE ESFERA, PVC, SOLDÁVEL, COM VOLANTE, DN 32 MM - FORNECIMENTO E INSTALAÇÃO. AF_08/2021</t>
  </si>
  <si>
    <t xml:space="preserve"> 2.4.2 </t>
  </si>
  <si>
    <t>ESGOTO SANITÁRIO</t>
  </si>
  <si>
    <t>(COMPOSIÇÃO REPRESENTATIVA) DO SERVIÇO DE INST. TUBO PVC, SÉRIE N, ESGOTO PREDIAL, 100 MM (INST. RAMAL DESCARGA, RAMAL DE ESG. SANIT., PRUMADA ESG. SANIT., VENTILAÇÃO OU SUB-COLETOR AÉREO), INCL. CONEXÕES E CORTES, FIXAÇÕES, P/ PRÉDIOS. AF_10/2015</t>
  </si>
  <si>
    <t>(COMPOSIÇÃO REPRESENTATIVA) DO SERVIÇO DE INST. TUBO PVC, SÉRIE N, ESGOTO PREDIAL, DN 75 MM, (INST. EM RAMAL DE DESCARGA, RAMAL DE ESG. SANITÁRIO, PRUMADA DE ESG. SANITÁRIO OU VENTILAÇÃO), INCL. CONEXÕES, CORTES E FIXAÇÕES, P/ PRÉDIOS. AF_10/2015</t>
  </si>
  <si>
    <t>(COMPOSIÇÃO REPRESENTATIVA) DO SERVIÇO DE INSTALAÇÃO DE TUBO DE PVC, SÉRIE NORMAL, ESGOTO PREDIAL, DN 50 MM (INSTALADO EM RAMAL DE DESCARGA OU RAMAL DE ESGOTO SANITÁRIO), INCLUSIVE CONEXÕES, CORTES E FIXAÇÕES PARA, PRÉDIOS. AF_10/2015</t>
  </si>
  <si>
    <t>TUBO PVC, SERIE NORMAL, ESGOTO PREDIAL, DN 40 MM, FORNECIDO E INSTALADO EM RAMAL DE DESCARGA OU RAMAL DE ESGOTO SANITÁRIO. AF_08/2022</t>
  </si>
  <si>
    <t xml:space="preserve"> 89710 </t>
  </si>
  <si>
    <t>RALO SECO, PVC, DN 100 X 40 MM, JUNTA SOLDÁVEL, FORNECIDO E INSTALADO EM RAMAL DE DESCARGA OU EM RAMAL DE ESGOTO SANITÁRIO. AF_12/2014</t>
  </si>
  <si>
    <t xml:space="preserve"> 89709 </t>
  </si>
  <si>
    <t>RALO SIFONADO, PVC, DN 100 X 40 MM, JUNTA SOLDÁVEL, FORNECIDO E INSTALADO EM RAMAL DE DESCARGA OU EM RAMAL DE ESGOTO SANITÁRIO. AF_12/2014</t>
  </si>
  <si>
    <t>CAIXA DE GORDURA SIMPLES, CIRCULAR, EM CONCRETO PRÉ-MOLDADO, DIÂMETRO INTERNO = 0,4 M, ALTURA INTERNA = 0,4 M. AF_12/2020</t>
  </si>
  <si>
    <t>CAIXA ENTERRADA HIDRÁULICA RETANGULAR, EM CONCRETO PRÉ-MOLDADO, DIMENSÕES INTERNAS: 0,4X0,4X0,4 M. AF_12/2020</t>
  </si>
  <si>
    <t>FOSSA SÉPTICA</t>
  </si>
  <si>
    <t>sbc</t>
  </si>
  <si>
    <t>ALVENARIA TIJOLO MACICO 0,10m REJUNTADO-CIMENTO/AREIA 1:6</t>
  </si>
  <si>
    <t xml:space="preserve"> ESCAVAÇÃO MANUAL DE VALA.</t>
  </si>
  <si>
    <t>CHAPISCO APLICADO EM ALVENARIA (SEM PRESENÇA DE VÃOS) E ESTRUTURAS DE CONCRETO DE FACHADA, COM COLHER DE PEDREIRO. ARGAMASSA TRAÇO 1:3 COM PREPARO EM BETONEIRA 400L. AF_10/2022</t>
  </si>
  <si>
    <t>EMBOÇO, EM ARGAMASSA TRAÇO 1:2:8, PREPARO MECÂNICO, APLICADO MANUALMENTE</t>
  </si>
  <si>
    <t>LASTRO COM MATERIAL GRANULAR</t>
  </si>
  <si>
    <t xml:space="preserve">ARMAÇÃO DE LAJE DE ESTRUTURA DE CONCRETO ARMADO UTILIZANDO AÇO CA-60 DE 5,0 MM </t>
  </si>
  <si>
    <t>FABRICAÇÃO, MONTAGEM E DESMONTAGEM DE FÔRMA</t>
  </si>
  <si>
    <t xml:space="preserve"> CONCRETO FCK = 25MPA PREPARO MECÂNICO COM BETONEIRA</t>
  </si>
  <si>
    <t>FILTRO ANAERÓBIO</t>
  </si>
  <si>
    <t>SUMIDOURO</t>
  </si>
  <si>
    <t xml:space="preserve"> ALVENARIA EM TIJOLO CERAMICO MACICO 5X10X20CM  PERMEÁVEL</t>
  </si>
  <si>
    <t>RESERVATÓRIO</t>
  </si>
  <si>
    <t xml:space="preserve"> 102609 </t>
  </si>
  <si>
    <t>CAIXA D´ÁGUA EM POLIETILENO, 2000 LITROS - FORNECIMENTO E INSTALAÇÃO. AF_06/2021</t>
  </si>
  <si>
    <t xml:space="preserve">TORNEIRA  DE BOIA PARA CAIXA D'ÁGUA, ROSCÁVEL, 1" - FORNECIMENTO E INSTALAÇÃO. AF_08/2021 
</t>
  </si>
  <si>
    <t>CASAS PRÉ-FABRICADAS</t>
  </si>
  <si>
    <t>MERCADO</t>
  </si>
  <si>
    <t>Casa Pré-Fabricada, peça única, 5,00x7,00m, com estrutura completa e parede externa em madeira de eucalipto selecionada, forração em pinus mais área externa de 5,00x1,00.</t>
  </si>
  <si>
    <t>BANHEIROS REFORMA</t>
  </si>
  <si>
    <t>4.1</t>
  </si>
  <si>
    <t>CANTEIRO</t>
  </si>
  <si>
    <t>4.1.1</t>
  </si>
  <si>
    <t xml:space="preserve"> 85423 </t>
  </si>
  <si>
    <t>4.2</t>
  </si>
  <si>
    <t>PAREDES E REVESTIMENTOS</t>
  </si>
  <si>
    <t>4.2.1</t>
  </si>
  <si>
    <t xml:space="preserve"> 103354 </t>
  </si>
  <si>
    <t>ALVENARIA DE VEDAÇÃO DE BLOCOS CERÂMICOS FURADOS NA HORIZONTAL DE 11,5X14X24 CM (ESPESSURA 11,5 CM) E ARGAMASSA DE ASSENTAMENTO COM PREPARO EM BETONEIRA. AF_12/2021</t>
  </si>
  <si>
    <t>4.2.2</t>
  </si>
  <si>
    <t xml:space="preserve"> 87894 </t>
  </si>
  <si>
    <t>4.2.3</t>
  </si>
  <si>
    <t xml:space="preserve"> 97622 </t>
  </si>
  <si>
    <t>4.2.4</t>
  </si>
  <si>
    <t xml:space="preserve"> 87267 </t>
  </si>
  <si>
    <t>REVESTIMENTO CERÂMICO PARA PAREDES INTERNAS COM PLACAS TIPO ESMALTADA DE DIMENSÕES 20X20 CM APLICADAS A MEIA ALTURA DAS PAREDES. AF_02/2023_PE</t>
  </si>
  <si>
    <t>4.2.5</t>
  </si>
  <si>
    <t xml:space="preserve"> 96111 </t>
  </si>
  <si>
    <t>FORRO EM RÉGUAS DE PVC, FRISADO, PARA AMBIENTES RESIDENCIAIS, INCLUSIVE ESTRUTURA UNIDIRECIONAL DE FIXAÇÃO. AF_08/2023_PS</t>
  </si>
  <si>
    <t>4.2.6</t>
  </si>
  <si>
    <t xml:space="preserve"> 87251 </t>
  </si>
  <si>
    <t>REVESTIMENTO CERÂMICO PARA PISO COM PLACAS TIPO ESMALTADA DE DIMENSÕES 45X45 CM APLICADA EM AMBIENTES DE ÁREA MAIOR QUE 10 M2. AF_02/2023_PE</t>
  </si>
  <si>
    <t>4.2.7</t>
  </si>
  <si>
    <t xml:space="preserve"> 87620 </t>
  </si>
  <si>
    <t>CONTRAPISO EM ARGAMASSA TRAÇO 1:4 (CIMENTO E AREIA), PREPARO MECÂNICO COM BETONEIRA 400 L, APLICADO EM ÁREAS SECAS SOBRE LAJE, ADERIDO, ACABAMENTO NÃO REFORÇADO, ESPESSURA 2CM. AF_07/2021</t>
  </si>
  <si>
    <t>4.3</t>
  </si>
  <si>
    <t>HIDROSSANITÁRIO</t>
  </si>
  <si>
    <t>4.3.1</t>
  </si>
  <si>
    <t xml:space="preserve"> 95470 </t>
  </si>
  <si>
    <t>VASO SANITARIO SIFONADO CONVENCIONAL COM LOUÇA BRANCA, INCLUSO CONJUNTO DE LIGAÇÃO PARA BACIA SANITÁRIA AJUSTÁVEL - FORNECIMENTO E INSTALAÇÃO. AF_01/2020</t>
  </si>
  <si>
    <t>4.3.2</t>
  </si>
  <si>
    <t xml:space="preserve"> 104327 </t>
  </si>
  <si>
    <t>RALO SIFONADO REDONDO, PVC, DN 100 X 40 MM, JUNTA SOLDÁVEL, FORNECIDO E INSTALADO EM RAMAL DE DESCARGA OU EM RAMAL DE ESGOTO SANITÁRIO. AF_08/2022</t>
  </si>
  <si>
    <t>4.3.3</t>
  </si>
  <si>
    <t xml:space="preserve"> 104662 </t>
  </si>
  <si>
    <t>CONJUNTO DE PONTOS HIDRÁULICOS DE ÁGUA FRIA PARA ÁREA DE SERVIÇO (RAMAL/SUB-RAMAL E DISTRIBUIÇÃO) EM PVC, COM TUBOS, CONEXÕES, REGISTROS, CORTES E FIXAÇÕES EM PRÉDIO COM TUBULAÇÕES EMBUTIDAS COM RASGO. AF_05/2023</t>
  </si>
  <si>
    <t>4.3.4</t>
  </si>
  <si>
    <t xml:space="preserve"> 86913 </t>
  </si>
  <si>
    <t>4.3.5</t>
  </si>
  <si>
    <t xml:space="preserve"> 89985 </t>
  </si>
  <si>
    <t>REGISTRO DE PRESSÃO BRUTO, LATÃO, ROSCÁVEL, 3/4", COM ACABAMENTO E CANOPLA CROMADOS - FORNECIMENTO E INSTALAÇÃO. AF_08/2021</t>
  </si>
  <si>
    <t>4.3.6</t>
  </si>
  <si>
    <t xml:space="preserve"> 011198 </t>
  </si>
  <si>
    <t>SBC</t>
  </si>
  <si>
    <t>SERVICO EMPREITADO-COLOCACAO DE CAIXA DE DESCARGA SOBREPOR</t>
  </si>
  <si>
    <t>4.3.7</t>
  </si>
  <si>
    <t xml:space="preserve"> 00001030 </t>
  </si>
  <si>
    <t>CAIXA DE DESCARGA PLASTICA PARA BACIA / VASO SANITARIO, EXTERNA, CAPACIDADE 9 LITROS, PUXADOR FIO DE NYLON, NAO INCLUSO CANO, BOLSA, ENGATE</t>
  </si>
  <si>
    <t>4.3.8</t>
  </si>
  <si>
    <t xml:space="preserve"> 00001031 </t>
  </si>
  <si>
    <t>TUBO DE DESCIDA EXTERNO, DE PVC, PARA CAIXA DE DESCARGA EXTERNA ALTA - DIAMETRO DE 40 MM E ALTURA DE APROXIMADAMENTE 1,55 M</t>
  </si>
  <si>
    <t>4.4</t>
  </si>
  <si>
    <t>4.4.1</t>
  </si>
  <si>
    <t xml:space="preserve"> 94569 </t>
  </si>
  <si>
    <t>4.4.2</t>
  </si>
  <si>
    <t xml:space="preserve"> 91341 </t>
  </si>
  <si>
    <t>4.4.3</t>
  </si>
  <si>
    <t>2 PORTAS 1,00 X 2,10 DE ACESSO AOS BANHEIROS, EM ALUMÍNIO DE ABRIR TIPO VENEZIANA COM GUARNIÇÃO, FIXAÇÃO COM PARAFUSOS - FORNECIMENTO E INSTALAÇÃO. AF_12/2019</t>
  </si>
  <si>
    <t>4.4.4</t>
  </si>
  <si>
    <t>8 PORTAS EM ALUMÍNIO 1,00 X 1,50 PARA FECHAMENTO DOS VASOS SANITÁRIOS, DE ABRIR TIPO VENEZIANA COM GUARNIÇÃO, FIXAÇÃO COM PARAFUSOS - FORNECIMENTO E INSTALAÇÃO. AF_12/2019</t>
  </si>
  <si>
    <t>4.5</t>
  </si>
  <si>
    <t>REPARO DE ESTRUTURA</t>
  </si>
  <si>
    <t>4.5.1</t>
  </si>
  <si>
    <t xml:space="preserve"> SAR_41 </t>
  </si>
  <si>
    <t>Próprio</t>
  </si>
  <si>
    <t>REFORÇO E RECOMPOSIÇÃO DE ARMADURA E ESTRUTURA  (PILAR/VIGA)</t>
  </si>
  <si>
    <t>4.6</t>
  </si>
  <si>
    <t>PINTURA</t>
  </si>
  <si>
    <t>4.6.1</t>
  </si>
  <si>
    <t xml:space="preserve"> 95626 </t>
  </si>
  <si>
    <t>APLICAÇÃO MANUAL DE TINTA LÁTEX ACRÍLICA EM PAREDE EXTERNAS DE CASAS, DUAS DEMÃOS. AF_03/2024</t>
  </si>
  <si>
    <t>4.6.2</t>
  </si>
  <si>
    <t>FUNDO SELADOR ACRÍLICO, APLICAÇÃO MANUAL EM PAREDE, UMA DEMÃO. AF_04/2023</t>
  </si>
  <si>
    <t>4.7</t>
  </si>
  <si>
    <t>LIMPEZA FINAL</t>
  </si>
  <si>
    <t>4.7.1</t>
  </si>
  <si>
    <t xml:space="preserve"> 9537 </t>
  </si>
  <si>
    <t>LIMPEZA FINAL DA OBRA</t>
  </si>
  <si>
    <t>INSTALAÇÕES ELÉTRICAS CASAS DE PASSAGEM INDIGENA HORTO FLORESTAL CASSINO</t>
  </si>
  <si>
    <t>5.1</t>
  </si>
  <si>
    <t>CASA DE PASSAGEM DE ALDEIA 01 - KAINGANG DE IRAÍ</t>
  </si>
  <si>
    <t>5.1.1</t>
  </si>
  <si>
    <t>ENTRADA DE ENERGIA MEDIÇÃO 01</t>
  </si>
  <si>
    <t>5.1.1.1</t>
  </si>
  <si>
    <t xml:space="preserve"> 09.52.002 </t>
  </si>
  <si>
    <t>FDE</t>
  </si>
  <si>
    <t>REMOCAO DE POSTE DE CONCRETO DE ENTRADA EM B.T.</t>
  </si>
  <si>
    <t>5.1.1.2</t>
  </si>
  <si>
    <t xml:space="preserve"> ELE_ENTRADA_ENERGIA_SEM_POSTE </t>
  </si>
  <si>
    <t>ENTRADA DE ENERGIA ELÉTRICA COMPLETA, AÉREA POSTE 7 m, TRIFÁSICA, COM MEDIÇÃO ACOPLADA, DISJUNTOR CAIXA MOLDADA 100 A FORNECIMENTO E IMPLANTAÇÃO - NÃO INCLUSO POSTE</t>
  </si>
  <si>
    <t>5.1.1.3</t>
  </si>
  <si>
    <t xml:space="preserve"> ELE_POSTE_7_200dan </t>
  </si>
  <si>
    <t>POSTE CONCRETO QUADRADO  07/200 CIF - Fornecimento e assentamento</t>
  </si>
  <si>
    <t>5.1.1.4</t>
  </si>
  <si>
    <t xml:space="preserve"> 101538 </t>
  </si>
  <si>
    <t>ARMAÇÃO SECUNDÁRIA, COM 1 ESTRIBO E 1 ISOLADOR - FORNECIMENTO E INSTALAÇÃO. AF_07/2020</t>
  </si>
  <si>
    <t>5.1.1.5</t>
  </si>
  <si>
    <t xml:space="preserve"> ELE_CABO_50_MULTIPLEXADO </t>
  </si>
  <si>
    <t>Fornecimento de cabo multiplexado para rede 3x1x50+50mm2</t>
  </si>
  <si>
    <t>m</t>
  </si>
  <si>
    <t>5.1.1.6</t>
  </si>
  <si>
    <t xml:space="preserve"> ELE_CABO_35_MULTIPLEXADO </t>
  </si>
  <si>
    <t>Fornecimento e instalação de cabo multiplexado para rede 3x1x35+35mm2</t>
  </si>
  <si>
    <t>5.1.1.7</t>
  </si>
  <si>
    <t xml:space="preserve"> 3344 </t>
  </si>
  <si>
    <t>Fornecimento de cabo multiplexado para rede 3x1x16+16mm2</t>
  </si>
  <si>
    <t>5.1.1.8</t>
  </si>
  <si>
    <t xml:space="preserve"> 3342 </t>
  </si>
  <si>
    <t>5.1.1.9</t>
  </si>
  <si>
    <t xml:space="preserve"> 3341 </t>
  </si>
  <si>
    <t>5.1.1.10</t>
  </si>
  <si>
    <t xml:space="preserve"> 12807 </t>
  </si>
  <si>
    <t>Refletor Slim  LED 50W de potência, branco Frio, 6500k, Autovolt, marca G-light ou similar</t>
  </si>
  <si>
    <t>5.1.1.11</t>
  </si>
  <si>
    <t xml:space="preserve"> 101632 </t>
  </si>
  <si>
    <t>RELÉ FOTOELÉTRICO PARA COMANDO DE ILUMINAÇÃO EXTERNA 1000 W - FORNECIMENTO E INSTALAÇÃO. AF_02/2025</t>
  </si>
  <si>
    <t>5.1.1.12</t>
  </si>
  <si>
    <t xml:space="preserve"> 4179 </t>
  </si>
  <si>
    <t>Cabo de cobre PP Cordplast 3 x 2,5 mm2, 450/750v - fornecimento</t>
  </si>
  <si>
    <t>5.1.1.13</t>
  </si>
  <si>
    <t xml:space="preserve"> CON_PIERCING </t>
  </si>
  <si>
    <t>Instalação Conector Piercing</t>
  </si>
  <si>
    <t>5.1.1.14</t>
  </si>
  <si>
    <t xml:space="preserve"> 078048 </t>
  </si>
  <si>
    <t>TERMINAL BIMETALICO A COMPRESSÃO 70 mm²</t>
  </si>
  <si>
    <t>5.1.1.15</t>
  </si>
  <si>
    <t xml:space="preserve"> 078050 </t>
  </si>
  <si>
    <t>TERMINAL BIMETALICO A COMPRESSÃO 35 mm²</t>
  </si>
  <si>
    <t>5.1.1.16</t>
  </si>
  <si>
    <t xml:space="preserve"> 078049 </t>
  </si>
  <si>
    <t>TERMINAL BIMETALICO A COMPRESSÃO 10 mm²</t>
  </si>
  <si>
    <t>5.1.1.17</t>
  </si>
  <si>
    <t xml:space="preserve"> ED-16600 </t>
  </si>
  <si>
    <t>SETOP</t>
  </si>
  <si>
    <t>DISPOSITIVO DE PROTEÇÃO CONTRA SURTOS (DPS) MONOPOLAR, CORRENTE DE INTERRUPÇÃO 20KA, INCLUSIVE TERMINAL ILHÓS</t>
  </si>
  <si>
    <t>5.1.1.18</t>
  </si>
  <si>
    <t xml:space="preserve"> 059260 </t>
  </si>
  <si>
    <t>ELETRODUTO PVC 3""</t>
  </si>
  <si>
    <t>5.1.1.19</t>
  </si>
  <si>
    <t xml:space="preserve"> 059290 </t>
  </si>
  <si>
    <t>LUVA ELETRODUTO PVC 3""</t>
  </si>
  <si>
    <t>5.1.1.20</t>
  </si>
  <si>
    <t xml:space="preserve"> 061322 </t>
  </si>
  <si>
    <t>CURVA ELETRODUTO PVC 3""</t>
  </si>
  <si>
    <t>5.1.1.21</t>
  </si>
  <si>
    <t xml:space="preserve"> 061514 </t>
  </si>
  <si>
    <t>BUCHA E ARRUELA 3""</t>
  </si>
  <si>
    <t>CJ</t>
  </si>
  <si>
    <t>5.1.1.22</t>
  </si>
  <si>
    <t xml:space="preserve"> 101664 </t>
  </si>
  <si>
    <t>5.1.1.23</t>
  </si>
  <si>
    <t xml:space="preserve"> 68.20.040 </t>
  </si>
  <si>
    <t>CPOS/CDHU</t>
  </si>
  <si>
    <t>Braçadeira circular em aço carbono galvanizado, diâmetro nominal de 140 até 300 mm</t>
  </si>
  <si>
    <t>5.1.2</t>
  </si>
  <si>
    <t>INSTALAÇÕES ELÉTRICAS BAIXA TENSÃO INTERNAS</t>
  </si>
  <si>
    <t>5.1.2.1</t>
  </si>
  <si>
    <t>BANHEIROS REFORMADOS</t>
  </si>
  <si>
    <t>5.1.2.1.1</t>
  </si>
  <si>
    <t xml:space="preserve"> 101879 </t>
  </si>
  <si>
    <t>QUADRO DE DISTRIBUIÇÃO DE ENERGIA, DE EMBUTIR, COM BARRAMENTO TRIFÁSICO, PARA 24 DISJUNTORES DIN 100A - FORNECIMENTO E INSTALAÇÃO. AF_10/2020</t>
  </si>
  <si>
    <t>5.1.2.1.2</t>
  </si>
  <si>
    <t>5.1.2.1.3</t>
  </si>
  <si>
    <t xml:space="preserve"> 064035 </t>
  </si>
  <si>
    <t>DISJUNTOR DIN TRIPOLAR 100A CURVA C STECK</t>
  </si>
  <si>
    <t>5.1.2.1.4</t>
  </si>
  <si>
    <t xml:space="preserve"> ED-5443 </t>
  </si>
  <si>
    <t>DISJUNTOR DE PROTEÇÃO DIFERENCIAL RESIDUAL (DR), TETRAPOLAR TIPO DIN, CORRENTE NOMINAL DE 100A, SENSIBILIDADE DE 30MA, FORNECIMENTO E INSTALAÇÃO, INCLUSIVE TERMINAL ILHÓS</t>
  </si>
  <si>
    <t>5.1.2.1.5</t>
  </si>
  <si>
    <t xml:space="preserve"> 93653 </t>
  </si>
  <si>
    <t>DISJUNTOR MONOPOLAR TIPO DIN, CORRENTE NOMINAL DE 10A - FORNECIMENTO E INSTALAÇÃO. AF_10/2020</t>
  </si>
  <si>
    <t>5.1.2.1.6</t>
  </si>
  <si>
    <t xml:space="preserve"> 93655 </t>
  </si>
  <si>
    <t>DISJUNTOR MONOPOLAR TIPO DIN, CORRENTE NOMINAL DE 20A - FORNECIMENTO E INSTALAÇÃO. AF_10/2020</t>
  </si>
  <si>
    <t>5.1.2.1.7</t>
  </si>
  <si>
    <t xml:space="preserve"> 93662 </t>
  </si>
  <si>
    <t>DISJUNTOR BIPOLAR TIPO DIN, CORRENTE NOMINAL DE 20A - FORNECIMENTO E INSTALAÇÃO. AF_10/2020</t>
  </si>
  <si>
    <t>5.1.2.1.8</t>
  </si>
  <si>
    <t xml:space="preserve"> 93665 </t>
  </si>
  <si>
    <t>DISJUNTOR BIPOLAR TIPO DIN, CORRENTE NOMINAL DE 40A - FORNECIMENTO E INSTALAÇÃO. AF_10/2020</t>
  </si>
  <si>
    <t>5.1.2.1.9</t>
  </si>
  <si>
    <t xml:space="preserve"> 671 </t>
  </si>
  <si>
    <t>Caixa de derivação em pvc 4" x 2" s/tampa, embutir, p/eletroduto</t>
  </si>
  <si>
    <t>5.1.2.1.10</t>
  </si>
  <si>
    <t xml:space="preserve"> 777 </t>
  </si>
  <si>
    <t>Caixa octogonal 4" x 4", em pvc, p/ ponto de luz embutido</t>
  </si>
  <si>
    <t>5.1.2.1.11</t>
  </si>
  <si>
    <t xml:space="preserve"> 97668 </t>
  </si>
  <si>
    <t>ELETRODUTO FLEXÍVEL CORRUGADO, PEAD, DN 63 (2"), PARA REDE ENTERRADA DE DISTRIBUIÇÃO DE ENERGIA ELÉTRICA - FORNECIMENTO E INSTALAÇÃO. AF_12/2021</t>
  </si>
  <si>
    <t>5.1.2.1.12</t>
  </si>
  <si>
    <t xml:space="preserve"> 91856 </t>
  </si>
  <si>
    <t>ELETRODUTO FLEXÍVEL CORRUGADO, PVC, DN 32 MM (1"), PARA CIRCUITOS TERMINAIS, INSTALADO EM PAREDE - FORNECIMENTO E INSTALAÇÃO. AF_03/2023</t>
  </si>
  <si>
    <t>5.1.2.1.13</t>
  </si>
  <si>
    <t xml:space="preserve"> 071043 </t>
  </si>
  <si>
    <t>AGETOP CIVIL</t>
  </si>
  <si>
    <t>CONECTOR TRIPOLAR EM PORCELANA PARA FIOS DE ATÉ 10MM2 (BORNES) 50A-250V (CHUVEIRO)</t>
  </si>
  <si>
    <t>5.1.2.1.14</t>
  </si>
  <si>
    <t xml:space="preserve"> 91854 </t>
  </si>
  <si>
    <t>ELETRODUTO FLEXÍVEL CORRUGADO, PVC, DN 25 MM (3/4"), PARA CIRCUITOS TERMINAIS, INSTALADO EM PAREDE - FORNECIMENTO E INSTALAÇÃO. AF_03/2023</t>
  </si>
  <si>
    <t>5.1.2.1.15</t>
  </si>
  <si>
    <t xml:space="preserve"> 91959 </t>
  </si>
  <si>
    <t>INTERRUPTOR SIMPLES (2 MÓDULOS), 10A/250V, INCLUINDO SUPORTE E PLACA - FORNECIMENTO E INSTALAÇÃO. AF_03/2023</t>
  </si>
  <si>
    <t>5.1.2.1.16</t>
  </si>
  <si>
    <t xml:space="preserve"> 91997 </t>
  </si>
  <si>
    <t>TOMADA MÉDIA DE EMBUTIR (1 MÓDULO), 2P+T 20 A, INCLUINDO SUPORTE E PLACA - FORNECIMENTO E INSTALAÇÃO. AF_03/2023</t>
  </si>
  <si>
    <t>5.1.2.1.17</t>
  </si>
  <si>
    <t>TOMADA MÉDIA DE EMBUTIR (1 MÓDULO VERMELHO), 2P+T 20 A, INCLUINDO SUPORTE E PLACA - FORNECIMENTO E INSTALAÇÃO. AF_03/2023</t>
  </si>
  <si>
    <t>5.1.2.1.18</t>
  </si>
  <si>
    <t xml:space="preserve"> 97607 </t>
  </si>
  <si>
    <t>LUMINÁRIA ARANDELA TIPO TARTARUGA, DE SOBREPOR, COM 1 LÂMPADA LED DE 15 W, SEM REATOR - FORNECIMENTO E INSTALAÇÃO. AF_09/2024</t>
  </si>
  <si>
    <t>5.1.2.1.19</t>
  </si>
  <si>
    <t xml:space="preserve"> 97589 </t>
  </si>
  <si>
    <t>LUMINÁRIA TIPO PLAFON EM PLÁSTICO, DE SOBREPOR, COM 1 LÂMPADA DE 15 W, - FORNECIMENTO E INSTALAÇÃO. AF_11/2017</t>
  </si>
  <si>
    <t>5.1.2.1.20</t>
  </si>
  <si>
    <t xml:space="preserve"> 91930 </t>
  </si>
  <si>
    <t>CABO DE COBRE FLEXÍVEL ISOLADO, 6 MM², ANTI-CHAMA 450/750 V, PARA CIRCUITOS TERMINAIS - FORNECIMENTO E INSTALAÇÃO. AF_03/2023</t>
  </si>
  <si>
    <t>5.1.2.1.21</t>
  </si>
  <si>
    <t xml:space="preserve"> 91926 </t>
  </si>
  <si>
    <t>CABO DE COBRE FLEXÍVEL ISOLADO, 2,5 MM², ANTI-CHAMA 450/750 V, PARA CIRCUITOS TERMINAIS - FORNECIMENTO E INSTALAÇÃO. AF_03/2023</t>
  </si>
  <si>
    <t>5.1.2.1.22</t>
  </si>
  <si>
    <t xml:space="preserve"> 91928 </t>
  </si>
  <si>
    <t>CABO DE COBRE FLEXÍVEL ISOLADO, 4 MM², ANTI-CHAMA 450/750 V, PARA CIRCUITOS TERMINAIS - FORNECIMENTO E INSTALAÇÃO. AF_03/2023</t>
  </si>
  <si>
    <t>5.1.2.1.23</t>
  </si>
  <si>
    <t xml:space="preserve"> 190535 </t>
  </si>
  <si>
    <t>CHUVEIRO ELETRICO/ DUCHA FASHION BRANCA - LORENZETTI</t>
  </si>
  <si>
    <t>5.1.2.1.24</t>
  </si>
  <si>
    <t xml:space="preserve"> 061321 </t>
  </si>
  <si>
    <t>CURVA ELETRODUTO PVC 2""</t>
  </si>
  <si>
    <t>5.1.2.1.25</t>
  </si>
  <si>
    <t xml:space="preserve"> 059261 </t>
  </si>
  <si>
    <t>ELETRODUTO PVC 2""</t>
  </si>
  <si>
    <t>5.1.2.1.26</t>
  </si>
  <si>
    <t xml:space="preserve"> 059123 </t>
  </si>
  <si>
    <t>LUVA ELETRODUTO PVC 2""</t>
  </si>
  <si>
    <t>5.1.2.1.27</t>
  </si>
  <si>
    <t xml:space="preserve"> 059673 </t>
  </si>
  <si>
    <t>BUCHA E ARRUELA 2""</t>
  </si>
  <si>
    <t>5.1.2.1.28</t>
  </si>
  <si>
    <t>ABRAÇADEIRA 2" - FORNECIMENTO E INSTALAÇÃO. AF_02/2025</t>
  </si>
  <si>
    <t>5.1.2.1.29</t>
  </si>
  <si>
    <t xml:space="preserve"> 7872 </t>
  </si>
  <si>
    <t>Fornecimento e instalação de caixa de passagem pvc 20 x 20 cm</t>
  </si>
  <si>
    <t>5.1.2.1.30</t>
  </si>
  <si>
    <t xml:space="preserve"> 059670 </t>
  </si>
  <si>
    <t>BUCHA E ARRUELA 3/4""</t>
  </si>
  <si>
    <t>5.1.2.1.31</t>
  </si>
  <si>
    <t xml:space="preserve"> 059080 </t>
  </si>
  <si>
    <t>BUCHA E ARRUELA 1""</t>
  </si>
  <si>
    <t>5.1.2.1.32</t>
  </si>
  <si>
    <t xml:space="preserve"> 90447 </t>
  </si>
  <si>
    <t>RASGO LINEAR MANUAL EM ALVENARIA, PARA ELETRODUTOS, DIÂMETROS MENORES OU IGUAIS A 40 MM. AF_09/2023</t>
  </si>
  <si>
    <t>5.1.2.1.33</t>
  </si>
  <si>
    <t xml:space="preserve"> 91222 </t>
  </si>
  <si>
    <t>RASGO LINEAR MANUAL EM ALVENARIA, PARA RAMAIS/ DISTRIBUIÇÃO DE INSTALAÇÕES HIDRÁULICAS, DIÂMETROS MAIORES QUE 40 MM E MENORES OU IGUAIS A 75 MM. AF_09/2023</t>
  </si>
  <si>
    <t>5.1.2.1.34</t>
  </si>
  <si>
    <t xml:space="preserve"> 104835 </t>
  </si>
  <si>
    <t>ARGAMASSA DE ASSENTAMENTO DE ALVENARIA DE VEDAÇÃO E REVESTIMENTO INTERNO, TRAÇO EM VOLUME SECO 1:1:3:3,8 (CIMENTO:CAL:AREIA NATURAL MÉDIA:AREIA RECICLADA), COM USO -  PREPARO MANUAL - 0,07x0,07x60m</t>
  </si>
  <si>
    <t>5.1.2.2</t>
  </si>
  <si>
    <t>INSTALAÇÕES CASAS E QUIOSQUE</t>
  </si>
  <si>
    <t>5.1.2.2.1</t>
  </si>
  <si>
    <t xml:space="preserve"> 101873 </t>
  </si>
  <si>
    <t>QUADRO DE DISTRIBUIÇÃO DE LUZ EM PVC PARA 12 DISJUNTORES - FORNECIMENTO E INSTALAÇÃO. AF_10/2020</t>
  </si>
  <si>
    <t>5.1.2.2.2</t>
  </si>
  <si>
    <t xml:space="preserve"> ED-15114 </t>
  </si>
  <si>
    <t>5.1.2.2.3</t>
  </si>
  <si>
    <t xml:space="preserve"> ED-5437 </t>
  </si>
  <si>
    <t>5.1.2.2.4</t>
  </si>
  <si>
    <t xml:space="preserve"> 93663 </t>
  </si>
  <si>
    <t>DISJUNTOR BIPOLAR TIPO DIN, CORRENTE NOMINAL DE 25A - FORNECIMENTO E INSTALAÇÃO. AF_10/2020</t>
  </si>
  <si>
    <t>5.1.2.2.5</t>
  </si>
  <si>
    <t>5.1.2.2.6</t>
  </si>
  <si>
    <t xml:space="preserve"> 93654 </t>
  </si>
  <si>
    <t>DISJUNTOR MONOPOLAR TIPO DIN, CORRENTE NOMINAL DE 16A - FORNECIMENTO E INSTALAÇÃO. AF_10/2020</t>
  </si>
  <si>
    <t>5.1.2.2.7</t>
  </si>
  <si>
    <t xml:space="preserve"> 93661 </t>
  </si>
  <si>
    <t>DISJUNTOR BIPOLAR TIPO DIN, CORRENTE NOMINAL DE 16A - FORNECIMENTO E INSTALAÇÃO. AF_10/2020</t>
  </si>
  <si>
    <t>5.1.2.2.8</t>
  </si>
  <si>
    <t xml:space="preserve"> 95727 </t>
  </si>
  <si>
    <t>ELETRODUTO RÍGIDO SOLDÁVEL, PVC, DN 25 MM (3/4"), APARENTE - FORNECIMENTO E INSTALAÇÃO. AF_10/2022</t>
  </si>
  <si>
    <t>5.1.2.2.9</t>
  </si>
  <si>
    <t xml:space="preserve"> 95728 </t>
  </si>
  <si>
    <t>ELETRODUTO RÍGIDO SOLDÁVEL, PVC, DN 32 MM (1"), APARENTE - FORNECIMENTO E INSTALAÇÃO. AF_10/2022</t>
  </si>
  <si>
    <t>5.1.2.2.10</t>
  </si>
  <si>
    <t>5.1.2.2.11</t>
  </si>
  <si>
    <t>5.1.2.2.12</t>
  </si>
  <si>
    <t xml:space="preserve"> 062198 </t>
  </si>
  <si>
    <t>INTERRUPTOR SIMPLES(2)+1TOMADA 2P+T10A 250V 44721 SCHNEIDER</t>
  </si>
  <si>
    <t>5.1.2.2.13</t>
  </si>
  <si>
    <t xml:space="preserve"> 13876 </t>
  </si>
  <si>
    <t>TOMADA SIMPLES 2P+T20A,  COM CONDULETE PVC 3/4 COMPLETO - FORNECIMENTO E INSTALAÇÃO</t>
  </si>
  <si>
    <t>5.1.2.2.14</t>
  </si>
  <si>
    <t>TOMADA SIMPLES 2P+T20A, MODULO VERMELHO PARA 220V,  COM CONDULETE PVC 3/4 COMPLETO - FORNECIMENTO E INSTALAÇÃO</t>
  </si>
  <si>
    <t>5.1.2.2.15</t>
  </si>
  <si>
    <t xml:space="preserve"> 12793 </t>
  </si>
  <si>
    <t>5.1.2.2.16</t>
  </si>
  <si>
    <t xml:space="preserve"> 12801 </t>
  </si>
  <si>
    <t>Lampada led tubular t8 bivolt 18/20 w, base g13</t>
  </si>
  <si>
    <t>5.1.2.2.17</t>
  </si>
  <si>
    <t xml:space="preserve"> 103782 </t>
  </si>
  <si>
    <t>LUMINÁRIA TIPO PLAFON CIRCULAR, DE SOBREPOR, COM LED DE 12/13 W - FORNECIMENTO E INSTALAÇÃO. AF_09/2024</t>
  </si>
  <si>
    <t>5.1.2.2.18</t>
  </si>
  <si>
    <t xml:space="preserve"> 97610 </t>
  </si>
  <si>
    <t>LÂMPADA COMPACTA DE LED 15 W, BASE E27 - FORNECIMENTO E INSTALAÇÃO. AF_09/2024</t>
  </si>
  <si>
    <t>5.1.2.2.19</t>
  </si>
  <si>
    <t xml:space="preserve"> 104402 </t>
  </si>
  <si>
    <t>5.1.2.2.20</t>
  </si>
  <si>
    <t>5.1.2.2.21</t>
  </si>
  <si>
    <t xml:space="preserve"> 91895 </t>
  </si>
  <si>
    <t>CURVA 180 GRAUS PARA ELETRODUTO, PVC, ROSCÁVEL, DN 32 MM (1"), PARA CIRCUITOS TERMINAIS, INSTALADA EM FORRO - FORNECIMENTO E INSTALAÇÃO. AF_03/2023</t>
  </si>
  <si>
    <t>5.1.2.2.22</t>
  </si>
  <si>
    <t xml:space="preserve"> 91876 </t>
  </si>
  <si>
    <t>LUVA PARA ELETRODUTO, PVC, ROSCÁVEL, DN 32 MM (1"), PARA CIRCUITOS TERMINAIS, INSTALADA EM FORRO - FORNECIMENTO E INSTALAÇÃO. AF_03/2023</t>
  </si>
  <si>
    <t>5.1.2.2.23</t>
  </si>
  <si>
    <t xml:space="preserve"> 101663 </t>
  </si>
  <si>
    <t>5.2</t>
  </si>
  <si>
    <t>CASA DE PASSAGEM DA ALDEIA 02 - GOJ TÁNH</t>
  </si>
  <si>
    <t>5.2.1</t>
  </si>
  <si>
    <t>ENTRADA DE ENERGIA MEDIÇÃO 02</t>
  </si>
  <si>
    <t>5.2.1.1</t>
  </si>
  <si>
    <t>ENTRADA DE ENERGIA ELÉTRICA COMPLETA, AÉREA, TRIFÁSICA, COM CAIXA DE SOBREPOR, DISJUNTOR CAIXA MOLDADA 125 OU 150 A FORNECIMENTO E IMPLANTAÇÃO - NÃO INCLUSO POSTE</t>
  </si>
  <si>
    <t>5.2.1.2</t>
  </si>
  <si>
    <t xml:space="preserve"> ELE_POSTE_DT_09_300 </t>
  </si>
  <si>
    <t>POSTE CONCRETO DUPLO T 09/300 CIF - Fornecimento e assentamento</t>
  </si>
  <si>
    <t>5.2.1.3</t>
  </si>
  <si>
    <t>5.2.1.4</t>
  </si>
  <si>
    <t>5.2.1.5</t>
  </si>
  <si>
    <t xml:space="preserve"> ELE_CABO_70_MULTIPLEXADO </t>
  </si>
  <si>
    <t>Fornecimento e instalação de cabo multiplexado para rede 3x1x70+70mm2</t>
  </si>
  <si>
    <t>5.2.1.6</t>
  </si>
  <si>
    <t>5.2.1.7</t>
  </si>
  <si>
    <t>5.2.1.8</t>
  </si>
  <si>
    <t xml:space="preserve"> IP 15.43.0200 </t>
  </si>
  <si>
    <t>SCO</t>
  </si>
  <si>
    <t>5.2.1.9</t>
  </si>
  <si>
    <t>Fornecimento de cabo multiplexado para rede 2x1x10+10mm2 - 3 VIAS</t>
  </si>
  <si>
    <t>5.2.1.10</t>
  </si>
  <si>
    <t>5.2.1.11</t>
  </si>
  <si>
    <t>5.2.1.12</t>
  </si>
  <si>
    <t>5.2.1.13</t>
  </si>
  <si>
    <t>5.2.1.14</t>
  </si>
  <si>
    <t>5.2.1.15</t>
  </si>
  <si>
    <t>5.2.1.16</t>
  </si>
  <si>
    <t>5.2.1.17</t>
  </si>
  <si>
    <t>5.2.1.18</t>
  </si>
  <si>
    <t>5.2.1.19</t>
  </si>
  <si>
    <t>5.2.1.20</t>
  </si>
  <si>
    <t>5.2.1.21</t>
  </si>
  <si>
    <t>5.2.1.22</t>
  </si>
  <si>
    <t xml:space="preserve"> 101665 </t>
  </si>
  <si>
    <t>5.2.1.23</t>
  </si>
  <si>
    <t>5.2.2</t>
  </si>
  <si>
    <t>INSTALAÇÕES ELÉTRICAS DE BAIXA TENSÃO INTERNAS</t>
  </si>
  <si>
    <t>5.2.2.1</t>
  </si>
  <si>
    <t>BANHEIROS NOVOS</t>
  </si>
  <si>
    <t>5.2.2.1.1</t>
  </si>
  <si>
    <t>5.2.2.1.2</t>
  </si>
  <si>
    <t>5.2.2.1.3</t>
  </si>
  <si>
    <t>5.2.2.1.4</t>
  </si>
  <si>
    <t>5.2.2.1.5</t>
  </si>
  <si>
    <t>5.2.2.1.6</t>
  </si>
  <si>
    <t>5.2.2.1.7</t>
  </si>
  <si>
    <t>5.2.2.1.8</t>
  </si>
  <si>
    <t>5.2.2.1.9</t>
  </si>
  <si>
    <t>5.2.2.1.10</t>
  </si>
  <si>
    <t>5.2.2.1.11</t>
  </si>
  <si>
    <t>5.2.2.1.12</t>
  </si>
  <si>
    <t>5.2.2.1.13</t>
  </si>
  <si>
    <t>5.2.2.1.14</t>
  </si>
  <si>
    <t>5.2.2.1.15</t>
  </si>
  <si>
    <t>5.2.2.1.16</t>
  </si>
  <si>
    <t xml:space="preserve"> 91953 </t>
  </si>
  <si>
    <t>INTERRUPTOR SIMPLES (1 MÓDULO), 10A/250V, INCLUINDO SUPORTE E PLACA - FORNECIMENTO E INSTALAÇÃO. AF_03/2023</t>
  </si>
  <si>
    <t>5.2.2.1.17</t>
  </si>
  <si>
    <t>5.2.2.1.18</t>
  </si>
  <si>
    <t>5.2.2.1.19</t>
  </si>
  <si>
    <t>5.2.2.1.20</t>
  </si>
  <si>
    <t>5.2.2.1.21</t>
  </si>
  <si>
    <t>5.2.2.1.22</t>
  </si>
  <si>
    <t>5.2.2.1.23</t>
  </si>
  <si>
    <t>5.2.2.1.24</t>
  </si>
  <si>
    <t>5.2.2.1.25</t>
  </si>
  <si>
    <t xml:space="preserve"> 190332 </t>
  </si>
  <si>
    <t>DUCHA HIGIENICA ACQUA JET DIGITAL LINE 2195 FABRIMAR</t>
  </si>
  <si>
    <t>5.2.2.1.26</t>
  </si>
  <si>
    <t>5.2.2.1.27</t>
  </si>
  <si>
    <t>5.2.2.1.28</t>
  </si>
  <si>
    <t>5.2.2.1.29</t>
  </si>
  <si>
    <t>5.2.2.1.30</t>
  </si>
  <si>
    <t>5.2.2.1.31</t>
  </si>
  <si>
    <t>5.2.2.1.32</t>
  </si>
  <si>
    <t>5.2.2.1.33</t>
  </si>
  <si>
    <t>5.2.2.1.34</t>
  </si>
  <si>
    <t>5.2.2.1.35</t>
  </si>
  <si>
    <t>5.2.2.1.36</t>
  </si>
  <si>
    <t>5.2.2.2</t>
  </si>
  <si>
    <t>COZINHA NOVA</t>
  </si>
  <si>
    <t>5.2.2.2.1</t>
  </si>
  <si>
    <t xml:space="preserve"> 101878 </t>
  </si>
  <si>
    <t>5.2.2.2.2</t>
  </si>
  <si>
    <t>5.2.2.2.3</t>
  </si>
  <si>
    <t xml:space="preserve"> ED-5439 </t>
  </si>
  <si>
    <t>DISJUNTOR DE PROTEÇÃO DIFERENCIAL RESIDUAL (DR), TETRAPOLAR TIPO DIN, CORRENTE NOMINAL DE 40A, SENSIBILIDADE DE 30MA, FORNECIMENTO E INSTALAÇÃO, INCLUSIVE TERMINAL ILHÓS</t>
  </si>
  <si>
    <t>5.2.2.2.4</t>
  </si>
  <si>
    <t xml:space="preserve"> 93672 </t>
  </si>
  <si>
    <t>5.2.2.2.5</t>
  </si>
  <si>
    <t>5.2.2.2.6</t>
  </si>
  <si>
    <t>5.2.2.2.7</t>
  </si>
  <si>
    <t>5.2.2.2.8</t>
  </si>
  <si>
    <t>5.2.2.2.9</t>
  </si>
  <si>
    <t>5.2.2.2.10</t>
  </si>
  <si>
    <t>5.2.2.2.11</t>
  </si>
  <si>
    <t>5.2.2.2.12</t>
  </si>
  <si>
    <t xml:space="preserve"> 91967 </t>
  </si>
  <si>
    <t>INTERRUPTOR SIMPLES (3 MÓDULOS), 10A/250V, INCLUINDO SUPORTE E PLACA - FORNECIMENTO E INSTALAÇÃO. AF_03/2023</t>
  </si>
  <si>
    <t>5.2.2.2.13</t>
  </si>
  <si>
    <t>5.2.2.2.14</t>
  </si>
  <si>
    <t>5.2.2.2.15</t>
  </si>
  <si>
    <t>Luminária hermética  de sobrepor, para lâmpada tubular T8, 2x18w, IP65, 65cm,ref.: LMIP65 2x18 - T8C, da G-light ou similar, exclusive lâmpadas</t>
  </si>
  <si>
    <t>5.2.2.2.16</t>
  </si>
  <si>
    <t>5.2.2.2.17</t>
  </si>
  <si>
    <t>5.2.2.2.18</t>
  </si>
  <si>
    <t xml:space="preserve"> 104404 </t>
  </si>
  <si>
    <t>5.2.2.2.19</t>
  </si>
  <si>
    <t>5.2.2.2.20</t>
  </si>
  <si>
    <t>5.2.2.2.21</t>
  </si>
  <si>
    <t>5.2.2.2.22</t>
  </si>
  <si>
    <t>ABRAÇADEIRA 1" - FORNECIMENTO E INSTALAÇÃO. AF_02/2025</t>
  </si>
  <si>
    <t>5.2.2.2.23</t>
  </si>
  <si>
    <t>5.2.2.2.24</t>
  </si>
  <si>
    <t>5.2.2.3</t>
  </si>
  <si>
    <t>INSTALAÇÕES ELÉTRICAS  CASAS</t>
  </si>
  <si>
    <t>5.2.2.3.1</t>
  </si>
  <si>
    <t>5.2.2.3.2</t>
  </si>
  <si>
    <t>DISJUNTOR DE PROTEÇÃO DIFERENCIAL RESIDUAL (DR), TETRAPOLAR TIPO DIN, CORRENTE NOMINAL DE 25A, SENSIBILIDADE DE 30MA, FORNECIMENTO E INSTALAÇÃO, INCLUSIVE TERMINAL ILHÓS</t>
  </si>
  <si>
    <t>5.2.2.3.3</t>
  </si>
  <si>
    <t>5.2.2.3.4</t>
  </si>
  <si>
    <t>5.2.2.3.5</t>
  </si>
  <si>
    <t>5.2.2.3.6</t>
  </si>
  <si>
    <t>5.2.2.3.7</t>
  </si>
  <si>
    <t>5.2.2.3.8</t>
  </si>
  <si>
    <t>5.2.2.3.9</t>
  </si>
  <si>
    <t>5.2.2.3.10</t>
  </si>
  <si>
    <t>5.2.2.3.11</t>
  </si>
  <si>
    <t xml:space="preserve"> 92030 </t>
  </si>
  <si>
    <t>5.2.2.3.12</t>
  </si>
  <si>
    <t>TOMADA SIMPLES 2P+T20A, COM CONDULETE PVC 3/4 COMPLETO - FORNECIMENTO E INSTALAÇÃO</t>
  </si>
  <si>
    <t>5.2.2.3.13</t>
  </si>
  <si>
    <t>TOMADA SIMPLES 2P+T20A, MODULO VERMELHO PARA 220V, COM CONDULETE PVC 3/4 COMPLETO - FORNECIMENTO E INSTALAÇÃO</t>
  </si>
  <si>
    <t>5.2.2.3.14</t>
  </si>
  <si>
    <t>5.2.2.3.15</t>
  </si>
  <si>
    <t>5.2.2.3.16</t>
  </si>
  <si>
    <t>CONDULETE DE PVC, TIPO C, PARA ELETRODUTO DE PVC SOLDÁVEL DN 25 MM (3/4''), APARENTE - FORNECIMENTO E INSTALAÇÃO. AF_10/2022</t>
  </si>
  <si>
    <t>5.2.2.3.17</t>
  </si>
  <si>
    <t>5.2.2.3.18</t>
  </si>
  <si>
    <t>5.2.2.3.19</t>
  </si>
  <si>
    <t>5.2.2.3.20</t>
  </si>
  <si>
    <t>Composição 01</t>
  </si>
  <si>
    <t>COMPOSIÇÃO 94569 SINAPI MODIFICADA</t>
  </si>
  <si>
    <t>Unidade</t>
  </si>
  <si>
    <t>Valor Unitário Desonerado</t>
  </si>
  <si>
    <t>Coeficiente</t>
  </si>
  <si>
    <t>Valor Desonerado</t>
  </si>
  <si>
    <t>C</t>
  </si>
  <si>
    <t>PEDREIRO COM ENCARGOS COMPLEMENTARES</t>
  </si>
  <si>
    <t>Livro SINAPI: Cálculos e Parâmetros</t>
  </si>
  <si>
    <t>H</t>
  </si>
  <si>
    <t>SERVENTE COM ENCARGOS COMPLEMENTARES</t>
  </si>
  <si>
    <t>I</t>
  </si>
  <si>
    <t>JANELA BASCULANTE, EM ALUMINIO, 40 X 40 CM (A X L), COM VIDRO 4 MM, SEM GUARNICAO/ALIZAR</t>
  </si>
  <si>
    <t>Material</t>
  </si>
  <si>
    <t>PARAFUSO DE ACO ZINCADO COM ROSCA SOBERBA, CABECA CHATA E FENDA SIMPLES, DIAMETRO 4,2 MM, COMPRIMENTO * 32 * MM</t>
  </si>
  <si>
    <t>SILICONE ACETICO USO GERAL INCOLOR 280 G</t>
  </si>
  <si>
    <t>TOTAL</t>
  </si>
  <si>
    <t xml:space="preserve">FORNECIMENTO E LANCAMENTO DE BRITA N. 3 </t>
  </si>
  <si>
    <t>ARMAÇÃO SECUNDÁRIA, COM 1 ESTRIBO E 1 ISOLADOR - FORNECIMENTO E INSTALAÇÃO. AF_12/2025</t>
  </si>
  <si>
    <t>Fornecimento de cabo multiplexado para rede 2x1x16+16mm2</t>
  </si>
  <si>
    <t>Fornecimento de cabo multiplexado para rede 1x1x16+16mm2</t>
  </si>
  <si>
    <t>CONECTOR PARAFUSO FENDIDO BIMETALICO 35mm</t>
  </si>
  <si>
    <t>CONECTOR PARAFUSO FENDIDO BIMETALICO 25mm</t>
  </si>
  <si>
    <t>CONECTOR PARAFUSO FENDIDO BIMETALICO 10MM</t>
  </si>
  <si>
    <t>ELETRODUTO PVC RIGIDO 3""</t>
  </si>
  <si>
    <t>CURVA 90 PVC ELETRODUTO 3""</t>
  </si>
  <si>
    <t>ABRAÇADEIRA DE FIXAÇÃO DE BRAÇOS DE LUMINÁRIAS DE 3" - FORNECIMENTO E INSTALAÇÃO. AF_02/2025</t>
  </si>
  <si>
    <t>QUADRO DE DISTRIBUIÇÃO DE ENERGIA EM CHAPA DE AÇO GALVANIZADO, DE EMBUTIR, COM BARRAMENTO TRIFÁSICO, PARA 24 DISJUNTORES DIN 100A - FORNECIMENTO E INSTALAÇÃO. AF_07/2025</t>
  </si>
  <si>
    <t>DISJUNTOR MONOPOLAR TIPO DIN, CORRENTE NOMINAL DE 10A - FORNECIMENTO E INSTALAÇÃO. AF_07/2025</t>
  </si>
  <si>
    <t>DISJUNTOR MONOPOLAR TIPO DIN, CORRENTE NOMINAL DE 20A - FORNECIMENTO E INSTALAÇÃO. AF_07/2025</t>
  </si>
  <si>
    <t>DISJUNTOR BIPOLAR TIPO DIN, CORRENTE NOMINAL DE 20A - FORNECIMENTO E INSTALAÇÃO. AF_07/2025</t>
  </si>
  <si>
    <t>DISJUNTOR BIPOLAR TIPO DIN, CORRENTE NOMINAL DE 40A - FORNECIMENTO E INSTALAÇÃO. AF_07/2025</t>
  </si>
  <si>
    <t>LUMINÁRIA ARANDELA TIPO TARTARUGA, DE SOBREPOR, COM 1 LÂMPADA LED DE 6 W, SEM REATOR - FORNECIMENTO E INSTALAÇÃO. AF_09/2024</t>
  </si>
  <si>
    <t>QUADRO DE DISTRIBUIÇÃO DE LUZ EM PVC PARA 12 DISJUNTORES - FORNECIMENTO E INSTALAÇÃO. AF_07/2025</t>
  </si>
  <si>
    <t>DISJUNTOR DE PROTEÇÃO DIFERENCIAL RESIDUAL (DR), BIPOLAR TIPO DIN, CORRENTE NOMINAL DE 25A, SENSIBILIDADE DE 30MA, FORNECIMENTO E INSTALAÇÃO, INCLUSIVE TERMINAL ILHÓS</t>
  </si>
  <si>
    <t>DISJUNTOR BIPOLAR TIPO DIN, CORRENTE NOMINAL DE 25A - FORNECIMENTO E INSTALAÇÃO. AF_07/2025</t>
  </si>
  <si>
    <t>DISJUNTOR MONOPOLAR TIPO DIN, CORRENTE NOMINAL DE 16A - FORNECIMENTO E INSTALAÇÃO. AF_07/2025</t>
  </si>
  <si>
    <t>DISJUNTOR BIPOLAR TIPO DIN, CORRENTE NOMINAL DE 16A - FORNECIMENTO E INSTALAÇÃO. AF_07/2025</t>
  </si>
  <si>
    <t>ELETRODUTO RÍGIDO SOLDÁVEL, PVC, DN 25 MM (3/4"), APARENTE - FORNECIMENTO E INSTALAÇÃO. AF_01/2026</t>
  </si>
  <si>
    <t>ELETRODUTO RÍGIDO SOLDÁVEL, PVC, DN 32 MM (1"), APARENTE - FORNECIMENTO E INSTALAÇÃO. AF_01/2026</t>
  </si>
  <si>
    <t>Tomada Pezzi BLK 10A 3P, preta da Dutotec ou similar</t>
  </si>
  <si>
    <t>LÂMPADA COMPACTA DE LED 10 W, BASE E27 - FORNECIMENTO E INSTALAÇÃO. AF_09/2024</t>
  </si>
  <si>
    <t>CONDULETE DE PVC, TIPO C, PARA ELETRODUTO DE PVC SOLDÁVEL DN 25 MM (3/4''), APARENTE - FORNECIMENTO E INSTALAÇÃO. AF_01/2026</t>
  </si>
  <si>
    <t>ABRAÇADEIRA DE FIXAÇÃO DE BRAÇOS DE LUMINÁRIAS DE 2" - FORNECIMENTO E INSTALAÇÃO. AF_02/2025</t>
  </si>
  <si>
    <t>Cabo de aluminio multiplexado auto sustentado, com tres condutores fase de aluminio compactado (CA), com isolamento composto de polietileno reticulado (XLPE), 90oC, isolamento para 1Kv, secao 16mm2 e condutor neutro de aluminio compactado, nao isolado, com alma de aco (CAA), secao 16mm2 (3 x 1 x 16 + 16), conforme NBR 8182. Fornecimento.</t>
  </si>
  <si>
    <t>ABRAÇADEIRA DE FIXAÇÃO DE BRAÇOS DE LUMINÁRIAS DE 4" - FORNECIMENTO E INSTALAÇÃO. AF_02/2025</t>
  </si>
  <si>
    <t>ELETRODUTO PVC RIGIDO 2""</t>
  </si>
  <si>
    <t>ARGAMASSA DE ASSENTAMENTO DE ALVENARIA DE VEDAÇÃO E REVESTIMENTO INTERNO, TRAÇO EM VOLUME SECO 1:1:3:3,8 (CIMENTO:CAL:AREIA NATURAL MÉDIA:AREIA RECICLADA), COM USO DE AGREGADO RECICLADO MISTO (ARM) - PREPARO MANUAL. AF_11/2023</t>
  </si>
  <si>
    <t>QUADRO DE DISTRIBUIÇÃO DE ENERGIA EM CHAPA DE AÇO GALVANIZADO, DE SOBREPOR, COM BARRAMENTO TRIFÁSICO, PARA 18 DISJUNTORES DIN 100A - FORNECIMENTO E INSTALAÇÃO. AF_07/2025</t>
  </si>
  <si>
    <t>DISJUNTOR TRIPOLAR TIPO DIN, CORRENTE NOMINAL DE 40A - FORNECIMENTO E INSTALAÇÃO. AF_07/2025</t>
  </si>
  <si>
    <t>CONDULETE DE PVC, TIPO T, PARA ELETRODUTO DE PVC SOLDÁVEL DN 25 MM (3/4''), APARENTE - FORNECIMENTO E INSTALAÇÃO. AF_01/2026</t>
  </si>
  <si>
    <t>INTERRUPTOR PARALELO (1 MÓDULO) COM 2 TOMADAS DE EMBUTIR 2P+T 10 A, SEM SUPORTE E SEM PLACA - FORNECIMENTO E INSTALAÇÃO. AF_03/2023</t>
  </si>
  <si>
    <t xml:space="preserve"> 2.2.5.3</t>
  </si>
  <si>
    <t xml:space="preserve"> 2.2.5.4</t>
  </si>
  <si>
    <t xml:space="preserve"> 2.2.5.5</t>
  </si>
  <si>
    <t xml:space="preserve"> 2.2.5.6</t>
  </si>
  <si>
    <t xml:space="preserve"> 2.2.6.3</t>
  </si>
  <si>
    <t xml:space="preserve"> 2.2.6.4</t>
  </si>
  <si>
    <t xml:space="preserve"> 2.2.6.5</t>
  </si>
  <si>
    <t xml:space="preserve"> 2.2.6.6</t>
  </si>
  <si>
    <t xml:space="preserve"> 2.2.6.7</t>
  </si>
  <si>
    <t xml:space="preserve"> 2.2.6.8</t>
  </si>
  <si>
    <t xml:space="preserve"> 2.2.6.9</t>
  </si>
  <si>
    <t xml:space="preserve"> 2.3.1.2</t>
  </si>
  <si>
    <t xml:space="preserve"> 2.3.1.3</t>
  </si>
  <si>
    <t xml:space="preserve"> 2.3.1.4</t>
  </si>
  <si>
    <t xml:space="preserve"> 2.3.1.5</t>
  </si>
  <si>
    <t xml:space="preserve"> 2.3.1.6</t>
  </si>
  <si>
    <t xml:space="preserve"> 2.3.1.7</t>
  </si>
  <si>
    <t xml:space="preserve"> 2.3.1.8</t>
  </si>
  <si>
    <t xml:space="preserve"> 2.3.1.9</t>
  </si>
  <si>
    <t>2.3.2.1</t>
  </si>
  <si>
    <t>2.3.2.2</t>
  </si>
  <si>
    <t>2.3.2.3</t>
  </si>
  <si>
    <t>2.3.2.4</t>
  </si>
  <si>
    <t xml:space="preserve"> 2.2.1.2</t>
  </si>
  <si>
    <t xml:space="preserve"> 2.2.1.3</t>
  </si>
  <si>
    <t xml:space="preserve"> 2.2.1.4</t>
  </si>
  <si>
    <t xml:space="preserve"> 2.2.1.5</t>
  </si>
  <si>
    <t xml:space="preserve"> 2.2.1.6</t>
  </si>
  <si>
    <t xml:space="preserve"> 2.2.1.7</t>
  </si>
  <si>
    <t xml:space="preserve"> 2.2.2.2</t>
  </si>
  <si>
    <t xml:space="preserve"> 2.2.2.3</t>
  </si>
  <si>
    <t xml:space="preserve"> 2.2.2.4</t>
  </si>
  <si>
    <t xml:space="preserve"> 2.2.2.5</t>
  </si>
  <si>
    <t xml:space="preserve"> 2.2.4.2</t>
  </si>
  <si>
    <t xml:space="preserve"> 2.2.4.3</t>
  </si>
  <si>
    <t xml:space="preserve"> 2.2.4.4</t>
  </si>
  <si>
    <t xml:space="preserve"> 2.2.4.5</t>
  </si>
  <si>
    <t xml:space="preserve"> 2.2.4.6</t>
  </si>
  <si>
    <t xml:space="preserve"> 2.2.4.7</t>
  </si>
  <si>
    <t xml:space="preserve"> 2.2.4.8</t>
  </si>
  <si>
    <t xml:space="preserve"> 2.3.3</t>
  </si>
  <si>
    <t>2.3.3.1</t>
  </si>
  <si>
    <t>2.3.3.2</t>
  </si>
  <si>
    <t>2.3.3.3</t>
  </si>
  <si>
    <t>2.3.3.4</t>
  </si>
  <si>
    <t>2.3.3.5</t>
  </si>
  <si>
    <t xml:space="preserve"> 2.3.4</t>
  </si>
  <si>
    <t xml:space="preserve"> 2.3.4.1 </t>
  </si>
  <si>
    <t xml:space="preserve"> 2.3.4.2</t>
  </si>
  <si>
    <t xml:space="preserve"> 2.3.4.3</t>
  </si>
  <si>
    <t xml:space="preserve"> 2.3.4.4</t>
  </si>
  <si>
    <t xml:space="preserve"> 2.4</t>
  </si>
  <si>
    <t xml:space="preserve"> 2.4.1.1 </t>
  </si>
  <si>
    <t xml:space="preserve"> 2.4.1.2</t>
  </si>
  <si>
    <t xml:space="preserve"> 2.4.1.3</t>
  </si>
  <si>
    <t xml:space="preserve"> 2.4.1.4</t>
  </si>
  <si>
    <t xml:space="preserve"> 2.4.1.5</t>
  </si>
  <si>
    <t xml:space="preserve"> 2.4.1.6</t>
  </si>
  <si>
    <t xml:space="preserve"> 2.4.1.7</t>
  </si>
  <si>
    <t xml:space="preserve"> 2.4.1.8</t>
  </si>
  <si>
    <t xml:space="preserve"> 2.4.1.9</t>
  </si>
  <si>
    <t>2.4.2.1</t>
  </si>
  <si>
    <t>2.4.2.2</t>
  </si>
  <si>
    <t>2.4.2.3</t>
  </si>
  <si>
    <t>2.4.2.4</t>
  </si>
  <si>
    <t xml:space="preserve"> 2.5</t>
  </si>
  <si>
    <t xml:space="preserve"> 2.4.3</t>
  </si>
  <si>
    <t>2.4.3.1</t>
  </si>
  <si>
    <t>2.4.3.2</t>
  </si>
  <si>
    <t>2.4.3.3</t>
  </si>
  <si>
    <t>2.4.3.4</t>
  </si>
  <si>
    <t>2.5.1</t>
  </si>
  <si>
    <t>2.5.1.1</t>
  </si>
  <si>
    <t>2.5.1.2</t>
  </si>
  <si>
    <t>2.5.1.3</t>
  </si>
  <si>
    <t>2.5.1.4</t>
  </si>
  <si>
    <t>2.5.1.5</t>
  </si>
  <si>
    <t>2.5.1.6</t>
  </si>
  <si>
    <t>2.5.1.7</t>
  </si>
  <si>
    <t>2.5.1.8</t>
  </si>
  <si>
    <t>2.5.1.9</t>
  </si>
  <si>
    <t>2.5.1.10</t>
  </si>
  <si>
    <t>2.5.1.11</t>
  </si>
  <si>
    <t>2.5.1.12</t>
  </si>
  <si>
    <t xml:space="preserve"> 2.5.2 </t>
  </si>
  <si>
    <t>2.5.2.1</t>
  </si>
  <si>
    <t>2.5.2.2</t>
  </si>
  <si>
    <t>2.5.2.3</t>
  </si>
  <si>
    <t>2.5.2.4</t>
  </si>
  <si>
    <t>2.5.2.5</t>
  </si>
  <si>
    <t>2.5.2.6</t>
  </si>
  <si>
    <t>2.5.2.7</t>
  </si>
  <si>
    <t>2.5.2.8</t>
  </si>
  <si>
    <t>2.5.3</t>
  </si>
  <si>
    <t>2.5.3.1</t>
  </si>
  <si>
    <t>2.5.3.2</t>
  </si>
  <si>
    <t>2.5.3.3</t>
  </si>
  <si>
    <t>2.5.3.4</t>
  </si>
  <si>
    <t>2.5.3.5</t>
  </si>
  <si>
    <t>2.5.3.6</t>
  </si>
  <si>
    <t>2.5.3.7</t>
  </si>
  <si>
    <t>2.5.3.8</t>
  </si>
  <si>
    <t>2.5.4</t>
  </si>
  <si>
    <t>2.5.4.1</t>
  </si>
  <si>
    <t>2.5.4.2</t>
  </si>
  <si>
    <t>2.5.4.3</t>
  </si>
  <si>
    <t>2.5.4.4</t>
  </si>
  <si>
    <t>2.5.4.5</t>
  </si>
  <si>
    <t>2.5.4.6</t>
  </si>
  <si>
    <t>2.5.4.7</t>
  </si>
  <si>
    <t>2.5.4.8</t>
  </si>
  <si>
    <t>2.5.4.9</t>
  </si>
  <si>
    <t>2.5.5</t>
  </si>
  <si>
    <t>2.5.5.1</t>
  </si>
  <si>
    <t>2.5.5.2</t>
  </si>
  <si>
    <t>2.5.5.3</t>
  </si>
  <si>
    <t>2.5.5.4</t>
  </si>
  <si>
    <t>2.5.5.5</t>
  </si>
  <si>
    <t>2.5.5.6</t>
  </si>
  <si>
    <t>2.5.6</t>
  </si>
  <si>
    <t>2.5.6.1</t>
  </si>
  <si>
    <t>2.5.6.2</t>
  </si>
  <si>
    <t>ISOLAMENTO DE OBRA COM TELA PLASTICA COM MALHA DE 5MM</t>
  </si>
  <si>
    <t>DEMOLIÇÃO DE ALVENARIA DE BLOCO FURADO, DE FORMA MANUAL, SEM REAPROVEITAMENTO. AF_09/2023</t>
  </si>
  <si>
    <t>TORNEIRA CROMADA 1/2" OU 3/4" PARA TANQUE, PADRÃO POPULAR - FORNECIMENTO E INSTALAÇÃO. AF_02/2026</t>
  </si>
  <si>
    <t>JANELA DE ALUMÍNIO TIPO MAXIM-AR, BATENTE/ REQUADRO 3 A 14 CM, VIDRO INCLUSO, FIXAÇÃO COM PARAFUSO, SEM GUARNIÇÃO/ ALIZAR, DIMENSÕES 60X80 (A X L) CM, SEM ACABAMENTO, VEDAÇÃO COM SILICONE, EXCLUSIVE CONTRAMARCO - FORNECIMENTO E INSTALAÇÃO. AF_11/2024</t>
  </si>
  <si>
    <t>PORTA EM ALUMÍNIO DE ABRIR TIPO VENEZIANA COM GUARNIÇÃO, FIXAÇÃO COM PARAFUSOS - FORNECIMENTO E INSTALAÇÃO. AF_10/2025</t>
  </si>
  <si>
    <t>Valor total com BDI</t>
  </si>
  <si>
    <t xml:space="preserve">SINAPI - 02/2026 - Rio Grande do Sul
</t>
  </si>
  <si>
    <t>Cronograma Físico e Financeiro</t>
  </si>
  <si>
    <t>Total Por Etapa</t>
  </si>
  <si>
    <t>30 DIAS</t>
  </si>
  <si>
    <t>60 DIAS</t>
  </si>
  <si>
    <t>90 DIAS</t>
  </si>
  <si>
    <t>120 DIAS</t>
  </si>
  <si>
    <t>150 DIAS</t>
  </si>
  <si>
    <t/>
  </si>
  <si>
    <t xml:space="preserve"> 3 </t>
  </si>
  <si>
    <t xml:space="preserve"> 4 </t>
  </si>
  <si>
    <t xml:space="preserve"> 5 </t>
  </si>
  <si>
    <t>Porcentagem</t>
  </si>
  <si>
    <t>Custo</t>
  </si>
  <si>
    <t>Porcentagem Acumulado</t>
  </si>
  <si>
    <t>Custo Acumulado</t>
  </si>
  <si>
    <t xml:space="preserve">_______________________________________________________________
</t>
  </si>
  <si>
    <t>REFORMA DOS BANHEIROS</t>
  </si>
  <si>
    <t>INSTALAÇÕES ELÉTRICAS</t>
  </si>
  <si>
    <t xml:space="preserve">100,00%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</si>
</sst>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R$&quot;\ * #,##0.00_-;\-&quot;R$&quot;\ * #,##0.00_-;_-&quot;R$&quot;\ * &quot;-&quot;??_-;_-@_-"/>
    <numFmt numFmtId="43" formatCode="_-* #,##0.00_-;\-* #,##0.00_-;_-* &quot;-&quot;??_-;_-@_-"/>
    <numFmt numFmtId="164" formatCode="_-&quot;R$&quot;* #,##0.00_-;&quot;-R$&quot;* #,##0.00_-;_-&quot;R$&quot;* \-??_-;_-@_-"/>
    <numFmt numFmtId="165" formatCode="[$R$-416]\ #,##0.00;[Red]\-[$R$-416]\ #,##0.00"/>
    <numFmt numFmtId="166" formatCode="_-[$R$-416]\ * #,##0.00_-;\-[$R$-416]\ * #,##0.00_-;_-[$R$-416]\ * &quot;-&quot;??_-;_-@_-"/>
  </numFmts>
  <fonts count="22" x14ac:knownFonts="1">
    <font>
      <sz val="11"/>
      <name val="Arial"/>
      <family val="1"/>
      <charset val="1"/>
    </font>
    <font>
      <b/>
      <sz val="11"/>
      <name val="Arial"/>
      <family val="1"/>
      <charset val="1"/>
    </font>
    <font>
      <b/>
      <sz val="10"/>
      <name val="Arial"/>
      <family val="1"/>
      <charset val="1"/>
    </font>
    <font>
      <b/>
      <sz val="10"/>
      <color rgb="FF000000"/>
      <name val="Arial"/>
      <family val="1"/>
      <charset val="1"/>
    </font>
    <font>
      <sz val="10"/>
      <color rgb="FF000000"/>
      <name val="Arial"/>
      <family val="1"/>
      <charset val="1"/>
    </font>
    <font>
      <sz val="10"/>
      <color rgb="FF000000"/>
      <name val="Arial"/>
      <family val="2"/>
      <charset val="1"/>
    </font>
    <font>
      <b/>
      <sz val="10"/>
      <color rgb="FF000000"/>
      <name val="Arial"/>
      <family val="2"/>
      <charset val="1"/>
    </font>
    <font>
      <b/>
      <sz val="11"/>
      <name val="Arial"/>
      <family val="2"/>
      <charset val="1"/>
    </font>
    <font>
      <sz val="10"/>
      <name val="Arial"/>
      <family val="1"/>
      <charset val="1"/>
    </font>
    <font>
      <sz val="11"/>
      <name val="Arial"/>
      <family val="1"/>
      <charset val="1"/>
    </font>
    <font>
      <sz val="11"/>
      <color rgb="FF212421"/>
      <name val="Arial"/>
      <family val="2"/>
    </font>
    <font>
      <sz val="9"/>
      <color rgb="FF333333"/>
      <name val="Arial"/>
      <family val="2"/>
    </font>
    <font>
      <sz val="10"/>
      <color rgb="FF000000"/>
      <name val="Arial"/>
      <family val="1"/>
    </font>
    <font>
      <sz val="10"/>
      <name val="Arial"/>
      <family val="1"/>
    </font>
    <font>
      <sz val="8"/>
      <name val="Arial"/>
      <family val="1"/>
      <charset val="1"/>
    </font>
    <font>
      <sz val="10"/>
      <color rgb="FF000000"/>
      <name val="Arial"/>
      <family val="2"/>
    </font>
    <font>
      <b/>
      <sz val="11"/>
      <name val="Arial"/>
      <family val="2"/>
    </font>
    <font>
      <b/>
      <sz val="11"/>
      <name val="Arial"/>
      <family val="1"/>
    </font>
    <font>
      <b/>
      <sz val="10"/>
      <name val="Arial"/>
      <family val="1"/>
    </font>
    <font>
      <b/>
      <sz val="10"/>
      <color rgb="FF000000"/>
      <name val="Arial"/>
      <family val="2"/>
    </font>
    <font>
      <b/>
      <sz val="10"/>
      <name val="Arial"/>
      <family val="2"/>
    </font>
    <font>
      <sz val="10"/>
      <name val="Arial"/>
      <family val="2"/>
    </font>
  </fonts>
  <fills count="10">
    <fill>
      <patternFill patternType="none"/>
    </fill>
    <fill>
      <patternFill patternType="gray125"/>
    </fill>
    <fill>
      <patternFill patternType="solid">
        <fgColor rgb="FFD9D9D9"/>
        <bgColor rgb="FFCCCCCC"/>
      </patternFill>
    </fill>
    <fill>
      <patternFill patternType="solid">
        <fgColor rgb="FFFFFFFF"/>
        <bgColor rgb="FFFFFFCC"/>
      </patternFill>
    </fill>
    <fill>
      <patternFill patternType="solid">
        <fgColor theme="0" tint="-4.9989318521683403E-2"/>
        <bgColor indexed="64"/>
      </patternFill>
    </fill>
    <fill>
      <patternFill patternType="solid">
        <fgColor theme="0" tint="-4.9989318521683403E-2"/>
        <bgColor rgb="FFCCCCCC"/>
      </patternFill>
    </fill>
    <fill>
      <patternFill patternType="solid">
        <fgColor theme="0"/>
        <bgColor rgb="FFFFFFCC"/>
      </patternFill>
    </fill>
    <fill>
      <patternFill patternType="solid">
        <fgColor theme="0"/>
        <bgColor rgb="FFDFF0D8"/>
      </patternFill>
    </fill>
    <fill>
      <patternFill patternType="solid">
        <fgColor rgb="FFFFFFFF"/>
      </patternFill>
    </fill>
    <fill>
      <patternFill patternType="solid">
        <fgColor theme="8" tint="0.79998168889431442"/>
        <bgColor indexed="64"/>
      </patternFill>
    </fill>
  </fills>
  <borders count="10">
    <border>
      <left/>
      <right/>
      <top/>
      <bottom/>
      <diagonal/>
    </border>
    <border>
      <left style="thin">
        <color auto="1"/>
      </left>
      <right style="thin">
        <color auto="1"/>
      </right>
      <top style="thin">
        <color auto="1"/>
      </top>
      <bottom style="thin">
        <color auto="1"/>
      </bottom>
      <diagonal/>
    </border>
    <border>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auto="1"/>
      </left>
      <right style="thin">
        <color auto="1"/>
      </right>
      <top/>
      <bottom style="thin">
        <color auto="1"/>
      </bottom>
      <diagonal/>
    </border>
    <border>
      <left/>
      <right style="medium">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s>
  <cellStyleXfs count="5">
    <xf numFmtId="0" fontId="0" fillId="0" borderId="0"/>
    <xf numFmtId="164" fontId="9" fillId="0" borderId="0" applyBorder="0" applyProtection="0"/>
    <xf numFmtId="0" fontId="9" fillId="0" borderId="0"/>
    <xf numFmtId="43" fontId="9" fillId="0" borderId="0" applyFont="0" applyFill="0" applyBorder="0" applyAlignment="0" applyProtection="0"/>
    <xf numFmtId="9" fontId="9" fillId="0" borderId="0" applyFont="0" applyFill="0" applyBorder="0" applyAlignment="0" applyProtection="0"/>
  </cellStyleXfs>
  <cellXfs count="157">
    <xf numFmtId="0" fontId="0" fillId="0" borderId="0" xfId="0"/>
    <xf numFmtId="0" fontId="2" fillId="0" borderId="0" xfId="2" applyFont="1" applyAlignment="1">
      <alignment horizontal="right" vertical="top" wrapText="1"/>
    </xf>
    <xf numFmtId="0" fontId="2" fillId="0" borderId="0" xfId="0" applyFont="1" applyAlignment="1">
      <alignment horizontal="left" vertical="top" wrapText="1"/>
    </xf>
    <xf numFmtId="0" fontId="1" fillId="0" borderId="0" xfId="0" applyFont="1" applyAlignment="1">
      <alignment horizontal="left" vertical="top" wrapText="1"/>
    </xf>
    <xf numFmtId="164" fontId="9" fillId="0" borderId="0" xfId="1" applyBorder="1" applyProtection="1"/>
    <xf numFmtId="0" fontId="1" fillId="0" borderId="1" xfId="0" applyFont="1" applyBorder="1" applyAlignment="1">
      <alignment horizontal="center" vertical="center" wrapText="1"/>
    </xf>
    <xf numFmtId="164" fontId="1" fillId="0" borderId="1" xfId="1" applyFont="1" applyBorder="1" applyAlignment="1" applyProtection="1">
      <alignment horizontal="center" vertical="center" wrapText="1"/>
    </xf>
    <xf numFmtId="0" fontId="3"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right" vertical="center" wrapText="1"/>
    </xf>
    <xf numFmtId="0" fontId="4" fillId="0" borderId="1" xfId="0" applyFont="1" applyBorder="1" applyAlignment="1">
      <alignment horizontal="left" vertical="center" wrapText="1"/>
    </xf>
    <xf numFmtId="0" fontId="4" fillId="0" borderId="1" xfId="0" applyFont="1" applyBorder="1" applyAlignment="1">
      <alignment horizontal="left" vertical="top" wrapText="1"/>
    </xf>
    <xf numFmtId="0" fontId="3" fillId="0" borderId="1" xfId="0" applyFont="1" applyBorder="1" applyAlignment="1">
      <alignment horizontal="center" vertical="center" wrapText="1"/>
    </xf>
    <xf numFmtId="0" fontId="0" fillId="0" borderId="1" xfId="0" applyBorder="1" applyAlignment="1">
      <alignment vertical="center" wrapText="1"/>
    </xf>
    <xf numFmtId="0" fontId="5" fillId="0" borderId="1" xfId="0" applyFont="1" applyBorder="1" applyAlignment="1">
      <alignment horizontal="center" vertical="center" wrapText="1"/>
    </xf>
    <xf numFmtId="0" fontId="5" fillId="0" borderId="1" xfId="0" applyFont="1" applyBorder="1" applyAlignment="1">
      <alignment horizontal="right" vertical="center" wrapText="1"/>
    </xf>
    <xf numFmtId="0" fontId="3" fillId="0" borderId="2" xfId="0" applyFont="1" applyBorder="1" applyAlignment="1">
      <alignment horizontal="left" vertical="top" wrapText="1"/>
    </xf>
    <xf numFmtId="0" fontId="3" fillId="0" borderId="3" xfId="0" applyFont="1" applyBorder="1" applyAlignment="1">
      <alignment horizontal="left" vertical="top" wrapText="1"/>
    </xf>
    <xf numFmtId="0" fontId="5" fillId="0" borderId="1" xfId="0" applyFont="1" applyBorder="1" applyAlignment="1">
      <alignment horizontal="left" vertical="top" wrapText="1"/>
    </xf>
    <xf numFmtId="0" fontId="3" fillId="3" borderId="1" xfId="0" applyFont="1" applyFill="1" applyBorder="1" applyAlignment="1">
      <alignment horizontal="left" vertical="top"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left" vertical="top" wrapText="1"/>
    </xf>
    <xf numFmtId="0" fontId="3" fillId="3" borderId="1" xfId="0" applyFont="1" applyFill="1" applyBorder="1" applyAlignment="1">
      <alignment horizontal="center" vertical="center" wrapText="1"/>
    </xf>
    <xf numFmtId="164" fontId="5" fillId="3" borderId="1" xfId="1" applyFont="1" applyFill="1" applyBorder="1" applyAlignment="1" applyProtection="1">
      <alignment horizontal="center" vertical="center" wrapText="1"/>
    </xf>
    <xf numFmtId="0" fontId="2" fillId="2" borderId="4" xfId="0" applyFont="1" applyFill="1" applyBorder="1" applyAlignment="1">
      <alignment horizontal="center" vertical="center" wrapText="1"/>
    </xf>
    <xf numFmtId="0" fontId="3" fillId="2" borderId="1" xfId="0" applyFont="1" applyFill="1" applyBorder="1" applyAlignment="1">
      <alignment horizontal="left" vertical="top" wrapText="1"/>
    </xf>
    <xf numFmtId="0" fontId="4" fillId="3" borderId="1" xfId="0" applyFont="1" applyFill="1" applyBorder="1" applyAlignment="1">
      <alignment horizontal="left" vertical="top" wrapText="1"/>
    </xf>
    <xf numFmtId="0" fontId="8" fillId="0" borderId="0" xfId="2" applyFont="1" applyAlignment="1">
      <alignment horizontal="center" vertical="top" wrapText="1"/>
    </xf>
    <xf numFmtId="0" fontId="8" fillId="0" borderId="0" xfId="2" applyFont="1" applyAlignment="1">
      <alignment horizontal="right" vertical="top" wrapText="1"/>
    </xf>
    <xf numFmtId="0" fontId="2" fillId="0" borderId="0" xfId="0" applyFont="1" applyAlignment="1">
      <alignment vertical="top" wrapText="1"/>
    </xf>
    <xf numFmtId="0" fontId="8" fillId="0" borderId="0" xfId="2" applyFont="1" applyAlignment="1">
      <alignment horizontal="left" vertical="top" wrapText="1"/>
    </xf>
    <xf numFmtId="0" fontId="0" fillId="0" borderId="0" xfId="0" applyAlignment="1">
      <alignment horizontal="right"/>
    </xf>
    <xf numFmtId="4" fontId="2" fillId="3" borderId="0" xfId="0" applyNumberFormat="1" applyFont="1" applyFill="1" applyAlignment="1">
      <alignment vertical="top" wrapText="1"/>
    </xf>
    <xf numFmtId="0" fontId="7" fillId="0" borderId="1" xfId="0" applyFont="1" applyBorder="1" applyAlignment="1">
      <alignment vertical="center"/>
    </xf>
    <xf numFmtId="0" fontId="0" fillId="0" borderId="1" xfId="0" applyBorder="1" applyAlignment="1">
      <alignment vertical="center"/>
    </xf>
    <xf numFmtId="0" fontId="0" fillId="0" borderId="0" xfId="0" applyAlignment="1">
      <alignment vertical="center"/>
    </xf>
    <xf numFmtId="164" fontId="7" fillId="0" borderId="1" xfId="1" applyFont="1" applyBorder="1" applyAlignment="1" applyProtection="1">
      <alignment vertical="center"/>
    </xf>
    <xf numFmtId="0" fontId="10" fillId="0" borderId="0" xfId="0" applyFont="1"/>
    <xf numFmtId="0" fontId="11" fillId="0" borderId="0" xfId="0" applyFont="1"/>
    <xf numFmtId="0" fontId="3" fillId="4" borderId="1" xfId="0" applyFont="1" applyFill="1" applyBorder="1" applyAlignment="1">
      <alignment horizontal="center" vertical="center" wrapText="1"/>
    </xf>
    <xf numFmtId="0" fontId="3" fillId="4" borderId="1" xfId="0" applyFont="1" applyFill="1" applyBorder="1" applyAlignment="1">
      <alignment horizontal="left" vertical="center" wrapText="1"/>
    </xf>
    <xf numFmtId="0" fontId="3" fillId="4" borderId="1" xfId="0" applyFont="1" applyFill="1" applyBorder="1" applyAlignment="1">
      <alignment horizontal="right" vertical="center" wrapText="1"/>
    </xf>
    <xf numFmtId="164" fontId="3" fillId="4" borderId="1" xfId="1" applyFont="1" applyFill="1" applyBorder="1" applyAlignment="1" applyProtection="1">
      <alignment horizontal="left" vertical="center" wrapText="1"/>
    </xf>
    <xf numFmtId="0" fontId="15" fillId="0" borderId="1" xfId="0" applyFont="1" applyBorder="1" applyAlignment="1">
      <alignment horizontal="center" vertical="center" wrapText="1"/>
    </xf>
    <xf numFmtId="0" fontId="8" fillId="0" borderId="1" xfId="2" applyFont="1" applyBorder="1" applyAlignment="1">
      <alignment horizontal="center" vertical="center" wrapText="1"/>
    </xf>
    <xf numFmtId="0" fontId="8" fillId="0" borderId="1" xfId="2" applyFont="1" applyBorder="1" applyAlignment="1">
      <alignment horizontal="left" vertical="top" wrapText="1"/>
    </xf>
    <xf numFmtId="0" fontId="8" fillId="0" borderId="1" xfId="2" applyFont="1" applyBorder="1" applyAlignment="1">
      <alignment horizontal="center" vertical="top" wrapText="1"/>
    </xf>
    <xf numFmtId="0" fontId="8" fillId="0" borderId="1" xfId="2" applyFont="1" applyBorder="1" applyAlignment="1">
      <alignment horizontal="right" vertical="top" wrapText="1"/>
    </xf>
    <xf numFmtId="166" fontId="1" fillId="0" borderId="1" xfId="0" applyNumberFormat="1" applyFont="1" applyBorder="1" applyAlignment="1">
      <alignment horizontal="center" vertical="center" wrapText="1"/>
    </xf>
    <xf numFmtId="0" fontId="2" fillId="4" borderId="1" xfId="2" applyFont="1" applyFill="1" applyBorder="1" applyAlignment="1">
      <alignment horizontal="center" vertical="center" wrapText="1"/>
    </xf>
    <xf numFmtId="0" fontId="3" fillId="5" borderId="1" xfId="0" applyFont="1" applyFill="1" applyBorder="1" applyAlignment="1">
      <alignment horizontal="left" vertical="top" wrapText="1"/>
    </xf>
    <xf numFmtId="0" fontId="4" fillId="6" borderId="1" xfId="0" applyFont="1" applyFill="1" applyBorder="1" applyAlignment="1">
      <alignment horizontal="center" vertical="center" wrapText="1"/>
    </xf>
    <xf numFmtId="0" fontId="4" fillId="6" borderId="1" xfId="0" applyFont="1" applyFill="1" applyBorder="1" applyAlignment="1">
      <alignment horizontal="left" vertical="top" wrapText="1"/>
    </xf>
    <xf numFmtId="0" fontId="4" fillId="6" borderId="1" xfId="0" applyFont="1" applyFill="1" applyBorder="1" applyAlignment="1">
      <alignment horizontal="center" vertical="top" wrapText="1"/>
    </xf>
    <xf numFmtId="0" fontId="4" fillId="6" borderId="1" xfId="0" applyFont="1" applyFill="1" applyBorder="1" applyAlignment="1">
      <alignment horizontal="right" vertical="top" wrapText="1"/>
    </xf>
    <xf numFmtId="4" fontId="4" fillId="6" borderId="1" xfId="0" applyNumberFormat="1" applyFont="1" applyFill="1" applyBorder="1" applyAlignment="1">
      <alignment horizontal="right" vertical="top" wrapText="1"/>
    </xf>
    <xf numFmtId="164" fontId="9" fillId="0" borderId="0" xfId="1"/>
    <xf numFmtId="164" fontId="9" fillId="0" borderId="1" xfId="1" applyBorder="1"/>
    <xf numFmtId="164" fontId="9" fillId="0" borderId="1" xfId="1" applyBorder="1" applyProtection="1"/>
    <xf numFmtId="0" fontId="13" fillId="7" borderId="1" xfId="0" applyFont="1" applyFill="1" applyBorder="1" applyAlignment="1">
      <alignment horizontal="right" vertical="top" wrapText="1"/>
    </xf>
    <xf numFmtId="0" fontId="13" fillId="7" borderId="1" xfId="0" applyFont="1" applyFill="1" applyBorder="1" applyAlignment="1">
      <alignment horizontal="left" vertical="top" wrapText="1"/>
    </xf>
    <xf numFmtId="0" fontId="13" fillId="7" borderId="1" xfId="0" applyFont="1" applyFill="1" applyBorder="1" applyAlignment="1">
      <alignment horizontal="center" vertical="top" wrapText="1"/>
    </xf>
    <xf numFmtId="4" fontId="13" fillId="7" borderId="1" xfId="0" applyNumberFormat="1" applyFont="1" applyFill="1" applyBorder="1" applyAlignment="1">
      <alignment horizontal="right" vertical="top" wrapText="1"/>
    </xf>
    <xf numFmtId="0" fontId="12" fillId="7" borderId="1" xfId="0" applyFont="1" applyFill="1" applyBorder="1" applyAlignment="1">
      <alignment horizontal="right" vertical="top" wrapText="1"/>
    </xf>
    <xf numFmtId="0" fontId="12" fillId="7" borderId="1" xfId="0" applyFont="1" applyFill="1" applyBorder="1" applyAlignment="1">
      <alignment horizontal="left" vertical="top" wrapText="1"/>
    </xf>
    <xf numFmtId="0" fontId="12" fillId="7" borderId="1" xfId="0" applyFont="1" applyFill="1" applyBorder="1" applyAlignment="1">
      <alignment horizontal="center" vertical="top" wrapText="1"/>
    </xf>
    <xf numFmtId="4" fontId="12" fillId="7" borderId="1" xfId="0" applyNumberFormat="1" applyFont="1" applyFill="1" applyBorder="1" applyAlignment="1">
      <alignment horizontal="right" vertical="top" wrapText="1"/>
    </xf>
    <xf numFmtId="166" fontId="3" fillId="4" borderId="1" xfId="1" applyNumberFormat="1" applyFont="1" applyFill="1" applyBorder="1" applyAlignment="1" applyProtection="1">
      <alignment horizontal="center" vertical="center" wrapText="1"/>
    </xf>
    <xf numFmtId="166" fontId="4" fillId="0" borderId="1" xfId="1" applyNumberFormat="1" applyFont="1" applyBorder="1" applyAlignment="1" applyProtection="1">
      <alignment horizontal="center" vertical="center" wrapText="1"/>
    </xf>
    <xf numFmtId="166" fontId="3" fillId="0" borderId="1" xfId="1" applyNumberFormat="1" applyFont="1" applyBorder="1" applyAlignment="1" applyProtection="1">
      <alignment horizontal="center" vertical="center" wrapText="1"/>
    </xf>
    <xf numFmtId="166" fontId="3" fillId="2" borderId="1" xfId="1" applyNumberFormat="1" applyFont="1" applyFill="1" applyBorder="1" applyAlignment="1" applyProtection="1">
      <alignment horizontal="center" vertical="center" wrapText="1"/>
    </xf>
    <xf numFmtId="166" fontId="3" fillId="3" borderId="1" xfId="1" applyNumberFormat="1" applyFont="1" applyFill="1" applyBorder="1" applyAlignment="1" applyProtection="1">
      <alignment horizontal="center" vertical="center" wrapText="1"/>
    </xf>
    <xf numFmtId="166" fontId="1" fillId="0" borderId="0" xfId="0" applyNumberFormat="1" applyFont="1" applyAlignment="1">
      <alignment horizontal="center" vertical="center" wrapText="1"/>
    </xf>
    <xf numFmtId="166" fontId="2" fillId="0" borderId="0" xfId="0" applyNumberFormat="1" applyFont="1" applyAlignment="1">
      <alignment horizontal="center" vertical="center" wrapText="1"/>
    </xf>
    <xf numFmtId="166" fontId="2" fillId="2" borderId="5" xfId="0" applyNumberFormat="1" applyFont="1" applyFill="1" applyBorder="1" applyAlignment="1">
      <alignment horizontal="center" vertical="center" wrapText="1"/>
    </xf>
    <xf numFmtId="164" fontId="9" fillId="0" borderId="1" xfId="1" applyBorder="1" applyAlignment="1">
      <alignment horizontal="center" vertical="center"/>
    </xf>
    <xf numFmtId="166" fontId="8" fillId="0" borderId="1" xfId="2" applyNumberFormat="1" applyFont="1" applyBorder="1" applyAlignment="1">
      <alignment horizontal="center" vertical="center" wrapText="1"/>
    </xf>
    <xf numFmtId="166" fontId="2" fillId="4" borderId="1" xfId="2" applyNumberFormat="1" applyFont="1" applyFill="1" applyBorder="1" applyAlignment="1">
      <alignment horizontal="center" vertical="center" wrapText="1"/>
    </xf>
    <xf numFmtId="165" fontId="3" fillId="2" borderId="1" xfId="0" applyNumberFormat="1" applyFont="1" applyFill="1" applyBorder="1" applyAlignment="1">
      <alignment horizontal="center" vertical="center" wrapText="1"/>
    </xf>
    <xf numFmtId="165" fontId="3" fillId="5" borderId="1" xfId="0" applyNumberFormat="1" applyFont="1" applyFill="1" applyBorder="1" applyAlignment="1">
      <alignment horizontal="center" vertical="center" wrapText="1"/>
    </xf>
    <xf numFmtId="166" fontId="3" fillId="6" borderId="1" xfId="0" applyNumberFormat="1" applyFont="1" applyFill="1" applyBorder="1" applyAlignment="1">
      <alignment horizontal="center" vertical="center" wrapText="1"/>
    </xf>
    <xf numFmtId="166" fontId="4" fillId="6" borderId="1" xfId="0" applyNumberFormat="1" applyFont="1" applyFill="1" applyBorder="1" applyAlignment="1">
      <alignment horizontal="center" vertical="center" wrapText="1"/>
    </xf>
    <xf numFmtId="166" fontId="13" fillId="7" borderId="1" xfId="0" applyNumberFormat="1" applyFont="1" applyFill="1" applyBorder="1" applyAlignment="1">
      <alignment horizontal="center" vertical="center" wrapText="1"/>
    </xf>
    <xf numFmtId="164" fontId="9" fillId="4" borderId="1" xfId="1" applyFill="1" applyBorder="1" applyAlignment="1">
      <alignment horizontal="center" vertical="center"/>
    </xf>
    <xf numFmtId="166" fontId="12" fillId="7" borderId="1" xfId="0" applyNumberFormat="1" applyFont="1" applyFill="1" applyBorder="1" applyAlignment="1">
      <alignment horizontal="center" vertical="center" wrapText="1"/>
    </xf>
    <xf numFmtId="166" fontId="8" fillId="0" borderId="0" xfId="2" applyNumberFormat="1" applyFont="1" applyAlignment="1">
      <alignment horizontal="center" vertical="center" wrapText="1"/>
    </xf>
    <xf numFmtId="166" fontId="0" fillId="0" borderId="0" xfId="0" applyNumberFormat="1" applyAlignment="1">
      <alignment horizontal="center" vertical="center"/>
    </xf>
    <xf numFmtId="166" fontId="2" fillId="3" borderId="0" xfId="0" applyNumberFormat="1" applyFont="1" applyFill="1" applyAlignment="1">
      <alignment horizontal="center" vertical="center" wrapText="1"/>
    </xf>
    <xf numFmtId="164" fontId="3" fillId="6" borderId="8" xfId="0" applyNumberFormat="1" applyFont="1" applyFill="1" applyBorder="1" applyAlignment="1">
      <alignment vertical="center" wrapText="1"/>
    </xf>
    <xf numFmtId="0" fontId="17" fillId="8" borderId="0" xfId="0" applyFont="1" applyFill="1" applyAlignment="1">
      <alignment horizontal="left" vertical="top" wrapText="1"/>
    </xf>
    <xf numFmtId="0" fontId="18" fillId="8" borderId="0" xfId="0" applyFont="1" applyFill="1" applyAlignment="1">
      <alignment horizontal="left" vertical="top" wrapText="1"/>
    </xf>
    <xf numFmtId="0" fontId="13" fillId="8" borderId="0" xfId="0" applyFont="1" applyFill="1" applyAlignment="1">
      <alignment horizontal="center" vertical="top" wrapText="1"/>
    </xf>
    <xf numFmtId="0" fontId="18" fillId="8" borderId="0" xfId="0" applyFont="1" applyFill="1" applyAlignment="1">
      <alignment horizontal="center" vertical="top" wrapText="1"/>
    </xf>
    <xf numFmtId="166" fontId="3" fillId="2" borderId="0" xfId="1" applyNumberFormat="1" applyFont="1" applyFill="1" applyBorder="1" applyAlignment="1" applyProtection="1">
      <alignment horizontal="center" vertical="center" wrapText="1"/>
    </xf>
    <xf numFmtId="0" fontId="15" fillId="9" borderId="9" xfId="0" applyFont="1" applyFill="1" applyBorder="1" applyAlignment="1">
      <alignment horizontal="center" vertical="center" wrapText="1"/>
    </xf>
    <xf numFmtId="0" fontId="19" fillId="9" borderId="9" xfId="0" applyFont="1" applyFill="1" applyBorder="1" applyAlignment="1">
      <alignment horizontal="center" vertical="center" wrapText="1"/>
    </xf>
    <xf numFmtId="9" fontId="18" fillId="8" borderId="0" xfId="0" applyNumberFormat="1" applyFont="1" applyFill="1" applyAlignment="1">
      <alignment horizontal="right" vertical="top" wrapText="1"/>
    </xf>
    <xf numFmtId="44" fontId="18" fillId="8" borderId="0" xfId="0" applyNumberFormat="1" applyFont="1" applyFill="1" applyAlignment="1">
      <alignment horizontal="right" vertical="top" wrapText="1"/>
    </xf>
    <xf numFmtId="4" fontId="18" fillId="8" borderId="0" xfId="0" applyNumberFormat="1" applyFont="1" applyFill="1" applyAlignment="1">
      <alignment horizontal="right" vertical="top" wrapText="1"/>
    </xf>
    <xf numFmtId="9" fontId="19" fillId="9" borderId="9" xfId="4" applyFont="1" applyFill="1" applyBorder="1" applyAlignment="1">
      <alignment horizontal="center" vertical="center" wrapText="1"/>
    </xf>
    <xf numFmtId="0" fontId="17" fillId="8" borderId="1" xfId="0" applyFont="1" applyFill="1" applyBorder="1" applyAlignment="1">
      <alignment horizontal="left" vertical="top" wrapText="1"/>
    </xf>
    <xf numFmtId="0" fontId="17" fillId="8" borderId="1" xfId="0" applyFont="1" applyFill="1" applyBorder="1" applyAlignment="1">
      <alignment horizontal="right" vertical="top" wrapText="1"/>
    </xf>
    <xf numFmtId="9" fontId="15" fillId="9" borderId="9" xfId="4" applyFont="1" applyFill="1" applyBorder="1" applyAlignment="1">
      <alignment horizontal="center" vertical="center" wrapText="1"/>
    </xf>
    <xf numFmtId="164" fontId="20" fillId="9" borderId="4" xfId="1" applyFont="1" applyFill="1" applyBorder="1" applyAlignment="1">
      <alignment horizontal="center" vertical="center"/>
    </xf>
    <xf numFmtId="164" fontId="21" fillId="9" borderId="4" xfId="1" applyFont="1" applyFill="1" applyBorder="1" applyAlignment="1">
      <alignment horizontal="center" vertical="center"/>
    </xf>
    <xf numFmtId="43" fontId="21" fillId="9" borderId="4" xfId="3" applyFont="1" applyFill="1" applyBorder="1" applyAlignment="1">
      <alignment horizontal="center"/>
    </xf>
    <xf numFmtId="0" fontId="15" fillId="9" borderId="4" xfId="0" applyFont="1" applyFill="1" applyBorder="1" applyAlignment="1">
      <alignment horizontal="center" vertical="center" wrapText="1"/>
    </xf>
    <xf numFmtId="9" fontId="15" fillId="9" borderId="9" xfId="4" applyFont="1" applyFill="1" applyBorder="1" applyAlignment="1">
      <alignment horizontal="center" vertical="top" wrapText="1"/>
    </xf>
    <xf numFmtId="0" fontId="15" fillId="9" borderId="9" xfId="0" applyFont="1" applyFill="1" applyBorder="1" applyAlignment="1">
      <alignment horizontal="center" vertical="top" wrapText="1"/>
    </xf>
    <xf numFmtId="0" fontId="15" fillId="9" borderId="0" xfId="0" applyFont="1" applyFill="1" applyAlignment="1">
      <alignment horizontal="center" vertical="top" wrapText="1"/>
    </xf>
    <xf numFmtId="164" fontId="21" fillId="9" borderId="4" xfId="1" applyFont="1" applyFill="1" applyBorder="1" applyAlignment="1">
      <alignment horizontal="center"/>
    </xf>
    <xf numFmtId="0" fontId="15" fillId="9" borderId="4" xfId="0" applyFont="1" applyFill="1" applyBorder="1" applyAlignment="1">
      <alignment horizontal="center" vertical="top" wrapText="1"/>
    </xf>
    <xf numFmtId="0" fontId="3" fillId="6" borderId="6" xfId="0" applyFont="1" applyFill="1" applyBorder="1" applyAlignment="1">
      <alignment horizontal="center" vertical="center" wrapText="1"/>
    </xf>
    <xf numFmtId="0" fontId="3" fillId="6" borderId="7" xfId="0" applyFont="1" applyFill="1" applyBorder="1" applyAlignment="1">
      <alignment horizontal="center" vertical="center" wrapText="1"/>
    </xf>
    <xf numFmtId="0" fontId="3" fillId="5" borderId="6" xfId="0" applyFont="1" applyFill="1" applyBorder="1" applyAlignment="1">
      <alignment horizontal="center" vertical="top" wrapText="1"/>
    </xf>
    <xf numFmtId="0" fontId="3" fillId="5" borderId="7" xfId="0" applyFont="1" applyFill="1" applyBorder="1" applyAlignment="1">
      <alignment horizontal="center" vertical="top" wrapText="1"/>
    </xf>
    <xf numFmtId="0" fontId="3" fillId="5" borderId="8" xfId="0" applyFont="1" applyFill="1" applyBorder="1" applyAlignment="1">
      <alignment horizontal="center" vertical="top" wrapText="1"/>
    </xf>
    <xf numFmtId="0" fontId="3" fillId="6" borderId="6" xfId="0" applyFont="1" applyFill="1" applyBorder="1" applyAlignment="1">
      <alignment horizontal="center" vertical="top" wrapText="1"/>
    </xf>
    <xf numFmtId="0" fontId="3" fillId="6" borderId="7" xfId="0" applyFont="1" applyFill="1" applyBorder="1" applyAlignment="1">
      <alignment horizontal="center" vertical="top" wrapText="1"/>
    </xf>
    <xf numFmtId="0" fontId="3" fillId="6" borderId="8" xfId="0" applyFont="1" applyFill="1" applyBorder="1" applyAlignment="1">
      <alignment horizontal="center" vertical="top" wrapText="1"/>
    </xf>
    <xf numFmtId="0" fontId="3" fillId="6" borderId="8" xfId="0" applyFont="1" applyFill="1" applyBorder="1" applyAlignment="1">
      <alignment horizontal="center" vertical="center" wrapText="1"/>
    </xf>
    <xf numFmtId="0" fontId="2" fillId="4" borderId="6" xfId="2" applyFont="1" applyFill="1" applyBorder="1" applyAlignment="1">
      <alignment horizontal="center" vertical="top" wrapText="1"/>
    </xf>
    <xf numFmtId="0" fontId="2" fillId="4" borderId="7" xfId="2" applyFont="1" applyFill="1" applyBorder="1" applyAlignment="1">
      <alignment horizontal="center" vertical="top" wrapText="1"/>
    </xf>
    <xf numFmtId="0" fontId="2" fillId="4" borderId="8" xfId="2" applyFont="1" applyFill="1" applyBorder="1" applyAlignment="1">
      <alignment horizontal="center" vertical="top" wrapText="1"/>
    </xf>
    <xf numFmtId="0" fontId="3" fillId="2" borderId="6" xfId="0" applyFont="1" applyFill="1" applyBorder="1" applyAlignment="1">
      <alignment horizontal="center" vertical="top" wrapText="1"/>
    </xf>
    <xf numFmtId="0" fontId="3" fillId="2" borderId="7" xfId="0" applyFont="1" applyFill="1" applyBorder="1" applyAlignment="1">
      <alignment horizontal="center" vertical="top" wrapText="1"/>
    </xf>
    <xf numFmtId="0" fontId="3" fillId="2" borderId="8" xfId="0" applyFont="1" applyFill="1" applyBorder="1" applyAlignment="1">
      <alignment horizontal="center" vertical="top" wrapText="1"/>
    </xf>
    <xf numFmtId="0" fontId="2" fillId="4" borderId="6" xfId="2" applyFont="1" applyFill="1" applyBorder="1" applyAlignment="1">
      <alignment horizontal="center" vertical="center" wrapText="1"/>
    </xf>
    <xf numFmtId="0" fontId="2" fillId="4" borderId="7" xfId="2" applyFont="1" applyFill="1" applyBorder="1" applyAlignment="1">
      <alignment horizontal="center" vertical="center" wrapText="1"/>
    </xf>
    <xf numFmtId="0" fontId="2" fillId="4" borderId="8" xfId="2" applyFont="1" applyFill="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4" borderId="6"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1" fillId="0" borderId="0" xfId="0" applyFont="1" applyAlignment="1">
      <alignment horizontal="left" vertical="top" wrapText="1"/>
    </xf>
    <xf numFmtId="0" fontId="2" fillId="0" borderId="0" xfId="0" applyFont="1" applyAlignment="1">
      <alignment horizontal="left" vertical="top" wrapText="1"/>
    </xf>
    <xf numFmtId="10" fontId="2" fillId="0" borderId="0" xfId="0" applyNumberFormat="1" applyFont="1" applyAlignment="1">
      <alignment horizontal="left" vertical="top" wrapText="1"/>
    </xf>
    <xf numFmtId="0" fontId="1" fillId="0" borderId="0" xfId="0" applyFont="1" applyAlignment="1">
      <alignment horizontal="center" wrapText="1"/>
    </xf>
    <xf numFmtId="0" fontId="3" fillId="2" borderId="1" xfId="0" applyFont="1" applyFill="1" applyBorder="1" applyAlignment="1">
      <alignment horizontal="left" vertical="center" wrapText="1"/>
    </xf>
    <xf numFmtId="0" fontId="2" fillId="2" borderId="1" xfId="0" applyFont="1" applyFill="1" applyBorder="1" applyAlignment="1">
      <alignment horizontal="left" vertical="center" wrapText="1"/>
    </xf>
    <xf numFmtId="0" fontId="6" fillId="3" borderId="1" xfId="0" applyFont="1" applyFill="1" applyBorder="1" applyAlignment="1">
      <alignment horizontal="center" vertical="center" wrapText="1"/>
    </xf>
    <xf numFmtId="164" fontId="16" fillId="0" borderId="1" xfId="1" applyFont="1" applyBorder="1"/>
    <xf numFmtId="0" fontId="2" fillId="0" borderId="0" xfId="2" applyFont="1" applyAlignment="1">
      <alignment horizontal="right" vertical="top" wrapText="1"/>
    </xf>
    <xf numFmtId="0" fontId="2" fillId="0" borderId="0" xfId="2" applyFont="1" applyAlignment="1">
      <alignment horizontal="left" vertical="top" wrapText="1"/>
    </xf>
    <xf numFmtId="0" fontId="2" fillId="3" borderId="0" xfId="0" applyFont="1" applyFill="1" applyAlignment="1">
      <alignment horizontal="left" vertical="top" wrapText="1"/>
    </xf>
    <xf numFmtId="4" fontId="2" fillId="3" borderId="0" xfId="0" applyNumberFormat="1" applyFont="1" applyFill="1" applyAlignment="1">
      <alignment horizontal="right" vertical="top" wrapText="1"/>
    </xf>
    <xf numFmtId="0" fontId="0" fillId="0" borderId="0" xfId="0"/>
    <xf numFmtId="0" fontId="18" fillId="8" borderId="0" xfId="0" applyFont="1" applyFill="1" applyAlignment="1">
      <alignment horizontal="left" vertical="top" wrapText="1"/>
    </xf>
    <xf numFmtId="0" fontId="13" fillId="8" borderId="0" xfId="0" applyFont="1" applyFill="1" applyAlignment="1">
      <alignment horizontal="center" vertical="top" wrapText="1"/>
    </xf>
    <xf numFmtId="0" fontId="19" fillId="9" borderId="1" xfId="0" applyFont="1" applyFill="1" applyBorder="1" applyAlignment="1">
      <alignment horizontal="center" vertical="top" wrapText="1"/>
    </xf>
    <xf numFmtId="0" fontId="19" fillId="9" borderId="1" xfId="0" applyFont="1" applyFill="1" applyBorder="1" applyAlignment="1">
      <alignment horizontal="center" vertical="center" wrapText="1"/>
    </xf>
    <xf numFmtId="0" fontId="19" fillId="9" borderId="1" xfId="0" applyFont="1" applyFill="1" applyBorder="1" applyAlignment="1">
      <alignment horizontal="center" vertical="center"/>
    </xf>
    <xf numFmtId="0" fontId="17" fillId="8" borderId="0" xfId="0" applyFont="1" applyFill="1" applyAlignment="1">
      <alignment horizontal="left" vertical="top" wrapText="1"/>
    </xf>
    <xf numFmtId="0" fontId="17" fillId="8" borderId="0" xfId="0" applyFont="1" applyFill="1" applyAlignment="1">
      <alignment horizontal="center" wrapText="1"/>
    </xf>
    <xf numFmtId="0" fontId="7" fillId="0" borderId="1" xfId="0" applyFont="1" applyBorder="1" applyAlignment="1">
      <alignment horizontal="center"/>
    </xf>
  </cellXfs>
  <cellStyles count="5">
    <cellStyle name="Moeda" xfId="1" builtinId="4"/>
    <cellStyle name="Normal" xfId="0" builtinId="0"/>
    <cellStyle name="Normal 2" xfId="2" xr:uid="{00000000-0005-0000-0000-000006000000}"/>
    <cellStyle name="Porcentagem" xfId="4" builtinId="5"/>
    <cellStyle name="Vírgula" xfId="3" builtinId="3"/>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CCCCC"/>
      <rgbColor rgb="FF808080"/>
      <rgbColor rgb="FF9999FF"/>
      <rgbColor rgb="FF993366"/>
      <rgbColor rgb="FFFFFFCC"/>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294480</xdr:colOff>
      <xdr:row>1</xdr:row>
      <xdr:rowOff>19080</xdr:rowOff>
    </xdr:from>
    <xdr:to>
      <xdr:col>14</xdr:col>
      <xdr:colOff>104040</xdr:colOff>
      <xdr:row>6</xdr:row>
      <xdr:rowOff>56520</xdr:rowOff>
    </xdr:to>
    <xdr:pic>
      <xdr:nvPicPr>
        <xdr:cNvPr id="2" name="Imagem 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srcRect t="10937" b="5326"/>
        <a:stretch/>
      </xdr:blipFill>
      <xdr:spPr>
        <a:xfrm>
          <a:off x="9977760" y="190440"/>
          <a:ext cx="3805920" cy="1771200"/>
        </a:xfrm>
        <a:prstGeom prst="rect">
          <a:avLst/>
        </a:prstGeom>
        <a:ln w="0">
          <a:noFill/>
        </a:ln>
      </xdr:spPr>
    </xdr:pic>
    <xdr:clientData/>
  </xdr:twoCellAnchor>
  <xdr:twoCellAnchor editAs="oneCell">
    <xdr:from>
      <xdr:col>8</xdr:col>
      <xdr:colOff>235440</xdr:colOff>
      <xdr:row>8</xdr:row>
      <xdr:rowOff>57240</xdr:rowOff>
    </xdr:from>
    <xdr:to>
      <xdr:col>14</xdr:col>
      <xdr:colOff>84600</xdr:colOff>
      <xdr:row>18</xdr:row>
      <xdr:rowOff>84960</xdr:rowOff>
    </xdr:to>
    <xdr:pic>
      <xdr:nvPicPr>
        <xdr:cNvPr id="3" name="Imagem 2">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2"/>
        <a:srcRect t="11207" b="6325"/>
        <a:stretch/>
      </xdr:blipFill>
      <xdr:spPr>
        <a:xfrm>
          <a:off x="9918720" y="2305080"/>
          <a:ext cx="3845520" cy="1742400"/>
        </a:xfrm>
        <a:prstGeom prst="rect">
          <a:avLst/>
        </a:prstGeom>
        <a:ln w="0">
          <a:noFill/>
        </a:ln>
      </xdr:spPr>
    </xdr:pic>
    <xdr:clientData/>
  </xdr:twoCellAnchor>
  <xdr:twoCellAnchor editAs="oneCell">
    <xdr:from>
      <xdr:col>8</xdr:col>
      <xdr:colOff>247680</xdr:colOff>
      <xdr:row>19</xdr:row>
      <xdr:rowOff>104400</xdr:rowOff>
    </xdr:from>
    <xdr:to>
      <xdr:col>14</xdr:col>
      <xdr:colOff>95760</xdr:colOff>
      <xdr:row>29</xdr:row>
      <xdr:rowOff>113760</xdr:rowOff>
    </xdr:to>
    <xdr:pic>
      <xdr:nvPicPr>
        <xdr:cNvPr id="4" name="Imagem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3"/>
        <a:srcRect t="11754" b="6586"/>
        <a:stretch/>
      </xdr:blipFill>
      <xdr:spPr>
        <a:xfrm>
          <a:off x="9930960" y="4238280"/>
          <a:ext cx="3844440" cy="1723680"/>
        </a:xfrm>
        <a:prstGeom prst="rect">
          <a:avLst/>
        </a:prstGeom>
        <a:ln w="0">
          <a:noFill/>
        </a:ln>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app.orcafascio.com/banco/sinapi/composicoes/689cd5c3cee2be6965244741?estado_sinapi=R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400"/>
  <sheetViews>
    <sheetView tabSelected="1" showOutlineSymbols="0" topLeftCell="A374" zoomScale="70" zoomScaleNormal="70" workbookViewId="0">
      <selection activeCell="A389" sqref="A389:C389"/>
    </sheetView>
  </sheetViews>
  <sheetFormatPr defaultColWidth="8.625" defaultRowHeight="14.25" x14ac:dyDescent="0.2"/>
  <cols>
    <col min="1" max="1" width="10" customWidth="1"/>
    <col min="2" max="2" width="33.5" customWidth="1"/>
    <col min="3" max="3" width="15" customWidth="1"/>
    <col min="4" max="4" width="60" customWidth="1"/>
    <col min="5" max="5" width="8" customWidth="1"/>
    <col min="6" max="6" width="13" customWidth="1"/>
    <col min="7" max="7" width="13.875" style="4" customWidth="1"/>
    <col min="8" max="8" width="18.75" style="56" bestFit="1" customWidth="1"/>
    <col min="9" max="9" width="19" style="86" customWidth="1"/>
    <col min="10" max="10" width="10.5" customWidth="1"/>
    <col min="12" max="12" width="13.75" customWidth="1"/>
    <col min="16384" max="16384" width="10.5" customWidth="1"/>
  </cols>
  <sheetData>
    <row r="1" spans="1:9" ht="15" customHeight="1" x14ac:dyDescent="0.2">
      <c r="A1" s="3"/>
      <c r="B1" s="3"/>
      <c r="C1" s="3"/>
      <c r="D1" s="3" t="s">
        <v>0</v>
      </c>
      <c r="E1" s="136" t="s">
        <v>1</v>
      </c>
      <c r="F1" s="136"/>
      <c r="G1" s="136" t="s">
        <v>2</v>
      </c>
      <c r="H1" s="136"/>
      <c r="I1" s="72"/>
    </row>
    <row r="2" spans="1:9" ht="79.5" customHeight="1" x14ac:dyDescent="0.2">
      <c r="A2" s="2"/>
      <c r="B2" s="2"/>
      <c r="C2" s="2"/>
      <c r="D2" s="2" t="s">
        <v>4</v>
      </c>
      <c r="E2" s="137" t="s">
        <v>835</v>
      </c>
      <c r="F2" s="137"/>
      <c r="G2" s="138">
        <v>0.26379999999999998</v>
      </c>
      <c r="H2" s="137"/>
      <c r="I2" s="73"/>
    </row>
    <row r="3" spans="1:9" ht="15" customHeight="1" x14ac:dyDescent="0.25">
      <c r="A3" s="139" t="s">
        <v>5</v>
      </c>
      <c r="B3" s="139"/>
      <c r="C3" s="139"/>
      <c r="D3" s="139"/>
      <c r="E3" s="139"/>
      <c r="F3" s="139"/>
      <c r="G3" s="139"/>
      <c r="H3" s="139"/>
      <c r="I3" s="139"/>
    </row>
    <row r="4" spans="1:9" ht="30" customHeight="1" x14ac:dyDescent="0.2">
      <c r="A4" s="5" t="s">
        <v>6</v>
      </c>
      <c r="B4" s="5" t="s">
        <v>7</v>
      </c>
      <c r="C4" s="5" t="s">
        <v>8</v>
      </c>
      <c r="D4" s="5" t="s">
        <v>9</v>
      </c>
      <c r="E4" s="5" t="s">
        <v>10</v>
      </c>
      <c r="F4" s="5" t="s">
        <v>11</v>
      </c>
      <c r="G4" s="6" t="s">
        <v>12</v>
      </c>
      <c r="H4" s="57" t="s">
        <v>13</v>
      </c>
      <c r="I4" s="48" t="s">
        <v>14</v>
      </c>
    </row>
    <row r="5" spans="1:9" ht="24" customHeight="1" x14ac:dyDescent="0.2">
      <c r="A5" s="7" t="s">
        <v>15</v>
      </c>
      <c r="B5" s="140" t="s">
        <v>16</v>
      </c>
      <c r="C5" s="140"/>
      <c r="D5" s="140"/>
      <c r="E5" s="140"/>
      <c r="F5" s="140"/>
      <c r="G5" s="140"/>
      <c r="H5" s="140"/>
      <c r="I5" s="70">
        <f>I6</f>
        <v>1165.77</v>
      </c>
    </row>
    <row r="6" spans="1:9" ht="25.5" customHeight="1" x14ac:dyDescent="0.2">
      <c r="A6" s="8" t="s">
        <v>17</v>
      </c>
      <c r="B6" s="9">
        <v>103689</v>
      </c>
      <c r="C6" s="10" t="s">
        <v>18</v>
      </c>
      <c r="D6" s="11" t="s">
        <v>19</v>
      </c>
      <c r="E6" s="8" t="s">
        <v>20</v>
      </c>
      <c r="F6" s="9">
        <v>2</v>
      </c>
      <c r="G6" s="56">
        <v>461.22</v>
      </c>
      <c r="H6" s="57">
        <f>G6*(1.2638)</f>
        <v>582.88983600000006</v>
      </c>
      <c r="I6" s="68">
        <f>TRUNC(F6 * H6, 2)</f>
        <v>1165.77</v>
      </c>
    </row>
    <row r="7" spans="1:9" ht="24" customHeight="1" x14ac:dyDescent="0.2">
      <c r="A7" s="7" t="s">
        <v>21</v>
      </c>
      <c r="B7" s="140" t="s">
        <v>22</v>
      </c>
      <c r="C7" s="140"/>
      <c r="D7" s="140"/>
      <c r="E7" s="140"/>
      <c r="F7" s="140"/>
      <c r="G7" s="140"/>
      <c r="H7" s="140"/>
      <c r="I7" s="70">
        <f>I8+I10+I57+I84+I105</f>
        <v>221464.10000000003</v>
      </c>
    </row>
    <row r="8" spans="1:9" ht="24" customHeight="1" x14ac:dyDescent="0.2">
      <c r="A8" s="39" t="s">
        <v>23</v>
      </c>
      <c r="B8" s="133" t="s">
        <v>24</v>
      </c>
      <c r="C8" s="134"/>
      <c r="D8" s="134"/>
      <c r="E8" s="134"/>
      <c r="F8" s="134"/>
      <c r="G8" s="134"/>
      <c r="H8" s="135"/>
      <c r="I8" s="67">
        <f>I9</f>
        <v>6712.88</v>
      </c>
    </row>
    <row r="9" spans="1:9" ht="39" customHeight="1" x14ac:dyDescent="0.2">
      <c r="A9" s="8" t="s">
        <v>25</v>
      </c>
      <c r="B9" s="8" t="s">
        <v>26</v>
      </c>
      <c r="C9" s="8" t="s">
        <v>18</v>
      </c>
      <c r="D9" s="11" t="s">
        <v>27</v>
      </c>
      <c r="E9" s="8" t="s">
        <v>28</v>
      </c>
      <c r="F9" s="9">
        <v>84.5</v>
      </c>
      <c r="G9" s="56">
        <v>62.86</v>
      </c>
      <c r="H9" s="57">
        <f>G9*(1.2638)</f>
        <v>79.442468000000005</v>
      </c>
      <c r="I9" s="68">
        <f>TRUNC(F9 * H9, 2)</f>
        <v>6712.88</v>
      </c>
    </row>
    <row r="10" spans="1:9" ht="24" customHeight="1" x14ac:dyDescent="0.2">
      <c r="A10" s="39" t="s">
        <v>29</v>
      </c>
      <c r="B10" s="39"/>
      <c r="C10" s="39"/>
      <c r="D10" s="40" t="s">
        <v>30</v>
      </c>
      <c r="E10" s="40"/>
      <c r="F10" s="41"/>
      <c r="G10" s="42"/>
      <c r="H10" s="57"/>
      <c r="I10" s="67">
        <f>I11+I19+I25+I29+I38+I45+I55</f>
        <v>147596.88</v>
      </c>
    </row>
    <row r="11" spans="1:9" ht="24" customHeight="1" x14ac:dyDescent="0.2">
      <c r="A11" s="12" t="s">
        <v>31</v>
      </c>
      <c r="B11" s="130" t="s">
        <v>32</v>
      </c>
      <c r="C11" s="131"/>
      <c r="D11" s="131"/>
      <c r="E11" s="131"/>
      <c r="F11" s="131"/>
      <c r="G11" s="131"/>
      <c r="H11" s="132"/>
      <c r="I11" s="69">
        <f>SUM(I12:I18)</f>
        <v>58000.659999999996</v>
      </c>
    </row>
    <row r="12" spans="1:9" ht="64.5" customHeight="1" x14ac:dyDescent="0.2">
      <c r="A12" s="8" t="s">
        <v>33</v>
      </c>
      <c r="B12" s="8">
        <v>103360</v>
      </c>
      <c r="C12" s="8" t="s">
        <v>18</v>
      </c>
      <c r="D12" s="10" t="s">
        <v>34</v>
      </c>
      <c r="E12" s="8" t="s">
        <v>20</v>
      </c>
      <c r="F12" s="9">
        <f>63.49+94.31+2.13+2.13+42.67</f>
        <v>204.73000000000002</v>
      </c>
      <c r="G12" s="56">
        <v>81.92</v>
      </c>
      <c r="H12" s="57">
        <f>G12*(1.2638)</f>
        <v>103.530496</v>
      </c>
      <c r="I12" s="68">
        <f>TRUNC(F12 * H12, 2)</f>
        <v>21195.79</v>
      </c>
    </row>
    <row r="13" spans="1:9" ht="64.5" customHeight="1" x14ac:dyDescent="0.2">
      <c r="A13" s="8" t="s">
        <v>730</v>
      </c>
      <c r="B13" s="8">
        <v>87879</v>
      </c>
      <c r="C13" s="8" t="s">
        <v>18</v>
      </c>
      <c r="D13" s="11" t="s">
        <v>35</v>
      </c>
      <c r="E13" s="8" t="s">
        <v>20</v>
      </c>
      <c r="F13" s="9">
        <f>63.49+108.68</f>
        <v>172.17000000000002</v>
      </c>
      <c r="G13" s="57">
        <v>4.7300000000000004</v>
      </c>
      <c r="H13" s="57">
        <f t="shared" ref="H13:H18" si="0">G13*(1.2638)</f>
        <v>5.977774000000001</v>
      </c>
      <c r="I13" s="68">
        <f t="shared" ref="I13:I18" si="1">TRUNC(F13 * H13, 2)</f>
        <v>1029.19</v>
      </c>
    </row>
    <row r="14" spans="1:9" ht="64.5" customHeight="1" x14ac:dyDescent="0.2">
      <c r="A14" s="8" t="s">
        <v>731</v>
      </c>
      <c r="B14" s="8">
        <v>87905</v>
      </c>
      <c r="C14" s="8" t="s">
        <v>18</v>
      </c>
      <c r="D14" s="11" t="s">
        <v>36</v>
      </c>
      <c r="E14" s="8" t="s">
        <v>20</v>
      </c>
      <c r="F14" s="9">
        <f>63.49+67.98+2.13+2.13+42.67</f>
        <v>178.39999999999998</v>
      </c>
      <c r="G14" s="57">
        <v>8.43</v>
      </c>
      <c r="H14" s="57">
        <f t="shared" si="0"/>
        <v>10.653834</v>
      </c>
      <c r="I14" s="68">
        <f t="shared" si="1"/>
        <v>1900.64</v>
      </c>
    </row>
    <row r="15" spans="1:9" ht="51.75" customHeight="1" x14ac:dyDescent="0.2">
      <c r="A15" s="8" t="s">
        <v>732</v>
      </c>
      <c r="B15" s="8">
        <v>87777</v>
      </c>
      <c r="C15" s="8" t="s">
        <v>18</v>
      </c>
      <c r="D15" s="11" t="s">
        <v>37</v>
      </c>
      <c r="E15" s="8" t="s">
        <v>20</v>
      </c>
      <c r="F15" s="9">
        <f>(63.49+67.98)+(30.4+49.63)+2.13+2.13+42.67</f>
        <v>258.43</v>
      </c>
      <c r="G15" s="57">
        <v>59.91</v>
      </c>
      <c r="H15" s="57">
        <f t="shared" si="0"/>
        <v>75.714258000000001</v>
      </c>
      <c r="I15" s="68">
        <f t="shared" si="1"/>
        <v>19566.830000000002</v>
      </c>
    </row>
    <row r="16" spans="1:9" ht="51.75" customHeight="1" x14ac:dyDescent="0.2">
      <c r="A16" s="8" t="s">
        <v>733</v>
      </c>
      <c r="B16" s="8">
        <v>105036</v>
      </c>
      <c r="C16" s="8" t="s">
        <v>18</v>
      </c>
      <c r="D16" s="11" t="s">
        <v>38</v>
      </c>
      <c r="E16" s="8" t="s">
        <v>28</v>
      </c>
      <c r="F16" s="9">
        <v>20.399999999999999</v>
      </c>
      <c r="G16" s="57">
        <v>49.17</v>
      </c>
      <c r="H16" s="57">
        <f t="shared" si="0"/>
        <v>62.141046000000003</v>
      </c>
      <c r="I16" s="68">
        <f t="shared" si="1"/>
        <v>1267.67</v>
      </c>
    </row>
    <row r="17" spans="1:9" ht="51.75" customHeight="1" x14ac:dyDescent="0.2">
      <c r="A17" s="8" t="s">
        <v>734</v>
      </c>
      <c r="B17" s="8">
        <v>105039</v>
      </c>
      <c r="C17" s="8" t="s">
        <v>18</v>
      </c>
      <c r="D17" s="11" t="s">
        <v>39</v>
      </c>
      <c r="E17" s="8" t="s">
        <v>28</v>
      </c>
      <c r="F17" s="9">
        <v>14.4</v>
      </c>
      <c r="G17" s="57">
        <v>48.96</v>
      </c>
      <c r="H17" s="57">
        <f t="shared" si="0"/>
        <v>61.875648000000005</v>
      </c>
      <c r="I17" s="68">
        <f t="shared" si="1"/>
        <v>891</v>
      </c>
    </row>
    <row r="18" spans="1:9" ht="51.75" customHeight="1" x14ac:dyDescent="0.2">
      <c r="A18" s="8" t="s">
        <v>735</v>
      </c>
      <c r="B18" s="8">
        <v>102257</v>
      </c>
      <c r="C18" s="8" t="s">
        <v>18</v>
      </c>
      <c r="D18" s="11" t="s">
        <v>40</v>
      </c>
      <c r="E18" s="8" t="s">
        <v>20</v>
      </c>
      <c r="F18" s="9">
        <f>24.57</f>
        <v>24.57</v>
      </c>
      <c r="G18" s="57">
        <v>391.27</v>
      </c>
      <c r="H18" s="57">
        <f t="shared" si="0"/>
        <v>494.48702600000001</v>
      </c>
      <c r="I18" s="68">
        <f t="shared" si="1"/>
        <v>12149.54</v>
      </c>
    </row>
    <row r="19" spans="1:9" ht="24" customHeight="1" x14ac:dyDescent="0.2">
      <c r="A19" s="12" t="s">
        <v>41</v>
      </c>
      <c r="B19" s="130" t="s">
        <v>42</v>
      </c>
      <c r="C19" s="131"/>
      <c r="D19" s="131"/>
      <c r="E19" s="131"/>
      <c r="F19" s="131"/>
      <c r="G19" s="131"/>
      <c r="H19" s="132"/>
      <c r="I19" s="69">
        <f>SUM(I20:I24)</f>
        <v>10464.939999999999</v>
      </c>
    </row>
    <row r="20" spans="1:9" ht="39" customHeight="1" x14ac:dyDescent="0.2">
      <c r="A20" s="8" t="s">
        <v>43</v>
      </c>
      <c r="B20" s="8" t="s">
        <v>44</v>
      </c>
      <c r="C20" s="8" t="s">
        <v>18</v>
      </c>
      <c r="D20" s="11" t="s">
        <v>45</v>
      </c>
      <c r="E20" s="8" t="s">
        <v>46</v>
      </c>
      <c r="F20" s="9">
        <f>74.12*0.2</f>
        <v>14.824000000000002</v>
      </c>
      <c r="G20" s="57">
        <v>6.9</v>
      </c>
      <c r="H20" s="57">
        <f>G20*(1.2638)</f>
        <v>8.7202200000000012</v>
      </c>
      <c r="I20" s="68">
        <f>TRUNC(F20 * H20, 2)</f>
        <v>129.26</v>
      </c>
    </row>
    <row r="21" spans="1:9" ht="39" customHeight="1" x14ac:dyDescent="0.2">
      <c r="A21" s="8" t="s">
        <v>736</v>
      </c>
      <c r="B21" s="8">
        <v>94342</v>
      </c>
      <c r="C21" s="8" t="s">
        <v>18</v>
      </c>
      <c r="D21" s="11" t="s">
        <v>47</v>
      </c>
      <c r="E21" s="8" t="s">
        <v>46</v>
      </c>
      <c r="F21" s="9">
        <v>8.7200000000000006</v>
      </c>
      <c r="G21" s="57">
        <v>95.07</v>
      </c>
      <c r="H21" s="57">
        <f t="shared" ref="H21:H24" si="2">G21*(1.2638)</f>
        <v>120.14946599999999</v>
      </c>
      <c r="I21" s="68">
        <f t="shared" ref="I21:I24" si="3">TRUNC(F21 * H21, 2)</f>
        <v>1047.7</v>
      </c>
    </row>
    <row r="22" spans="1:9" ht="38.25" x14ac:dyDescent="0.2">
      <c r="A22" s="8" t="s">
        <v>737</v>
      </c>
      <c r="B22" s="8">
        <v>94964</v>
      </c>
      <c r="C22" s="8" t="s">
        <v>18</v>
      </c>
      <c r="D22" s="11" t="s">
        <v>48</v>
      </c>
      <c r="E22" s="8" t="s">
        <v>20</v>
      </c>
      <c r="F22" s="9">
        <f>74.12*0.05</f>
        <v>3.7060000000000004</v>
      </c>
      <c r="G22" s="57">
        <v>525.49</v>
      </c>
      <c r="H22" s="57">
        <f t="shared" si="2"/>
        <v>664.11426200000005</v>
      </c>
      <c r="I22" s="68">
        <f t="shared" si="3"/>
        <v>2461.1999999999998</v>
      </c>
    </row>
    <row r="23" spans="1:9" ht="51.75" customHeight="1" x14ac:dyDescent="0.2">
      <c r="A23" s="8" t="s">
        <v>738</v>
      </c>
      <c r="B23" s="8">
        <v>96622</v>
      </c>
      <c r="C23" s="8" t="s">
        <v>18</v>
      </c>
      <c r="D23" s="11" t="s">
        <v>49</v>
      </c>
      <c r="E23" s="8" t="s">
        <v>46</v>
      </c>
      <c r="F23" s="9">
        <f>74.12*0.05</f>
        <v>3.7060000000000004</v>
      </c>
      <c r="G23" s="57">
        <v>209.95</v>
      </c>
      <c r="H23" s="57">
        <f t="shared" si="2"/>
        <v>265.33481</v>
      </c>
      <c r="I23" s="68">
        <f t="shared" si="3"/>
        <v>983.33</v>
      </c>
    </row>
    <row r="24" spans="1:9" ht="51.75" customHeight="1" x14ac:dyDescent="0.2">
      <c r="A24" s="8" t="s">
        <v>739</v>
      </c>
      <c r="B24" s="8">
        <v>87248</v>
      </c>
      <c r="C24" s="8" t="s">
        <v>18</v>
      </c>
      <c r="D24" s="11" t="s">
        <v>50</v>
      </c>
      <c r="E24" s="8" t="s">
        <v>20</v>
      </c>
      <c r="F24" s="9">
        <v>81.72</v>
      </c>
      <c r="G24" s="57">
        <v>56.58</v>
      </c>
      <c r="H24" s="57">
        <f t="shared" si="2"/>
        <v>71.505803999999998</v>
      </c>
      <c r="I24" s="68">
        <f t="shared" si="3"/>
        <v>5843.45</v>
      </c>
    </row>
    <row r="25" spans="1:9" ht="24" customHeight="1" x14ac:dyDescent="0.2">
      <c r="A25" s="12" t="s">
        <v>51</v>
      </c>
      <c r="B25" s="130" t="s">
        <v>52</v>
      </c>
      <c r="C25" s="131"/>
      <c r="D25" s="131"/>
      <c r="E25" s="131"/>
      <c r="F25" s="131"/>
      <c r="G25" s="131"/>
      <c r="H25" s="132"/>
      <c r="I25" s="69">
        <f>SUM(I26:I28)</f>
        <v>16380.740000000002</v>
      </c>
    </row>
    <row r="26" spans="1:9" ht="64.5" customHeight="1" x14ac:dyDescent="0.2">
      <c r="A26" s="8" t="s">
        <v>53</v>
      </c>
      <c r="B26" s="8">
        <v>87275</v>
      </c>
      <c r="C26" s="8" t="s">
        <v>18</v>
      </c>
      <c r="D26" s="11" t="s">
        <v>54</v>
      </c>
      <c r="E26" s="8" t="s">
        <v>20</v>
      </c>
      <c r="F26" s="9">
        <f>41.46+67.68</f>
        <v>109.14000000000001</v>
      </c>
      <c r="G26" s="57">
        <v>76.92</v>
      </c>
      <c r="H26" s="57">
        <f>G26*(1.2638)</f>
        <v>97.211496000000011</v>
      </c>
      <c r="I26" s="68">
        <f>TRUNC(F26 * H26, 2)</f>
        <v>10609.66</v>
      </c>
    </row>
    <row r="27" spans="1:9" ht="25.5" customHeight="1" x14ac:dyDescent="0.2">
      <c r="A27" s="8" t="s">
        <v>55</v>
      </c>
      <c r="B27" s="8">
        <v>88485</v>
      </c>
      <c r="C27" s="8" t="s">
        <v>18</v>
      </c>
      <c r="D27" s="11" t="s">
        <v>57</v>
      </c>
      <c r="E27" s="8" t="s">
        <v>20</v>
      </c>
      <c r="F27" s="9">
        <f>(63.49+67.98)+(30.4+49.63)+2.13+2.13+42.67</f>
        <v>258.43</v>
      </c>
      <c r="G27" s="57">
        <v>3.87</v>
      </c>
      <c r="H27" s="57">
        <f t="shared" ref="H27:H28" si="4">G27*(1.2638)</f>
        <v>4.8909060000000002</v>
      </c>
      <c r="I27" s="68">
        <f t="shared" ref="I27:I28" si="5">TRUNC(F27 * H27, 2)</f>
        <v>1263.95</v>
      </c>
    </row>
    <row r="28" spans="1:9" ht="25.5" customHeight="1" x14ac:dyDescent="0.2">
      <c r="A28" s="8" t="s">
        <v>58</v>
      </c>
      <c r="B28" s="8" t="s">
        <v>59</v>
      </c>
      <c r="C28" s="8" t="s">
        <v>18</v>
      </c>
      <c r="D28" s="11" t="s">
        <v>60</v>
      </c>
      <c r="E28" s="8" t="s">
        <v>20</v>
      </c>
      <c r="F28" s="9">
        <f>(63.49+67.98)+(30.4+49.63)+2.13+2.13+42.67</f>
        <v>258.43</v>
      </c>
      <c r="G28" s="57">
        <v>13.8</v>
      </c>
      <c r="H28" s="57">
        <f t="shared" si="4"/>
        <v>17.440440000000002</v>
      </c>
      <c r="I28" s="68">
        <f t="shared" si="5"/>
        <v>4507.13</v>
      </c>
    </row>
    <row r="29" spans="1:9" ht="24" customHeight="1" x14ac:dyDescent="0.2">
      <c r="A29" s="12" t="s">
        <v>61</v>
      </c>
      <c r="B29" s="130" t="s">
        <v>62</v>
      </c>
      <c r="C29" s="131"/>
      <c r="D29" s="131"/>
      <c r="E29" s="131"/>
      <c r="F29" s="131"/>
      <c r="G29" s="131"/>
      <c r="H29" s="132"/>
      <c r="I29" s="69">
        <f>SUM(I30:I37)</f>
        <v>27065.48</v>
      </c>
    </row>
    <row r="30" spans="1:9" ht="76.5" x14ac:dyDescent="0.2">
      <c r="A30" s="8" t="s">
        <v>63</v>
      </c>
      <c r="B30" s="8">
        <v>94570</v>
      </c>
      <c r="C30" s="8" t="s">
        <v>18</v>
      </c>
      <c r="D30" s="11" t="s">
        <v>64</v>
      </c>
      <c r="E30" s="8" t="s">
        <v>20</v>
      </c>
      <c r="F30" s="9">
        <f>1.2*1*8</f>
        <v>9.6</v>
      </c>
      <c r="G30" s="57">
        <v>418.3</v>
      </c>
      <c r="H30" s="57">
        <f>G30*(1.2638)</f>
        <v>528.64754000000005</v>
      </c>
      <c r="I30" s="68">
        <f>TRUNC(F30 * H30, 2)</f>
        <v>5075.01</v>
      </c>
    </row>
    <row r="31" spans="1:9" ht="25.5" x14ac:dyDescent="0.2">
      <c r="A31" s="8" t="s">
        <v>740</v>
      </c>
      <c r="B31" s="8"/>
      <c r="C31" s="8" t="s">
        <v>65</v>
      </c>
      <c r="D31" s="11" t="s">
        <v>66</v>
      </c>
      <c r="E31" s="8" t="s">
        <v>67</v>
      </c>
      <c r="F31" s="9">
        <v>9</v>
      </c>
      <c r="G31" s="58">
        <v>196.24</v>
      </c>
      <c r="H31" s="57">
        <f t="shared" ref="H31:H37" si="6">G31*(1.2638)</f>
        <v>248.00811200000001</v>
      </c>
      <c r="I31" s="68">
        <f t="shared" ref="I31:I37" si="7">TRUNC(F31 * H31, 2)</f>
        <v>2232.0700000000002</v>
      </c>
    </row>
    <row r="32" spans="1:9" ht="42.75" x14ac:dyDescent="0.2">
      <c r="A32" s="8" t="s">
        <v>741</v>
      </c>
      <c r="B32" s="8">
        <v>91341</v>
      </c>
      <c r="C32" s="8" t="s">
        <v>18</v>
      </c>
      <c r="D32" s="13" t="s">
        <v>68</v>
      </c>
      <c r="E32" s="8" t="s">
        <v>69</v>
      </c>
      <c r="F32" s="9">
        <f>(1.9*0.6*8)</f>
        <v>9.1199999999999992</v>
      </c>
      <c r="G32" s="57">
        <v>895.16</v>
      </c>
      <c r="H32" s="57">
        <f t="shared" si="6"/>
        <v>1131.303208</v>
      </c>
      <c r="I32" s="68">
        <f t="shared" si="7"/>
        <v>10317.48</v>
      </c>
    </row>
    <row r="33" spans="1:9" ht="64.5" customHeight="1" x14ac:dyDescent="0.2">
      <c r="A33" s="8" t="s">
        <v>742</v>
      </c>
      <c r="B33" s="8">
        <v>90825</v>
      </c>
      <c r="C33" s="8" t="s">
        <v>18</v>
      </c>
      <c r="D33" s="11" t="s">
        <v>70</v>
      </c>
      <c r="E33" s="8" t="s">
        <v>67</v>
      </c>
      <c r="F33" s="9">
        <v>1</v>
      </c>
      <c r="G33" s="57">
        <v>892.02</v>
      </c>
      <c r="H33" s="57">
        <f t="shared" si="6"/>
        <v>1127.3348759999999</v>
      </c>
      <c r="I33" s="68">
        <f t="shared" si="7"/>
        <v>1127.33</v>
      </c>
    </row>
    <row r="34" spans="1:9" ht="64.5" customHeight="1" x14ac:dyDescent="0.2">
      <c r="A34" s="8" t="s">
        <v>743</v>
      </c>
      <c r="B34" s="8">
        <v>91305</v>
      </c>
      <c r="C34" s="8" t="s">
        <v>18</v>
      </c>
      <c r="D34" s="11" t="s">
        <v>71</v>
      </c>
      <c r="E34" s="8" t="s">
        <v>67</v>
      </c>
      <c r="F34" s="9">
        <v>1</v>
      </c>
      <c r="G34" s="57">
        <v>134.24</v>
      </c>
      <c r="H34" s="57">
        <f t="shared" si="6"/>
        <v>169.65251200000003</v>
      </c>
      <c r="I34" s="68">
        <f t="shared" si="7"/>
        <v>169.65</v>
      </c>
    </row>
    <row r="35" spans="1:9" ht="64.5" customHeight="1" x14ac:dyDescent="0.2">
      <c r="A35" s="8" t="s">
        <v>744</v>
      </c>
      <c r="B35" s="8">
        <v>100693</v>
      </c>
      <c r="C35" s="8" t="s">
        <v>18</v>
      </c>
      <c r="D35" s="11" t="s">
        <v>72</v>
      </c>
      <c r="E35" s="8" t="s">
        <v>67</v>
      </c>
      <c r="F35" s="9">
        <v>2</v>
      </c>
      <c r="G35" s="57">
        <v>2273.19</v>
      </c>
      <c r="H35" s="57">
        <f t="shared" si="6"/>
        <v>2872.8575220000002</v>
      </c>
      <c r="I35" s="68">
        <f t="shared" si="7"/>
        <v>5745.71</v>
      </c>
    </row>
    <row r="36" spans="1:9" ht="64.5" customHeight="1" x14ac:dyDescent="0.2">
      <c r="A36" s="8" t="s">
        <v>745</v>
      </c>
      <c r="B36" s="8">
        <v>1090070</v>
      </c>
      <c r="C36" s="8" t="s">
        <v>73</v>
      </c>
      <c r="D36" s="11" t="s">
        <v>74</v>
      </c>
      <c r="E36" s="8" t="s">
        <v>20</v>
      </c>
      <c r="F36" s="9">
        <f>1.1*2.1</f>
        <v>2.3100000000000005</v>
      </c>
      <c r="G36" s="57">
        <v>676.9</v>
      </c>
      <c r="H36" s="57">
        <f t="shared" si="6"/>
        <v>855.46622000000002</v>
      </c>
      <c r="I36" s="68">
        <f t="shared" si="7"/>
        <v>1976.12</v>
      </c>
    </row>
    <row r="37" spans="1:9" ht="25.5" customHeight="1" x14ac:dyDescent="0.2">
      <c r="A37" s="8" t="s">
        <v>746</v>
      </c>
      <c r="B37" s="8">
        <v>102213</v>
      </c>
      <c r="C37" s="8" t="s">
        <v>18</v>
      </c>
      <c r="D37" s="11" t="s">
        <v>75</v>
      </c>
      <c r="E37" s="8" t="s">
        <v>20</v>
      </c>
      <c r="F37" s="9">
        <f>(0.9*2.1*2)+(0.8*2.1*2*2)+(1.1*2.1*2)</f>
        <v>15.120000000000001</v>
      </c>
      <c r="G37" s="57">
        <v>22.09</v>
      </c>
      <c r="H37" s="57">
        <f t="shared" si="6"/>
        <v>27.917342000000001</v>
      </c>
      <c r="I37" s="68">
        <f t="shared" si="7"/>
        <v>422.11</v>
      </c>
    </row>
    <row r="38" spans="1:9" ht="24" customHeight="1" x14ac:dyDescent="0.2">
      <c r="A38" s="12" t="s">
        <v>76</v>
      </c>
      <c r="B38" s="130" t="s">
        <v>77</v>
      </c>
      <c r="C38" s="131"/>
      <c r="D38" s="131"/>
      <c r="E38" s="131"/>
      <c r="F38" s="131"/>
      <c r="G38" s="131"/>
      <c r="H38" s="132"/>
      <c r="I38" s="69">
        <f>SUM(I39:I44)</f>
        <v>20839.39</v>
      </c>
    </row>
    <row r="39" spans="1:9" ht="51.75" customHeight="1" x14ac:dyDescent="0.2">
      <c r="A39" s="8" t="s">
        <v>78</v>
      </c>
      <c r="B39" s="8">
        <v>92259</v>
      </c>
      <c r="C39" s="8" t="s">
        <v>18</v>
      </c>
      <c r="D39" s="11" t="s">
        <v>79</v>
      </c>
      <c r="E39" s="8" t="s">
        <v>67</v>
      </c>
      <c r="F39" s="9">
        <v>8</v>
      </c>
      <c r="G39" s="57">
        <v>433.91</v>
      </c>
      <c r="H39" s="57">
        <f>G39*(1.2638)</f>
        <v>548.37545800000009</v>
      </c>
      <c r="I39" s="68">
        <f>TRUNC(F39 * H39, 2)</f>
        <v>4387</v>
      </c>
    </row>
    <row r="40" spans="1:9" ht="39" customHeight="1" x14ac:dyDescent="0.2">
      <c r="A40" s="8" t="s">
        <v>80</v>
      </c>
      <c r="B40" s="8">
        <v>92261</v>
      </c>
      <c r="C40" s="8" t="s">
        <v>18</v>
      </c>
      <c r="D40" s="11" t="s">
        <v>81</v>
      </c>
      <c r="E40" s="8" t="s">
        <v>67</v>
      </c>
      <c r="F40" s="9">
        <v>2</v>
      </c>
      <c r="G40" s="57">
        <v>588.37</v>
      </c>
      <c r="H40" s="57">
        <f t="shared" ref="H40:H44" si="8">G40*(1.2638)</f>
        <v>743.58200599999998</v>
      </c>
      <c r="I40" s="68">
        <f t="shared" ref="I40:I44" si="9">TRUNC(F40 * H40, 2)</f>
        <v>1487.16</v>
      </c>
    </row>
    <row r="41" spans="1:9" ht="39" customHeight="1" x14ac:dyDescent="0.2">
      <c r="A41" s="8" t="s">
        <v>707</v>
      </c>
      <c r="B41" s="8">
        <v>92543</v>
      </c>
      <c r="C41" s="8" t="s">
        <v>18</v>
      </c>
      <c r="D41" s="11" t="s">
        <v>82</v>
      </c>
      <c r="E41" s="8" t="s">
        <v>20</v>
      </c>
      <c r="F41" s="9">
        <f>6.36*2</f>
        <v>12.72</v>
      </c>
      <c r="G41" s="57">
        <v>25.42</v>
      </c>
      <c r="H41" s="57">
        <f t="shared" si="8"/>
        <v>32.125796000000001</v>
      </c>
      <c r="I41" s="68">
        <f t="shared" si="9"/>
        <v>408.64</v>
      </c>
    </row>
    <row r="42" spans="1:9" ht="51.75" customHeight="1" x14ac:dyDescent="0.2">
      <c r="A42" s="8" t="s">
        <v>708</v>
      </c>
      <c r="B42" s="8" t="s">
        <v>83</v>
      </c>
      <c r="C42" s="8" t="s">
        <v>18</v>
      </c>
      <c r="D42" s="11" t="s">
        <v>84</v>
      </c>
      <c r="E42" s="8" t="s">
        <v>20</v>
      </c>
      <c r="F42" s="9">
        <f>32.15+53.2</f>
        <v>85.35</v>
      </c>
      <c r="G42" s="57">
        <v>47.46</v>
      </c>
      <c r="H42" s="57">
        <f t="shared" si="8"/>
        <v>59.979948</v>
      </c>
      <c r="I42" s="68">
        <f t="shared" si="9"/>
        <v>5119.28</v>
      </c>
    </row>
    <row r="43" spans="1:9" ht="39" customHeight="1" x14ac:dyDescent="0.2">
      <c r="A43" s="8" t="s">
        <v>709</v>
      </c>
      <c r="B43" s="8" t="s">
        <v>85</v>
      </c>
      <c r="C43" s="8" t="s">
        <v>18</v>
      </c>
      <c r="D43" s="11" t="s">
        <v>86</v>
      </c>
      <c r="E43" s="8" t="s">
        <v>28</v>
      </c>
      <c r="F43" s="9">
        <f>9.5+2.12</f>
        <v>11.620000000000001</v>
      </c>
      <c r="G43" s="57">
        <v>79.02</v>
      </c>
      <c r="H43" s="57">
        <f t="shared" si="8"/>
        <v>99.865476000000001</v>
      </c>
      <c r="I43" s="68">
        <f t="shared" si="9"/>
        <v>1160.43</v>
      </c>
    </row>
    <row r="44" spans="1:9" ht="25.5" customHeight="1" x14ac:dyDescent="0.2">
      <c r="A44" s="8" t="s">
        <v>710</v>
      </c>
      <c r="B44" s="8" t="s">
        <v>87</v>
      </c>
      <c r="C44" s="8" t="s">
        <v>18</v>
      </c>
      <c r="D44" s="11" t="s">
        <v>88</v>
      </c>
      <c r="E44" s="8" t="s">
        <v>20</v>
      </c>
      <c r="F44" s="9">
        <v>74.72</v>
      </c>
      <c r="G44" s="57">
        <v>87.65</v>
      </c>
      <c r="H44" s="57">
        <f t="shared" si="8"/>
        <v>110.77207000000001</v>
      </c>
      <c r="I44" s="68">
        <f t="shared" si="9"/>
        <v>8276.8799999999992</v>
      </c>
    </row>
    <row r="45" spans="1:9" ht="24" customHeight="1" x14ac:dyDescent="0.2">
      <c r="A45" s="12" t="s">
        <v>89</v>
      </c>
      <c r="B45" s="130" t="s">
        <v>90</v>
      </c>
      <c r="C45" s="131"/>
      <c r="D45" s="131"/>
      <c r="E45" s="131"/>
      <c r="F45" s="131"/>
      <c r="G45" s="131"/>
      <c r="H45" s="132"/>
      <c r="I45" s="69">
        <f>SUM(I46:I54)</f>
        <v>11172.099999999999</v>
      </c>
    </row>
    <row r="46" spans="1:9" ht="51.75" customHeight="1" x14ac:dyDescent="0.2">
      <c r="A46" s="8" t="s">
        <v>91</v>
      </c>
      <c r="B46" s="8">
        <v>86888</v>
      </c>
      <c r="C46" s="8" t="s">
        <v>18</v>
      </c>
      <c r="D46" s="11" t="s">
        <v>92</v>
      </c>
      <c r="E46" s="8" t="s">
        <v>93</v>
      </c>
      <c r="F46" s="9">
        <v>5</v>
      </c>
      <c r="G46" s="57">
        <v>556.47</v>
      </c>
      <c r="H46" s="57">
        <f>G46*(1.2638)</f>
        <v>703.26678600000002</v>
      </c>
      <c r="I46" s="68">
        <f>TRUNC(F46 * H46, 2)</f>
        <v>3516.33</v>
      </c>
    </row>
    <row r="47" spans="1:9" ht="64.5" customHeight="1" x14ac:dyDescent="0.2">
      <c r="A47" s="8" t="s">
        <v>94</v>
      </c>
      <c r="B47" s="8">
        <v>86902</v>
      </c>
      <c r="C47" s="8" t="s">
        <v>18</v>
      </c>
      <c r="D47" s="11" t="s">
        <v>95</v>
      </c>
      <c r="E47" s="8" t="s">
        <v>67</v>
      </c>
      <c r="F47" s="9">
        <v>2</v>
      </c>
      <c r="G47" s="57">
        <v>317.75</v>
      </c>
      <c r="H47" s="57">
        <f t="shared" ref="H47:H54" si="10">G47*(1.2638)</f>
        <v>401.57245</v>
      </c>
      <c r="I47" s="68">
        <f t="shared" ref="I47:I54" si="11">TRUNC(F47 * H47, 2)</f>
        <v>803.14</v>
      </c>
    </row>
    <row r="48" spans="1:9" ht="51.75" customHeight="1" x14ac:dyDescent="0.2">
      <c r="A48" s="8" t="s">
        <v>711</v>
      </c>
      <c r="B48" s="8">
        <v>100848</v>
      </c>
      <c r="C48" s="8" t="s">
        <v>18</v>
      </c>
      <c r="D48" s="11" t="s">
        <v>96</v>
      </c>
      <c r="E48" s="8" t="s">
        <v>67</v>
      </c>
      <c r="F48" s="9">
        <v>1</v>
      </c>
      <c r="G48" s="57">
        <v>652.4</v>
      </c>
      <c r="H48" s="57">
        <f t="shared" si="10"/>
        <v>824.50311999999997</v>
      </c>
      <c r="I48" s="68">
        <f t="shared" si="11"/>
        <v>824.5</v>
      </c>
    </row>
    <row r="49" spans="1:9" ht="25.5" customHeight="1" x14ac:dyDescent="0.2">
      <c r="A49" s="8" t="s">
        <v>712</v>
      </c>
      <c r="B49" s="8">
        <v>102147</v>
      </c>
      <c r="C49" s="8" t="s">
        <v>18</v>
      </c>
      <c r="D49" s="11" t="s">
        <v>97</v>
      </c>
      <c r="E49" s="8" t="s">
        <v>20</v>
      </c>
      <c r="F49" s="9">
        <f>(0.4*0.6*3)+(0.35*0.3)</f>
        <v>0.82499999999999996</v>
      </c>
      <c r="G49" s="57">
        <v>323.04000000000002</v>
      </c>
      <c r="H49" s="57">
        <f t="shared" si="10"/>
        <v>408.25795200000005</v>
      </c>
      <c r="I49" s="68">
        <f t="shared" si="11"/>
        <v>336.81</v>
      </c>
    </row>
    <row r="50" spans="1:9" ht="24" customHeight="1" x14ac:dyDescent="0.2">
      <c r="A50" s="8" t="s">
        <v>713</v>
      </c>
      <c r="B50" s="8" t="s">
        <v>98</v>
      </c>
      <c r="C50" s="8" t="s">
        <v>99</v>
      </c>
      <c r="D50" s="11" t="s">
        <v>100</v>
      </c>
      <c r="E50" s="8" t="s">
        <v>67</v>
      </c>
      <c r="F50" s="9">
        <v>1</v>
      </c>
      <c r="G50" s="57">
        <v>72.8</v>
      </c>
      <c r="H50" s="57">
        <f t="shared" si="10"/>
        <v>92.004639999999995</v>
      </c>
      <c r="I50" s="68">
        <f t="shared" si="11"/>
        <v>92</v>
      </c>
    </row>
    <row r="51" spans="1:9" ht="39" customHeight="1" x14ac:dyDescent="0.2">
      <c r="A51" s="8" t="s">
        <v>714</v>
      </c>
      <c r="B51" s="8" t="s">
        <v>101</v>
      </c>
      <c r="C51" s="8" t="s">
        <v>18</v>
      </c>
      <c r="D51" s="11" t="s">
        <v>102</v>
      </c>
      <c r="E51" s="8" t="s">
        <v>67</v>
      </c>
      <c r="F51" s="9">
        <v>6</v>
      </c>
      <c r="G51" s="57">
        <v>398.94</v>
      </c>
      <c r="H51" s="57">
        <f t="shared" si="10"/>
        <v>504.18037200000003</v>
      </c>
      <c r="I51" s="68">
        <f t="shared" si="11"/>
        <v>3025.08</v>
      </c>
    </row>
    <row r="52" spans="1:9" ht="39" customHeight="1" x14ac:dyDescent="0.2">
      <c r="A52" s="8" t="s">
        <v>715</v>
      </c>
      <c r="B52" s="8">
        <v>86904</v>
      </c>
      <c r="C52" s="8" t="s">
        <v>18</v>
      </c>
      <c r="D52" s="11" t="s">
        <v>103</v>
      </c>
      <c r="E52" s="8" t="s">
        <v>67</v>
      </c>
      <c r="F52" s="9">
        <v>1</v>
      </c>
      <c r="G52" s="57">
        <v>159.88999999999999</v>
      </c>
      <c r="H52" s="57">
        <f t="shared" si="10"/>
        <v>202.06898199999998</v>
      </c>
      <c r="I52" s="68">
        <f t="shared" si="11"/>
        <v>202.06</v>
      </c>
    </row>
    <row r="53" spans="1:9" ht="51.75" customHeight="1" x14ac:dyDescent="0.2">
      <c r="A53" s="8" t="s">
        <v>716</v>
      </c>
      <c r="B53" s="8" t="s">
        <v>104</v>
      </c>
      <c r="C53" s="8" t="s">
        <v>18</v>
      </c>
      <c r="D53" s="11" t="s">
        <v>105</v>
      </c>
      <c r="E53" s="8" t="s">
        <v>67</v>
      </c>
      <c r="F53" s="9">
        <v>2</v>
      </c>
      <c r="G53" s="57">
        <v>759.11</v>
      </c>
      <c r="H53" s="57">
        <f t="shared" si="10"/>
        <v>959.36321800000007</v>
      </c>
      <c r="I53" s="68">
        <f t="shared" si="11"/>
        <v>1918.72</v>
      </c>
    </row>
    <row r="54" spans="1:9" ht="51.75" customHeight="1" x14ac:dyDescent="0.2">
      <c r="A54" s="8" t="s">
        <v>717</v>
      </c>
      <c r="B54" s="8">
        <v>103018</v>
      </c>
      <c r="C54" s="8"/>
      <c r="D54" s="11" t="s">
        <v>106</v>
      </c>
      <c r="E54" s="8" t="s">
        <v>67</v>
      </c>
      <c r="F54" s="9">
        <v>1</v>
      </c>
      <c r="G54" s="57">
        <v>358.81</v>
      </c>
      <c r="H54" s="57">
        <f t="shared" si="10"/>
        <v>453.46407800000003</v>
      </c>
      <c r="I54" s="68">
        <f t="shared" si="11"/>
        <v>453.46</v>
      </c>
    </row>
    <row r="55" spans="1:9" ht="24" customHeight="1" x14ac:dyDescent="0.2">
      <c r="A55" s="12" t="s">
        <v>107</v>
      </c>
      <c r="B55" s="130" t="s">
        <v>108</v>
      </c>
      <c r="C55" s="131"/>
      <c r="D55" s="131"/>
      <c r="E55" s="131"/>
      <c r="F55" s="131"/>
      <c r="G55" s="131"/>
      <c r="H55" s="132"/>
      <c r="I55" s="69">
        <f>I56</f>
        <v>3673.57</v>
      </c>
    </row>
    <row r="56" spans="1:9" ht="25.5" customHeight="1" x14ac:dyDescent="0.2">
      <c r="A56" s="8" t="s">
        <v>109</v>
      </c>
      <c r="B56" s="8">
        <v>98557</v>
      </c>
      <c r="C56" s="8" t="s">
        <v>18</v>
      </c>
      <c r="D56" s="11" t="s">
        <v>110</v>
      </c>
      <c r="E56" s="8" t="s">
        <v>20</v>
      </c>
      <c r="F56" s="9">
        <f>28.58+31.44</f>
        <v>60.019999999999996</v>
      </c>
      <c r="G56" s="57">
        <v>48.43</v>
      </c>
      <c r="H56" s="57">
        <f>G56*(1.2638)</f>
        <v>61.205834000000003</v>
      </c>
      <c r="I56" s="68">
        <f>TRUNC(F56 * H56, 2)</f>
        <v>3673.57</v>
      </c>
    </row>
    <row r="57" spans="1:9" ht="24" customHeight="1" x14ac:dyDescent="0.2">
      <c r="A57" s="39" t="s">
        <v>111</v>
      </c>
      <c r="B57" s="133" t="s">
        <v>112</v>
      </c>
      <c r="C57" s="134"/>
      <c r="D57" s="134"/>
      <c r="E57" s="134"/>
      <c r="F57" s="134"/>
      <c r="G57" s="134"/>
      <c r="H57" s="135"/>
      <c r="I57" s="67">
        <f>I58+I68+I73+I79</f>
        <v>23525.7</v>
      </c>
    </row>
    <row r="58" spans="1:9" ht="24" customHeight="1" x14ac:dyDescent="0.2">
      <c r="A58" s="12" t="s">
        <v>113</v>
      </c>
      <c r="B58" s="130" t="s">
        <v>114</v>
      </c>
      <c r="C58" s="131"/>
      <c r="D58" s="131"/>
      <c r="E58" s="131"/>
      <c r="F58" s="131"/>
      <c r="G58" s="131"/>
      <c r="H58" s="132"/>
      <c r="I58" s="69">
        <f>SUM(I59:I67)</f>
        <v>9948.85</v>
      </c>
    </row>
    <row r="59" spans="1:9" ht="39" customHeight="1" x14ac:dyDescent="0.2">
      <c r="A59" s="8" t="s">
        <v>115</v>
      </c>
      <c r="B59" s="8">
        <v>96535</v>
      </c>
      <c r="C59" s="8" t="s">
        <v>18</v>
      </c>
      <c r="D59" s="11" t="s">
        <v>116</v>
      </c>
      <c r="E59" s="8" t="s">
        <v>20</v>
      </c>
      <c r="F59" s="9">
        <v>8.64</v>
      </c>
      <c r="G59" s="57">
        <v>130.63</v>
      </c>
      <c r="H59" s="57">
        <f>G59*(1.2638)</f>
        <v>165.090194</v>
      </c>
      <c r="I59" s="68">
        <f>TRUNC(F59 * H59, 2)</f>
        <v>1426.37</v>
      </c>
    </row>
    <row r="60" spans="1:9" ht="39" customHeight="1" x14ac:dyDescent="0.2">
      <c r="A60" s="8" t="s">
        <v>718</v>
      </c>
      <c r="B60" s="8">
        <v>96536</v>
      </c>
      <c r="C60" s="8" t="s">
        <v>18</v>
      </c>
      <c r="D60" s="11" t="s">
        <v>117</v>
      </c>
      <c r="E60" s="8" t="s">
        <v>20</v>
      </c>
      <c r="F60" s="9">
        <v>28.13</v>
      </c>
      <c r="G60" s="57">
        <v>64.989999999999995</v>
      </c>
      <c r="H60" s="57">
        <f t="shared" ref="H60:H67" si="12">G60*(1.2638)</f>
        <v>82.134361999999996</v>
      </c>
      <c r="I60" s="68">
        <f t="shared" ref="I60:I67" si="13">TRUNC(F60 * H60, 2)</f>
        <v>2310.4299999999998</v>
      </c>
    </row>
    <row r="61" spans="1:9" ht="39" customHeight="1" x14ac:dyDescent="0.2">
      <c r="A61" s="8" t="s">
        <v>719</v>
      </c>
      <c r="B61" s="8">
        <v>96522</v>
      </c>
      <c r="C61" s="8" t="s">
        <v>18</v>
      </c>
      <c r="D61" s="11" t="s">
        <v>118</v>
      </c>
      <c r="E61" s="8" t="s">
        <v>46</v>
      </c>
      <c r="F61" s="9">
        <v>2.38</v>
      </c>
      <c r="G61" s="57">
        <v>151.62</v>
      </c>
      <c r="H61" s="57">
        <f t="shared" si="12"/>
        <v>191.617356</v>
      </c>
      <c r="I61" s="68">
        <f t="shared" si="13"/>
        <v>456.04</v>
      </c>
    </row>
    <row r="62" spans="1:9" ht="39" customHeight="1" x14ac:dyDescent="0.2">
      <c r="A62" s="8" t="s">
        <v>720</v>
      </c>
      <c r="B62" s="8">
        <v>96619</v>
      </c>
      <c r="C62" s="8" t="s">
        <v>18</v>
      </c>
      <c r="D62" s="11" t="s">
        <v>119</v>
      </c>
      <c r="E62" s="8" t="s">
        <v>20</v>
      </c>
      <c r="F62" s="9">
        <v>8.58</v>
      </c>
      <c r="G62" s="57">
        <v>41.39</v>
      </c>
      <c r="H62" s="57">
        <f t="shared" si="12"/>
        <v>52.308682000000005</v>
      </c>
      <c r="I62" s="68">
        <f t="shared" si="13"/>
        <v>448.8</v>
      </c>
    </row>
    <row r="63" spans="1:9" ht="39" customHeight="1" x14ac:dyDescent="0.2">
      <c r="A63" s="8" t="s">
        <v>721</v>
      </c>
      <c r="B63" s="8">
        <v>96527</v>
      </c>
      <c r="C63" s="8" t="s">
        <v>18</v>
      </c>
      <c r="D63" s="11" t="s">
        <v>120</v>
      </c>
      <c r="E63" s="8" t="s">
        <v>46</v>
      </c>
      <c r="F63" s="9">
        <f>31.81*0.2*0.2</f>
        <v>1.2724000000000002</v>
      </c>
      <c r="G63" s="57">
        <v>110.78</v>
      </c>
      <c r="H63" s="57">
        <f t="shared" si="12"/>
        <v>140.00376400000002</v>
      </c>
      <c r="I63" s="68">
        <f t="shared" si="13"/>
        <v>178.14</v>
      </c>
    </row>
    <row r="64" spans="1:9" ht="25.5" customHeight="1" x14ac:dyDescent="0.2">
      <c r="A64" s="8" t="s">
        <v>722</v>
      </c>
      <c r="B64" s="8">
        <v>104919</v>
      </c>
      <c r="C64" s="8" t="s">
        <v>18</v>
      </c>
      <c r="D64" s="11" t="s">
        <v>121</v>
      </c>
      <c r="E64" s="8" t="s">
        <v>122</v>
      </c>
      <c r="F64" s="9">
        <f>59+18</f>
        <v>77</v>
      </c>
      <c r="G64" s="57">
        <v>12.91</v>
      </c>
      <c r="H64" s="57">
        <f t="shared" si="12"/>
        <v>16.315657999999999</v>
      </c>
      <c r="I64" s="68">
        <f t="shared" si="13"/>
        <v>1256.3</v>
      </c>
    </row>
    <row r="65" spans="1:9" ht="25.5" customHeight="1" x14ac:dyDescent="0.2">
      <c r="A65" s="8" t="s">
        <v>723</v>
      </c>
      <c r="B65" s="8">
        <v>104916</v>
      </c>
      <c r="C65" s="8" t="s">
        <v>18</v>
      </c>
      <c r="D65" s="11" t="s">
        <v>123</v>
      </c>
      <c r="E65" s="8" t="s">
        <v>122</v>
      </c>
      <c r="F65" s="9">
        <v>32</v>
      </c>
      <c r="G65" s="57">
        <v>16.940000000000001</v>
      </c>
      <c r="H65" s="57">
        <f t="shared" si="12"/>
        <v>21.408772000000003</v>
      </c>
      <c r="I65" s="68">
        <f t="shared" si="13"/>
        <v>685.08</v>
      </c>
    </row>
    <row r="66" spans="1:9" ht="25.5" customHeight="1" x14ac:dyDescent="0.2">
      <c r="A66" s="8" t="s">
        <v>724</v>
      </c>
      <c r="B66" s="8">
        <v>104918</v>
      </c>
      <c r="C66" s="8" t="s">
        <v>18</v>
      </c>
      <c r="D66" s="11" t="s">
        <v>124</v>
      </c>
      <c r="E66" s="8" t="s">
        <v>122</v>
      </c>
      <c r="F66" s="9">
        <v>59</v>
      </c>
      <c r="G66" s="57">
        <v>14.51</v>
      </c>
      <c r="H66" s="57">
        <f t="shared" si="12"/>
        <v>18.337738000000002</v>
      </c>
      <c r="I66" s="68">
        <f t="shared" si="13"/>
        <v>1081.92</v>
      </c>
    </row>
    <row r="67" spans="1:9" ht="39" customHeight="1" x14ac:dyDescent="0.2">
      <c r="A67" s="8" t="s">
        <v>725</v>
      </c>
      <c r="B67" s="8">
        <v>94965</v>
      </c>
      <c r="C67" s="8" t="s">
        <v>18</v>
      </c>
      <c r="D67" s="11" t="s">
        <v>125</v>
      </c>
      <c r="E67" s="8" t="s">
        <v>46</v>
      </c>
      <c r="F67" s="9">
        <f>1.74+1.3</f>
        <v>3.04</v>
      </c>
      <c r="G67" s="57">
        <v>548.1</v>
      </c>
      <c r="H67" s="57">
        <f t="shared" si="12"/>
        <v>692.68878000000007</v>
      </c>
      <c r="I67" s="68">
        <f t="shared" si="13"/>
        <v>2105.77</v>
      </c>
    </row>
    <row r="68" spans="1:9" ht="24" customHeight="1" x14ac:dyDescent="0.2">
      <c r="A68" s="12" t="s">
        <v>126</v>
      </c>
      <c r="B68" s="130" t="s">
        <v>139</v>
      </c>
      <c r="C68" s="131"/>
      <c r="D68" s="131"/>
      <c r="E68" s="131"/>
      <c r="F68" s="131"/>
      <c r="G68" s="131"/>
      <c r="H68" s="132"/>
      <c r="I68" s="69">
        <f>SUM(I69:I72)</f>
        <v>6129.8099999999995</v>
      </c>
    </row>
    <row r="69" spans="1:9" ht="39" customHeight="1" x14ac:dyDescent="0.2">
      <c r="A69" s="8" t="s">
        <v>726</v>
      </c>
      <c r="B69" s="8">
        <v>92443</v>
      </c>
      <c r="C69" s="8" t="s">
        <v>18</v>
      </c>
      <c r="D69" s="11" t="s">
        <v>127</v>
      </c>
      <c r="E69" s="8" t="s">
        <v>20</v>
      </c>
      <c r="F69" s="9">
        <v>28.64</v>
      </c>
      <c r="G69" s="57">
        <v>56.19</v>
      </c>
      <c r="H69" s="57">
        <f>G69*(1.2638)</f>
        <v>71.012922000000003</v>
      </c>
      <c r="I69" s="68">
        <f>TRUNC(F69 * H69, 2)</f>
        <v>2033.81</v>
      </c>
    </row>
    <row r="70" spans="1:9" ht="39" customHeight="1" x14ac:dyDescent="0.2">
      <c r="A70" s="8" t="s">
        <v>727</v>
      </c>
      <c r="B70" s="8">
        <v>94965</v>
      </c>
      <c r="C70" s="8" t="s">
        <v>18</v>
      </c>
      <c r="D70" s="11" t="s">
        <v>125</v>
      </c>
      <c r="E70" s="8" t="s">
        <v>46</v>
      </c>
      <c r="F70" s="9">
        <v>1.35</v>
      </c>
      <c r="G70" s="57">
        <v>548.1</v>
      </c>
      <c r="H70" s="57">
        <f t="shared" ref="H70:H72" si="14">G70*(1.2638)</f>
        <v>692.68878000000007</v>
      </c>
      <c r="I70" s="68">
        <f t="shared" ref="I70:I72" si="15">TRUNC(F70 * H70, 2)</f>
        <v>935.12</v>
      </c>
    </row>
    <row r="71" spans="1:9" ht="39" customHeight="1" x14ac:dyDescent="0.2">
      <c r="A71" s="8" t="s">
        <v>728</v>
      </c>
      <c r="B71" s="8">
        <v>104108</v>
      </c>
      <c r="C71" s="8" t="s">
        <v>18</v>
      </c>
      <c r="D71" s="11" t="s">
        <v>128</v>
      </c>
      <c r="E71" s="8" t="s">
        <v>129</v>
      </c>
      <c r="F71" s="9">
        <v>126</v>
      </c>
      <c r="G71" s="57">
        <v>12.96</v>
      </c>
      <c r="H71" s="57">
        <f t="shared" si="14"/>
        <v>16.378848000000001</v>
      </c>
      <c r="I71" s="68">
        <f t="shared" si="15"/>
        <v>2063.73</v>
      </c>
    </row>
    <row r="72" spans="1:9" ht="39" customHeight="1" x14ac:dyDescent="0.2">
      <c r="A72" s="8" t="s">
        <v>729</v>
      </c>
      <c r="B72" s="8">
        <v>104111</v>
      </c>
      <c r="C72" s="8" t="s">
        <v>18</v>
      </c>
      <c r="D72" s="11" t="s">
        <v>130</v>
      </c>
      <c r="E72" s="8" t="s">
        <v>129</v>
      </c>
      <c r="F72" s="9">
        <v>42</v>
      </c>
      <c r="G72" s="57">
        <v>20.67</v>
      </c>
      <c r="H72" s="57">
        <f t="shared" si="14"/>
        <v>26.122746000000003</v>
      </c>
      <c r="I72" s="68">
        <f t="shared" si="15"/>
        <v>1097.1500000000001</v>
      </c>
    </row>
    <row r="73" spans="1:9" ht="24" customHeight="1" x14ac:dyDescent="0.2">
      <c r="A73" s="12" t="s">
        <v>747</v>
      </c>
      <c r="B73" s="130" t="s">
        <v>131</v>
      </c>
      <c r="C73" s="131"/>
      <c r="D73" s="131"/>
      <c r="E73" s="131"/>
      <c r="F73" s="131"/>
      <c r="G73" s="131"/>
      <c r="H73" s="132"/>
      <c r="I73" s="69">
        <f>SUM(I74:I78)</f>
        <v>5869.32</v>
      </c>
    </row>
    <row r="74" spans="1:9" ht="39" customHeight="1" x14ac:dyDescent="0.2">
      <c r="A74" s="8" t="s">
        <v>748</v>
      </c>
      <c r="B74" s="8">
        <v>92479</v>
      </c>
      <c r="C74" s="8" t="s">
        <v>18</v>
      </c>
      <c r="D74" s="11" t="s">
        <v>132</v>
      </c>
      <c r="E74" s="8" t="s">
        <v>20</v>
      </c>
      <c r="F74" s="9">
        <v>26.25</v>
      </c>
      <c r="G74" s="57">
        <v>70.66</v>
      </c>
      <c r="H74" s="57">
        <f>G74*(1.2638)</f>
        <v>89.300107999999994</v>
      </c>
      <c r="I74" s="68">
        <f>TRUNC(F74 * H74, 2)</f>
        <v>2344.12</v>
      </c>
    </row>
    <row r="75" spans="1:9" ht="39" customHeight="1" x14ac:dyDescent="0.2">
      <c r="A75" s="8" t="s">
        <v>749</v>
      </c>
      <c r="B75" s="8">
        <v>94965</v>
      </c>
      <c r="C75" s="8" t="s">
        <v>18</v>
      </c>
      <c r="D75" s="11" t="s">
        <v>125</v>
      </c>
      <c r="E75" s="8" t="s">
        <v>46</v>
      </c>
      <c r="F75" s="9">
        <v>1.56</v>
      </c>
      <c r="G75" s="57">
        <v>548.1</v>
      </c>
      <c r="H75" s="57">
        <f t="shared" ref="H75:H78" si="16">G75*(1.2638)</f>
        <v>692.68878000000007</v>
      </c>
      <c r="I75" s="68">
        <f t="shared" ref="I75:I78" si="17">TRUNC(F75 * H75, 2)</f>
        <v>1080.5899999999999</v>
      </c>
    </row>
    <row r="76" spans="1:9" ht="39" customHeight="1" x14ac:dyDescent="0.2">
      <c r="A76" s="8" t="s">
        <v>750</v>
      </c>
      <c r="B76" s="8">
        <v>104108</v>
      </c>
      <c r="C76" s="8" t="s">
        <v>18</v>
      </c>
      <c r="D76" s="11" t="s">
        <v>128</v>
      </c>
      <c r="E76" s="8" t="s">
        <v>129</v>
      </c>
      <c r="F76" s="9">
        <v>15</v>
      </c>
      <c r="G76" s="57">
        <v>12.96</v>
      </c>
      <c r="H76" s="57">
        <f t="shared" si="16"/>
        <v>16.378848000000001</v>
      </c>
      <c r="I76" s="68">
        <f t="shared" si="17"/>
        <v>245.68</v>
      </c>
    </row>
    <row r="77" spans="1:9" ht="39" customHeight="1" x14ac:dyDescent="0.2">
      <c r="A77" s="8" t="s">
        <v>751</v>
      </c>
      <c r="B77" s="8">
        <v>104111</v>
      </c>
      <c r="C77" s="8" t="s">
        <v>18</v>
      </c>
      <c r="D77" s="11" t="s">
        <v>130</v>
      </c>
      <c r="E77" s="8" t="s">
        <v>129</v>
      </c>
      <c r="F77" s="9">
        <v>31</v>
      </c>
      <c r="G77" s="57">
        <v>20.67</v>
      </c>
      <c r="H77" s="57">
        <f t="shared" si="16"/>
        <v>26.122746000000003</v>
      </c>
      <c r="I77" s="68">
        <f t="shared" si="17"/>
        <v>809.8</v>
      </c>
    </row>
    <row r="78" spans="1:9" ht="39" customHeight="1" x14ac:dyDescent="0.2">
      <c r="A78" s="8" t="s">
        <v>752</v>
      </c>
      <c r="B78" s="8">
        <v>104109</v>
      </c>
      <c r="C78" s="8" t="s">
        <v>18</v>
      </c>
      <c r="D78" s="11" t="s">
        <v>133</v>
      </c>
      <c r="E78" s="8" t="s">
        <v>129</v>
      </c>
      <c r="F78" s="9">
        <v>69</v>
      </c>
      <c r="G78" s="57">
        <v>15.93</v>
      </c>
      <c r="H78" s="57">
        <f t="shared" si="16"/>
        <v>20.132334</v>
      </c>
      <c r="I78" s="68">
        <f t="shared" si="17"/>
        <v>1389.13</v>
      </c>
    </row>
    <row r="79" spans="1:9" ht="24" customHeight="1" x14ac:dyDescent="0.2">
      <c r="A79" s="12" t="s">
        <v>753</v>
      </c>
      <c r="B79" s="130" t="s">
        <v>134</v>
      </c>
      <c r="C79" s="131"/>
      <c r="D79" s="131"/>
      <c r="E79" s="131"/>
      <c r="F79" s="131"/>
      <c r="G79" s="131"/>
      <c r="H79" s="132"/>
      <c r="I79" s="69">
        <f>SUM(I80:I83)</f>
        <v>1577.7199999999998</v>
      </c>
    </row>
    <row r="80" spans="1:9" ht="39" customHeight="1" x14ac:dyDescent="0.2">
      <c r="A80" s="8" t="s">
        <v>754</v>
      </c>
      <c r="B80" s="8">
        <v>92769</v>
      </c>
      <c r="C80" s="8" t="s">
        <v>18</v>
      </c>
      <c r="D80" s="11" t="s">
        <v>135</v>
      </c>
      <c r="E80" s="8" t="s">
        <v>122</v>
      </c>
      <c r="F80" s="9">
        <v>28</v>
      </c>
      <c r="G80" s="57">
        <v>12.79</v>
      </c>
      <c r="H80" s="57">
        <f>G80*(1.2638)</f>
        <v>16.164002</v>
      </c>
      <c r="I80" s="68">
        <f>TRUNC(F80 * H80, 2)</f>
        <v>452.59</v>
      </c>
    </row>
    <row r="81" spans="1:9" ht="64.5" customHeight="1" x14ac:dyDescent="0.2">
      <c r="A81" s="8" t="s">
        <v>755</v>
      </c>
      <c r="B81" s="8">
        <v>94965</v>
      </c>
      <c r="C81" s="8" t="s">
        <v>18</v>
      </c>
      <c r="D81" s="11" t="s">
        <v>125</v>
      </c>
      <c r="E81" s="8" t="s">
        <v>46</v>
      </c>
      <c r="F81" s="9">
        <v>0.48</v>
      </c>
      <c r="G81" s="57">
        <v>548.1</v>
      </c>
      <c r="H81" s="57">
        <f t="shared" ref="H81:H83" si="18">G81*(1.2638)</f>
        <v>692.68878000000007</v>
      </c>
      <c r="I81" s="68">
        <f t="shared" ref="I81:I83" si="19">TRUNC(F81 * H81, 2)</f>
        <v>332.49</v>
      </c>
    </row>
    <row r="82" spans="1:9" ht="64.5" customHeight="1" x14ac:dyDescent="0.2">
      <c r="A82" s="8" t="s">
        <v>756</v>
      </c>
      <c r="B82" s="8">
        <v>92267</v>
      </c>
      <c r="C82" s="8" t="s">
        <v>18</v>
      </c>
      <c r="D82" s="11" t="s">
        <v>136</v>
      </c>
      <c r="E82" s="8" t="s">
        <v>20</v>
      </c>
      <c r="F82" s="9">
        <v>4.83</v>
      </c>
      <c r="G82" s="57">
        <v>67.290000000000006</v>
      </c>
      <c r="H82" s="57">
        <f t="shared" si="18"/>
        <v>85.041102000000009</v>
      </c>
      <c r="I82" s="68">
        <f t="shared" si="19"/>
        <v>410.74</v>
      </c>
    </row>
    <row r="83" spans="1:9" ht="25.5" customHeight="1" x14ac:dyDescent="0.2">
      <c r="A83" s="8" t="s">
        <v>757</v>
      </c>
      <c r="B83" s="8">
        <v>98554</v>
      </c>
      <c r="C83" s="8" t="s">
        <v>18</v>
      </c>
      <c r="D83" s="11" t="s">
        <v>137</v>
      </c>
      <c r="E83" s="8" t="s">
        <v>20</v>
      </c>
      <c r="F83" s="9">
        <v>6.25</v>
      </c>
      <c r="G83" s="57">
        <v>48.35</v>
      </c>
      <c r="H83" s="57">
        <f t="shared" si="18"/>
        <v>61.104730000000004</v>
      </c>
      <c r="I83" s="68">
        <f t="shared" si="19"/>
        <v>381.9</v>
      </c>
    </row>
    <row r="84" spans="1:9" ht="24" customHeight="1" x14ac:dyDescent="0.2">
      <c r="A84" s="39" t="s">
        <v>758</v>
      </c>
      <c r="B84" s="133" t="s">
        <v>138</v>
      </c>
      <c r="C84" s="134"/>
      <c r="D84" s="134"/>
      <c r="E84" s="134"/>
      <c r="F84" s="134"/>
      <c r="G84" s="134"/>
      <c r="H84" s="135"/>
      <c r="I84" s="67">
        <f>I85+I95+I100</f>
        <v>13939.88</v>
      </c>
    </row>
    <row r="85" spans="1:9" ht="24" customHeight="1" x14ac:dyDescent="0.2">
      <c r="A85" s="12" t="s">
        <v>141</v>
      </c>
      <c r="B85" s="130" t="s">
        <v>114</v>
      </c>
      <c r="C85" s="131"/>
      <c r="D85" s="131"/>
      <c r="E85" s="131"/>
      <c r="F85" s="131"/>
      <c r="G85" s="131"/>
      <c r="H85" s="132"/>
      <c r="I85" s="69">
        <f>SUM(I86:I94)</f>
        <v>6651.7999999999993</v>
      </c>
    </row>
    <row r="86" spans="1:9" ht="39" customHeight="1" x14ac:dyDescent="0.2">
      <c r="A86" s="8" t="s">
        <v>759</v>
      </c>
      <c r="B86" s="8">
        <v>96535</v>
      </c>
      <c r="C86" s="8" t="s">
        <v>18</v>
      </c>
      <c r="D86" s="11" t="s">
        <v>116</v>
      </c>
      <c r="E86" s="8" t="s">
        <v>20</v>
      </c>
      <c r="F86" s="9">
        <v>4.32</v>
      </c>
      <c r="G86" s="57">
        <v>130.63</v>
      </c>
      <c r="H86" s="57">
        <f>G86*(1.2638)</f>
        <v>165.090194</v>
      </c>
      <c r="I86" s="68">
        <f>TRUNC(F86 * H86, 2)</f>
        <v>713.18</v>
      </c>
    </row>
    <row r="87" spans="1:9" ht="39" customHeight="1" x14ac:dyDescent="0.2">
      <c r="A87" s="8" t="s">
        <v>760</v>
      </c>
      <c r="B87" s="8">
        <v>96536</v>
      </c>
      <c r="C87" s="8" t="s">
        <v>18</v>
      </c>
      <c r="D87" s="11" t="s">
        <v>117</v>
      </c>
      <c r="E87" s="8" t="s">
        <v>20</v>
      </c>
      <c r="F87" s="9">
        <v>23.63</v>
      </c>
      <c r="G87" s="57">
        <v>64.989999999999995</v>
      </c>
      <c r="H87" s="57">
        <f t="shared" ref="H87:H94" si="20">G87*(1.2638)</f>
        <v>82.134361999999996</v>
      </c>
      <c r="I87" s="68">
        <f>TRUNC(F87 * H87, 2)</f>
        <v>1940.83</v>
      </c>
    </row>
    <row r="88" spans="1:9" ht="39" customHeight="1" x14ac:dyDescent="0.2">
      <c r="A88" s="8" t="s">
        <v>761</v>
      </c>
      <c r="B88" s="8">
        <v>96522</v>
      </c>
      <c r="C88" s="8" t="s">
        <v>18</v>
      </c>
      <c r="D88" s="11" t="s">
        <v>118</v>
      </c>
      <c r="E88" s="8" t="s">
        <v>46</v>
      </c>
      <c r="F88" s="9">
        <v>1.19</v>
      </c>
      <c r="G88" s="57">
        <v>151.62</v>
      </c>
      <c r="H88" s="57">
        <f t="shared" si="20"/>
        <v>191.617356</v>
      </c>
      <c r="I88" s="68">
        <f t="shared" ref="I88:I94" si="21">TRUNC(F88 * H88, 2)</f>
        <v>228.02</v>
      </c>
    </row>
    <row r="89" spans="1:9" ht="39" customHeight="1" x14ac:dyDescent="0.2">
      <c r="A89" s="8" t="s">
        <v>762</v>
      </c>
      <c r="B89" s="8">
        <v>96527</v>
      </c>
      <c r="C89" s="8" t="s">
        <v>18</v>
      </c>
      <c r="D89" s="11" t="s">
        <v>120</v>
      </c>
      <c r="E89" s="8" t="s">
        <v>46</v>
      </c>
      <c r="F89" s="9">
        <v>1.26</v>
      </c>
      <c r="G89" s="57">
        <v>110.78</v>
      </c>
      <c r="H89" s="57">
        <f t="shared" si="20"/>
        <v>140.00376400000002</v>
      </c>
      <c r="I89" s="68">
        <f t="shared" si="21"/>
        <v>176.4</v>
      </c>
    </row>
    <row r="90" spans="1:9" ht="39" customHeight="1" x14ac:dyDescent="0.2">
      <c r="A90" s="8" t="s">
        <v>763</v>
      </c>
      <c r="B90" s="8">
        <v>96619</v>
      </c>
      <c r="C90" s="8" t="s">
        <v>18</v>
      </c>
      <c r="D90" s="11" t="s">
        <v>119</v>
      </c>
      <c r="E90" s="8" t="s">
        <v>20</v>
      </c>
      <c r="F90" s="9">
        <v>6.89</v>
      </c>
      <c r="G90" s="57">
        <v>41.39</v>
      </c>
      <c r="H90" s="57">
        <f t="shared" si="20"/>
        <v>52.308682000000005</v>
      </c>
      <c r="I90" s="68">
        <f t="shared" si="21"/>
        <v>360.4</v>
      </c>
    </row>
    <row r="91" spans="1:9" ht="25.5" customHeight="1" x14ac:dyDescent="0.2">
      <c r="A91" s="8" t="s">
        <v>764</v>
      </c>
      <c r="B91" s="8">
        <v>104919</v>
      </c>
      <c r="C91" s="8" t="s">
        <v>18</v>
      </c>
      <c r="D91" s="11" t="s">
        <v>121</v>
      </c>
      <c r="E91" s="8" t="s">
        <v>122</v>
      </c>
      <c r="F91" s="9">
        <v>40</v>
      </c>
      <c r="G91" s="57">
        <v>12.91</v>
      </c>
      <c r="H91" s="57">
        <f t="shared" si="20"/>
        <v>16.315657999999999</v>
      </c>
      <c r="I91" s="68">
        <f t="shared" si="21"/>
        <v>652.62</v>
      </c>
    </row>
    <row r="92" spans="1:9" ht="25.5" customHeight="1" x14ac:dyDescent="0.2">
      <c r="A92" s="8" t="s">
        <v>765</v>
      </c>
      <c r="B92" s="8">
        <v>104916</v>
      </c>
      <c r="C92" s="8" t="s">
        <v>18</v>
      </c>
      <c r="D92" s="11" t="s">
        <v>123</v>
      </c>
      <c r="E92" s="8" t="s">
        <v>122</v>
      </c>
      <c r="F92" s="9">
        <v>27</v>
      </c>
      <c r="G92" s="57">
        <v>16.940000000000001</v>
      </c>
      <c r="H92" s="57">
        <f t="shared" si="20"/>
        <v>21.408772000000003</v>
      </c>
      <c r="I92" s="68">
        <f t="shared" si="21"/>
        <v>578.03</v>
      </c>
    </row>
    <row r="93" spans="1:9" ht="25.5" customHeight="1" x14ac:dyDescent="0.2">
      <c r="A93" s="8" t="s">
        <v>766</v>
      </c>
      <c r="B93" s="8">
        <v>104918</v>
      </c>
      <c r="C93" s="8" t="s">
        <v>18</v>
      </c>
      <c r="D93" s="11" t="s">
        <v>124</v>
      </c>
      <c r="E93" s="8" t="s">
        <v>122</v>
      </c>
      <c r="F93" s="9">
        <v>31</v>
      </c>
      <c r="G93" s="57">
        <v>14.51</v>
      </c>
      <c r="H93" s="57">
        <f t="shared" si="20"/>
        <v>18.337738000000002</v>
      </c>
      <c r="I93" s="68">
        <f t="shared" si="21"/>
        <v>568.46</v>
      </c>
    </row>
    <row r="94" spans="1:9" ht="39" customHeight="1" x14ac:dyDescent="0.2">
      <c r="A94" s="8" t="s">
        <v>767</v>
      </c>
      <c r="B94" s="8">
        <v>94965</v>
      </c>
      <c r="C94" s="8" t="s">
        <v>18</v>
      </c>
      <c r="D94" s="11" t="s">
        <v>125</v>
      </c>
      <c r="E94" s="8" t="s">
        <v>46</v>
      </c>
      <c r="F94" s="9">
        <v>2.0699999999999998</v>
      </c>
      <c r="G94" s="57">
        <v>548.1</v>
      </c>
      <c r="H94" s="57">
        <f t="shared" si="20"/>
        <v>692.68878000000007</v>
      </c>
      <c r="I94" s="68">
        <f t="shared" si="21"/>
        <v>1433.86</v>
      </c>
    </row>
    <row r="95" spans="1:9" ht="24" customHeight="1" x14ac:dyDescent="0.2">
      <c r="A95" s="12" t="s">
        <v>166</v>
      </c>
      <c r="B95" s="130" t="s">
        <v>139</v>
      </c>
      <c r="C95" s="131"/>
      <c r="D95" s="131"/>
      <c r="E95" s="131"/>
      <c r="F95" s="131"/>
      <c r="G95" s="131"/>
      <c r="H95" s="132"/>
      <c r="I95" s="69">
        <f>SUM(I96:I99)</f>
        <v>3132.92</v>
      </c>
    </row>
    <row r="96" spans="1:9" ht="39" customHeight="1" x14ac:dyDescent="0.2">
      <c r="A96" s="8" t="s">
        <v>768</v>
      </c>
      <c r="B96" s="8">
        <v>92443</v>
      </c>
      <c r="C96" s="8" t="s">
        <v>18</v>
      </c>
      <c r="D96" s="11" t="s">
        <v>127</v>
      </c>
      <c r="E96" s="8" t="s">
        <v>20</v>
      </c>
      <c r="F96" s="9">
        <v>14.4</v>
      </c>
      <c r="G96" s="57">
        <v>56.19</v>
      </c>
      <c r="H96" s="57">
        <f>G96*(1.2638)</f>
        <v>71.012922000000003</v>
      </c>
      <c r="I96" s="68">
        <f>TRUNC(F96 * H96, 2)</f>
        <v>1022.58</v>
      </c>
    </row>
    <row r="97" spans="1:9" ht="39" customHeight="1" x14ac:dyDescent="0.2">
      <c r="A97" s="8" t="s">
        <v>769</v>
      </c>
      <c r="B97" s="8">
        <v>94965</v>
      </c>
      <c r="C97" s="8" t="s">
        <v>18</v>
      </c>
      <c r="D97" s="11" t="s">
        <v>125</v>
      </c>
      <c r="E97" s="8" t="s">
        <v>46</v>
      </c>
      <c r="F97" s="9">
        <v>0.68</v>
      </c>
      <c r="G97" s="57">
        <v>548.1</v>
      </c>
      <c r="H97" s="57">
        <f t="shared" ref="H97:H99" si="22">G97*(1.2638)</f>
        <v>692.68878000000007</v>
      </c>
      <c r="I97" s="68">
        <f t="shared" ref="I97:I99" si="23">TRUNC(F97 * H97, 2)</f>
        <v>471.02</v>
      </c>
    </row>
    <row r="98" spans="1:9" ht="39" customHeight="1" x14ac:dyDescent="0.2">
      <c r="A98" s="8" t="s">
        <v>770</v>
      </c>
      <c r="B98" s="8">
        <v>104108</v>
      </c>
      <c r="C98" s="8" t="s">
        <v>18</v>
      </c>
      <c r="D98" s="11" t="s">
        <v>128</v>
      </c>
      <c r="E98" s="8" t="s">
        <v>129</v>
      </c>
      <c r="F98" s="9">
        <v>65</v>
      </c>
      <c r="G98" s="57">
        <v>12.96</v>
      </c>
      <c r="H98" s="57">
        <f t="shared" si="22"/>
        <v>16.378848000000001</v>
      </c>
      <c r="I98" s="68">
        <f t="shared" si="23"/>
        <v>1064.6199999999999</v>
      </c>
    </row>
    <row r="99" spans="1:9" ht="39" customHeight="1" x14ac:dyDescent="0.2">
      <c r="A99" s="8" t="s">
        <v>771</v>
      </c>
      <c r="B99" s="8">
        <v>104111</v>
      </c>
      <c r="C99" s="8" t="s">
        <v>18</v>
      </c>
      <c r="D99" s="11" t="s">
        <v>130</v>
      </c>
      <c r="E99" s="8" t="s">
        <v>129</v>
      </c>
      <c r="F99" s="9">
        <v>22</v>
      </c>
      <c r="G99" s="57">
        <v>20.67</v>
      </c>
      <c r="H99" s="57">
        <f t="shared" si="22"/>
        <v>26.122746000000003</v>
      </c>
      <c r="I99" s="68">
        <f t="shared" si="23"/>
        <v>574.70000000000005</v>
      </c>
    </row>
    <row r="100" spans="1:9" ht="24" customHeight="1" x14ac:dyDescent="0.2">
      <c r="A100" s="12" t="s">
        <v>773</v>
      </c>
      <c r="B100" s="130" t="s">
        <v>131</v>
      </c>
      <c r="C100" s="131"/>
      <c r="D100" s="131"/>
      <c r="E100" s="131"/>
      <c r="F100" s="131"/>
      <c r="G100" s="131"/>
      <c r="H100" s="132"/>
      <c r="I100" s="69">
        <f>SUM(I101:I104)</f>
        <v>4155.16</v>
      </c>
    </row>
    <row r="101" spans="1:9" ht="39" customHeight="1" x14ac:dyDescent="0.2">
      <c r="A101" s="8" t="s">
        <v>774</v>
      </c>
      <c r="B101" s="8">
        <v>92479</v>
      </c>
      <c r="C101" s="8" t="s">
        <v>18</v>
      </c>
      <c r="D101" s="11" t="s">
        <v>132</v>
      </c>
      <c r="E101" s="8" t="s">
        <v>20</v>
      </c>
      <c r="F101" s="9">
        <v>20.48</v>
      </c>
      <c r="G101" s="57">
        <v>70.66</v>
      </c>
      <c r="H101" s="57">
        <f>G101*(1.2638)</f>
        <v>89.300107999999994</v>
      </c>
      <c r="I101" s="68">
        <f>TRUNC(F101 * H101, 2)</f>
        <v>1828.86</v>
      </c>
    </row>
    <row r="102" spans="1:9" ht="39" customHeight="1" x14ac:dyDescent="0.2">
      <c r="A102" s="8" t="s">
        <v>775</v>
      </c>
      <c r="B102" s="8">
        <v>94965</v>
      </c>
      <c r="C102" s="8" t="s">
        <v>18</v>
      </c>
      <c r="D102" s="11" t="s">
        <v>125</v>
      </c>
      <c r="E102" s="8" t="s">
        <v>46</v>
      </c>
      <c r="F102" s="9">
        <v>1.18</v>
      </c>
      <c r="G102" s="57">
        <v>548.1</v>
      </c>
      <c r="H102" s="57">
        <f t="shared" ref="H102:H104" si="24">G102*(1.2638)</f>
        <v>692.68878000000007</v>
      </c>
      <c r="I102" s="68">
        <f t="shared" ref="I102:I104" si="25">TRUNC(F102 * H102, 2)</f>
        <v>817.37</v>
      </c>
    </row>
    <row r="103" spans="1:9" ht="39" customHeight="1" x14ac:dyDescent="0.2">
      <c r="A103" s="8" t="s">
        <v>776</v>
      </c>
      <c r="B103" s="8">
        <v>104111</v>
      </c>
      <c r="C103" s="8" t="s">
        <v>18</v>
      </c>
      <c r="D103" s="11" t="s">
        <v>130</v>
      </c>
      <c r="E103" s="8" t="s">
        <v>129</v>
      </c>
      <c r="F103" s="9">
        <v>20</v>
      </c>
      <c r="G103" s="57">
        <v>20.67</v>
      </c>
      <c r="H103" s="57">
        <f t="shared" si="24"/>
        <v>26.122746000000003</v>
      </c>
      <c r="I103" s="68">
        <f t="shared" si="25"/>
        <v>522.45000000000005</v>
      </c>
    </row>
    <row r="104" spans="1:9" ht="39" customHeight="1" x14ac:dyDescent="0.2">
      <c r="A104" s="8" t="s">
        <v>777</v>
      </c>
      <c r="B104" s="8">
        <v>104109</v>
      </c>
      <c r="C104" s="8" t="s">
        <v>18</v>
      </c>
      <c r="D104" s="11" t="s">
        <v>133</v>
      </c>
      <c r="E104" s="8" t="s">
        <v>129</v>
      </c>
      <c r="F104" s="9">
        <v>49</v>
      </c>
      <c r="G104" s="57">
        <v>15.93</v>
      </c>
      <c r="H104" s="57">
        <f t="shared" si="24"/>
        <v>20.132334</v>
      </c>
      <c r="I104" s="68">
        <f t="shared" si="25"/>
        <v>986.48</v>
      </c>
    </row>
    <row r="105" spans="1:9" ht="24" customHeight="1" x14ac:dyDescent="0.2">
      <c r="A105" s="39" t="s">
        <v>772</v>
      </c>
      <c r="B105" s="133" t="s">
        <v>140</v>
      </c>
      <c r="C105" s="134"/>
      <c r="D105" s="134"/>
      <c r="E105" s="134"/>
      <c r="F105" s="134"/>
      <c r="G105" s="134"/>
      <c r="H105" s="135"/>
      <c r="I105" s="67">
        <f>I106+I119+I128+I137+I147+I154</f>
        <v>29688.760000000002</v>
      </c>
    </row>
    <row r="106" spans="1:9" ht="24" customHeight="1" x14ac:dyDescent="0.2">
      <c r="A106" s="12" t="s">
        <v>778</v>
      </c>
      <c r="B106" s="130" t="s">
        <v>142</v>
      </c>
      <c r="C106" s="131"/>
      <c r="D106" s="131"/>
      <c r="E106" s="131"/>
      <c r="F106" s="131"/>
      <c r="G106" s="131"/>
      <c r="H106" s="132"/>
      <c r="I106" s="69">
        <f>SUM(I107:I118)</f>
        <v>4400.84</v>
      </c>
    </row>
    <row r="107" spans="1:9" ht="39" customHeight="1" x14ac:dyDescent="0.2">
      <c r="A107" s="8" t="s">
        <v>779</v>
      </c>
      <c r="B107" s="8" t="s">
        <v>143</v>
      </c>
      <c r="C107" s="8" t="s">
        <v>18</v>
      </c>
      <c r="D107" s="11" t="s">
        <v>144</v>
      </c>
      <c r="E107" s="8" t="s">
        <v>28</v>
      </c>
      <c r="F107" s="9">
        <v>16.5</v>
      </c>
      <c r="G107" s="57">
        <v>14.01</v>
      </c>
      <c r="H107" s="57">
        <f>G107*(1.2638)</f>
        <v>17.705838</v>
      </c>
      <c r="I107" s="68">
        <f>TRUNC(F107 * H107, 2)</f>
        <v>292.14</v>
      </c>
    </row>
    <row r="108" spans="1:9" ht="39" customHeight="1" x14ac:dyDescent="0.2">
      <c r="A108" s="8" t="s">
        <v>780</v>
      </c>
      <c r="B108" s="8" t="s">
        <v>145</v>
      </c>
      <c r="C108" s="8" t="s">
        <v>18</v>
      </c>
      <c r="D108" s="11" t="s">
        <v>146</v>
      </c>
      <c r="E108" s="8" t="s">
        <v>28</v>
      </c>
      <c r="F108" s="9">
        <v>65</v>
      </c>
      <c r="G108" s="57">
        <v>22.22</v>
      </c>
      <c r="H108" s="57">
        <f t="shared" ref="H108:H118" si="26">G108*(1.2638)</f>
        <v>28.081636</v>
      </c>
      <c r="I108" s="68">
        <f t="shared" ref="I108:I118" si="27">TRUNC(F108 * H108, 2)</f>
        <v>1825.3</v>
      </c>
    </row>
    <row r="109" spans="1:9" ht="25.5" customHeight="1" x14ac:dyDescent="0.2">
      <c r="A109" s="8" t="s">
        <v>781</v>
      </c>
      <c r="B109" s="8" t="s">
        <v>147</v>
      </c>
      <c r="C109" s="8" t="s">
        <v>18</v>
      </c>
      <c r="D109" s="11" t="s">
        <v>148</v>
      </c>
      <c r="E109" s="8" t="s">
        <v>28</v>
      </c>
      <c r="F109" s="9">
        <v>5</v>
      </c>
      <c r="G109" s="57">
        <v>20.81</v>
      </c>
      <c r="H109" s="57">
        <f t="shared" si="26"/>
        <v>26.299678</v>
      </c>
      <c r="I109" s="68">
        <f t="shared" si="27"/>
        <v>131.49</v>
      </c>
    </row>
    <row r="110" spans="1:9" ht="39" customHeight="1" x14ac:dyDescent="0.2">
      <c r="A110" s="8" t="s">
        <v>782</v>
      </c>
      <c r="B110" s="8" t="s">
        <v>149</v>
      </c>
      <c r="C110" s="8" t="s">
        <v>18</v>
      </c>
      <c r="D110" s="11" t="s">
        <v>150</v>
      </c>
      <c r="E110" s="8" t="s">
        <v>67</v>
      </c>
      <c r="F110" s="9">
        <v>15</v>
      </c>
      <c r="G110" s="57">
        <v>9.4700000000000006</v>
      </c>
      <c r="H110" s="57">
        <f t="shared" si="26"/>
        <v>11.968186000000001</v>
      </c>
      <c r="I110" s="68">
        <f t="shared" si="27"/>
        <v>179.52</v>
      </c>
    </row>
    <row r="111" spans="1:9" ht="39" customHeight="1" x14ac:dyDescent="0.2">
      <c r="A111" s="8" t="s">
        <v>783</v>
      </c>
      <c r="B111" s="8" t="s">
        <v>151</v>
      </c>
      <c r="C111" s="8" t="s">
        <v>18</v>
      </c>
      <c r="D111" s="11" t="s">
        <v>152</v>
      </c>
      <c r="E111" s="8" t="s">
        <v>67</v>
      </c>
      <c r="F111" s="9">
        <v>16</v>
      </c>
      <c r="G111" s="57">
        <v>13.58</v>
      </c>
      <c r="H111" s="57">
        <f t="shared" si="26"/>
        <v>17.162404000000002</v>
      </c>
      <c r="I111" s="68">
        <f t="shared" si="27"/>
        <v>274.58999999999997</v>
      </c>
    </row>
    <row r="112" spans="1:9" ht="39" customHeight="1" x14ac:dyDescent="0.2">
      <c r="A112" s="8" t="s">
        <v>784</v>
      </c>
      <c r="B112" s="8" t="s">
        <v>153</v>
      </c>
      <c r="C112" s="8" t="s">
        <v>18</v>
      </c>
      <c r="D112" s="11" t="s">
        <v>154</v>
      </c>
      <c r="E112" s="8" t="s">
        <v>67</v>
      </c>
      <c r="F112" s="9">
        <v>2</v>
      </c>
      <c r="G112" s="57">
        <v>15.61</v>
      </c>
      <c r="H112" s="57">
        <f t="shared" si="26"/>
        <v>19.727917999999999</v>
      </c>
      <c r="I112" s="68">
        <f t="shared" si="27"/>
        <v>39.450000000000003</v>
      </c>
    </row>
    <row r="113" spans="1:9" ht="25.5" customHeight="1" x14ac:dyDescent="0.2">
      <c r="A113" s="8" t="s">
        <v>785</v>
      </c>
      <c r="B113" s="8" t="s">
        <v>155</v>
      </c>
      <c r="C113" s="8" t="s">
        <v>18</v>
      </c>
      <c r="D113" s="11" t="s">
        <v>156</v>
      </c>
      <c r="E113" s="8" t="s">
        <v>67</v>
      </c>
      <c r="F113" s="9">
        <v>2</v>
      </c>
      <c r="G113" s="57">
        <v>8.6</v>
      </c>
      <c r="H113" s="57">
        <f t="shared" si="26"/>
        <v>10.868679999999999</v>
      </c>
      <c r="I113" s="68">
        <f t="shared" si="27"/>
        <v>21.73</v>
      </c>
    </row>
    <row r="114" spans="1:9" ht="25.5" customHeight="1" x14ac:dyDescent="0.2">
      <c r="A114" s="8" t="s">
        <v>786</v>
      </c>
      <c r="B114" s="8" t="s">
        <v>157</v>
      </c>
      <c r="C114" s="8" t="s">
        <v>158</v>
      </c>
      <c r="D114" s="11" t="s">
        <v>159</v>
      </c>
      <c r="E114" s="8" t="s">
        <v>160</v>
      </c>
      <c r="F114" s="9">
        <v>12</v>
      </c>
      <c r="G114" s="57">
        <v>13.08</v>
      </c>
      <c r="H114" s="57">
        <f t="shared" si="26"/>
        <v>16.530504000000001</v>
      </c>
      <c r="I114" s="68">
        <f t="shared" si="27"/>
        <v>198.36</v>
      </c>
    </row>
    <row r="115" spans="1:9" ht="39" customHeight="1" x14ac:dyDescent="0.2">
      <c r="A115" s="8" t="s">
        <v>787</v>
      </c>
      <c r="B115" s="8" t="s">
        <v>161</v>
      </c>
      <c r="C115" s="8" t="s">
        <v>18</v>
      </c>
      <c r="D115" s="11" t="s">
        <v>162</v>
      </c>
      <c r="E115" s="8" t="s">
        <v>67</v>
      </c>
      <c r="F115" s="9">
        <v>6</v>
      </c>
      <c r="G115" s="57">
        <v>10.95</v>
      </c>
      <c r="H115" s="57">
        <f t="shared" si="26"/>
        <v>13.838609999999999</v>
      </c>
      <c r="I115" s="68">
        <f t="shared" si="27"/>
        <v>83.03</v>
      </c>
    </row>
    <row r="116" spans="1:9" ht="39" customHeight="1" x14ac:dyDescent="0.2">
      <c r="A116" s="8" t="s">
        <v>788</v>
      </c>
      <c r="B116" s="8">
        <v>94495</v>
      </c>
      <c r="C116" s="8" t="s">
        <v>18</v>
      </c>
      <c r="D116" s="11" t="s">
        <v>163</v>
      </c>
      <c r="E116" s="8" t="s">
        <v>67</v>
      </c>
      <c r="F116" s="9">
        <v>4</v>
      </c>
      <c r="G116" s="57">
        <v>81.03</v>
      </c>
      <c r="H116" s="57">
        <f t="shared" si="26"/>
        <v>102.405714</v>
      </c>
      <c r="I116" s="68">
        <f t="shared" si="27"/>
        <v>409.62</v>
      </c>
    </row>
    <row r="117" spans="1:9" ht="39" customHeight="1" x14ac:dyDescent="0.2">
      <c r="A117" s="8" t="s">
        <v>789</v>
      </c>
      <c r="B117" s="8">
        <v>89351</v>
      </c>
      <c r="C117" s="8" t="s">
        <v>18</v>
      </c>
      <c r="D117" s="11" t="s">
        <v>164</v>
      </c>
      <c r="E117" s="8" t="s">
        <v>67</v>
      </c>
      <c r="F117" s="9">
        <v>5</v>
      </c>
      <c r="G117" s="57">
        <v>43.04</v>
      </c>
      <c r="H117" s="57">
        <f t="shared" si="26"/>
        <v>54.393951999999999</v>
      </c>
      <c r="I117" s="68">
        <f t="shared" si="27"/>
        <v>271.95999999999998</v>
      </c>
    </row>
    <row r="118" spans="1:9" ht="39" customHeight="1" x14ac:dyDescent="0.2">
      <c r="A118" s="8" t="s">
        <v>790</v>
      </c>
      <c r="B118" s="8">
        <v>94490</v>
      </c>
      <c r="C118" s="8" t="s">
        <v>18</v>
      </c>
      <c r="D118" s="11" t="s">
        <v>165</v>
      </c>
      <c r="E118" s="8" t="s">
        <v>67</v>
      </c>
      <c r="F118" s="9">
        <v>8</v>
      </c>
      <c r="G118" s="57">
        <v>66.63</v>
      </c>
      <c r="H118" s="57">
        <f t="shared" si="26"/>
        <v>84.206993999999995</v>
      </c>
      <c r="I118" s="68">
        <f t="shared" si="27"/>
        <v>673.65</v>
      </c>
    </row>
    <row r="119" spans="1:9" ht="24" customHeight="1" x14ac:dyDescent="0.2">
      <c r="A119" s="12" t="s">
        <v>791</v>
      </c>
      <c r="B119" s="130" t="s">
        <v>167</v>
      </c>
      <c r="C119" s="131"/>
      <c r="D119" s="131"/>
      <c r="E119" s="131"/>
      <c r="F119" s="131"/>
      <c r="G119" s="131"/>
      <c r="H119" s="132"/>
      <c r="I119" s="69">
        <f>SUM(I120:I127)</f>
        <v>8069.1900000000005</v>
      </c>
    </row>
    <row r="120" spans="1:9" ht="64.5" customHeight="1" x14ac:dyDescent="0.2">
      <c r="A120" s="8" t="s">
        <v>792</v>
      </c>
      <c r="B120" s="8">
        <v>89714</v>
      </c>
      <c r="C120" s="8" t="s">
        <v>18</v>
      </c>
      <c r="D120" s="11" t="s">
        <v>168</v>
      </c>
      <c r="E120" s="8" t="s">
        <v>28</v>
      </c>
      <c r="F120" s="9">
        <v>45</v>
      </c>
      <c r="G120" s="57">
        <v>41.37</v>
      </c>
      <c r="H120" s="57">
        <f>G120*(1.2638)</f>
        <v>52.283405999999999</v>
      </c>
      <c r="I120" s="68">
        <f>TRUNC(F120 * H120, 2)</f>
        <v>2352.75</v>
      </c>
    </row>
    <row r="121" spans="1:9" ht="64.5" customHeight="1" x14ac:dyDescent="0.2">
      <c r="A121" s="8" t="s">
        <v>793</v>
      </c>
      <c r="B121" s="8">
        <v>89713</v>
      </c>
      <c r="C121" s="8" t="s">
        <v>18</v>
      </c>
      <c r="D121" s="11" t="s">
        <v>169</v>
      </c>
      <c r="E121" s="8" t="s">
        <v>28</v>
      </c>
      <c r="F121" s="9">
        <v>10</v>
      </c>
      <c r="G121" s="57">
        <v>37.11</v>
      </c>
      <c r="H121" s="57">
        <f t="shared" ref="H121:H127" si="28">G121*(1.2638)</f>
        <v>46.899618000000004</v>
      </c>
      <c r="I121" s="68">
        <f t="shared" ref="I121:I127" si="29">TRUNC(F121 * H121, 2)</f>
        <v>468.99</v>
      </c>
    </row>
    <row r="122" spans="1:9" ht="64.5" customHeight="1" x14ac:dyDescent="0.2">
      <c r="A122" s="8" t="s">
        <v>794</v>
      </c>
      <c r="B122" s="8">
        <v>89712</v>
      </c>
      <c r="C122" s="8" t="s">
        <v>18</v>
      </c>
      <c r="D122" s="11" t="s">
        <v>170</v>
      </c>
      <c r="E122" s="8" t="s">
        <v>28</v>
      </c>
      <c r="F122" s="9">
        <v>5</v>
      </c>
      <c r="G122" s="57">
        <v>29.71</v>
      </c>
      <c r="H122" s="57">
        <f t="shared" si="28"/>
        <v>37.547498000000004</v>
      </c>
      <c r="I122" s="68">
        <f t="shared" si="29"/>
        <v>187.73</v>
      </c>
    </row>
    <row r="123" spans="1:9" ht="64.5" customHeight="1" x14ac:dyDescent="0.2">
      <c r="A123" s="8" t="s">
        <v>795</v>
      </c>
      <c r="B123" s="8">
        <v>89711</v>
      </c>
      <c r="C123" s="8" t="s">
        <v>18</v>
      </c>
      <c r="D123" s="11" t="s">
        <v>171</v>
      </c>
      <c r="E123" s="8" t="s">
        <v>28</v>
      </c>
      <c r="F123" s="9">
        <v>18</v>
      </c>
      <c r="G123" s="57">
        <v>23.21</v>
      </c>
      <c r="H123" s="57">
        <f t="shared" si="28"/>
        <v>29.332798</v>
      </c>
      <c r="I123" s="68">
        <f t="shared" si="29"/>
        <v>527.99</v>
      </c>
    </row>
    <row r="124" spans="1:9" ht="39" customHeight="1" x14ac:dyDescent="0.2">
      <c r="A124" s="8" t="s">
        <v>796</v>
      </c>
      <c r="B124" s="8" t="s">
        <v>172</v>
      </c>
      <c r="C124" s="8" t="s">
        <v>18</v>
      </c>
      <c r="D124" s="11" t="s">
        <v>173</v>
      </c>
      <c r="E124" s="8" t="s">
        <v>67</v>
      </c>
      <c r="F124" s="9">
        <v>5</v>
      </c>
      <c r="G124" s="57">
        <v>21.84</v>
      </c>
      <c r="H124" s="57">
        <f t="shared" si="28"/>
        <v>27.601392000000001</v>
      </c>
      <c r="I124" s="68">
        <f t="shared" si="29"/>
        <v>138</v>
      </c>
    </row>
    <row r="125" spans="1:9" ht="39" customHeight="1" x14ac:dyDescent="0.2">
      <c r="A125" s="8" t="s">
        <v>797</v>
      </c>
      <c r="B125" s="8" t="s">
        <v>174</v>
      </c>
      <c r="C125" s="8" t="s">
        <v>18</v>
      </c>
      <c r="D125" s="11" t="s">
        <v>175</v>
      </c>
      <c r="E125" s="8" t="s">
        <v>67</v>
      </c>
      <c r="F125" s="9">
        <v>3</v>
      </c>
      <c r="G125" s="57">
        <v>25.13</v>
      </c>
      <c r="H125" s="57">
        <f t="shared" si="28"/>
        <v>31.759294000000001</v>
      </c>
      <c r="I125" s="68">
        <f t="shared" si="29"/>
        <v>95.27</v>
      </c>
    </row>
    <row r="126" spans="1:9" ht="39" customHeight="1" x14ac:dyDescent="0.2">
      <c r="A126" s="8" t="s">
        <v>798</v>
      </c>
      <c r="B126" s="8">
        <v>98102</v>
      </c>
      <c r="C126" s="8" t="s">
        <v>18</v>
      </c>
      <c r="D126" s="11" t="s">
        <v>176</v>
      </c>
      <c r="E126" s="8" t="s">
        <v>67</v>
      </c>
      <c r="F126" s="9">
        <v>1</v>
      </c>
      <c r="G126" s="57">
        <v>183.01</v>
      </c>
      <c r="H126" s="57">
        <f t="shared" si="28"/>
        <v>231.288038</v>
      </c>
      <c r="I126" s="68">
        <f t="shared" si="29"/>
        <v>231.28</v>
      </c>
    </row>
    <row r="127" spans="1:9" ht="25.5" customHeight="1" x14ac:dyDescent="0.2">
      <c r="A127" s="8" t="s">
        <v>799</v>
      </c>
      <c r="B127" s="8">
        <v>97896</v>
      </c>
      <c r="C127" s="8" t="s">
        <v>18</v>
      </c>
      <c r="D127" s="11" t="s">
        <v>177</v>
      </c>
      <c r="E127" s="8" t="s">
        <v>67</v>
      </c>
      <c r="F127" s="9">
        <v>9</v>
      </c>
      <c r="G127" s="57">
        <v>357.58</v>
      </c>
      <c r="H127" s="57">
        <f t="shared" si="28"/>
        <v>451.909604</v>
      </c>
      <c r="I127" s="68">
        <f t="shared" si="29"/>
        <v>4067.18</v>
      </c>
    </row>
    <row r="128" spans="1:9" ht="24" customHeight="1" x14ac:dyDescent="0.2">
      <c r="A128" s="12" t="s">
        <v>800</v>
      </c>
      <c r="B128" s="130" t="s">
        <v>178</v>
      </c>
      <c r="C128" s="131"/>
      <c r="D128" s="131"/>
      <c r="E128" s="131"/>
      <c r="F128" s="131"/>
      <c r="G128" s="131"/>
      <c r="H128" s="132"/>
      <c r="I128" s="69">
        <f>SUM(I129:I136)</f>
        <v>5285.07</v>
      </c>
    </row>
    <row r="129" spans="1:10" ht="24" customHeight="1" x14ac:dyDescent="0.2">
      <c r="A129" s="43" t="s">
        <v>801</v>
      </c>
      <c r="B129" s="12">
        <v>90049</v>
      </c>
      <c r="C129" s="12" t="s">
        <v>179</v>
      </c>
      <c r="D129" s="11" t="s">
        <v>180</v>
      </c>
      <c r="E129" s="14" t="s">
        <v>20</v>
      </c>
      <c r="F129" s="15">
        <v>9.4</v>
      </c>
      <c r="G129" s="57">
        <v>149.35</v>
      </c>
      <c r="H129" s="57">
        <f>G129*(1.2638)</f>
        <v>188.74852999999999</v>
      </c>
      <c r="I129" s="68">
        <f>TRUNC(F129 * H129, 2)</f>
        <v>1774.23</v>
      </c>
    </row>
    <row r="130" spans="1:10" ht="24" customHeight="1" x14ac:dyDescent="0.2">
      <c r="A130" s="43" t="s">
        <v>802</v>
      </c>
      <c r="B130" s="12">
        <v>93358</v>
      </c>
      <c r="C130" s="8" t="s">
        <v>18</v>
      </c>
      <c r="D130" s="11" t="s">
        <v>181</v>
      </c>
      <c r="E130" s="14" t="s">
        <v>46</v>
      </c>
      <c r="F130" s="15">
        <f>3.6*1.7*1</f>
        <v>6.12</v>
      </c>
      <c r="G130" s="57">
        <v>92.88</v>
      </c>
      <c r="H130" s="57">
        <f>G130*(1.2638)</f>
        <v>117.381744</v>
      </c>
      <c r="I130" s="68">
        <f t="shared" ref="I130:I136" si="30">TRUNC(F130 * H130, 2)</f>
        <v>718.37</v>
      </c>
    </row>
    <row r="131" spans="1:10" ht="51" x14ac:dyDescent="0.2">
      <c r="A131" s="43" t="s">
        <v>803</v>
      </c>
      <c r="B131" s="12">
        <v>87894</v>
      </c>
      <c r="C131" s="8" t="s">
        <v>18</v>
      </c>
      <c r="D131" s="11" t="s">
        <v>182</v>
      </c>
      <c r="E131" s="14" t="s">
        <v>20</v>
      </c>
      <c r="F131" s="15">
        <f>(3.2+3.2+1.5+1.5)*2</f>
        <v>18.8</v>
      </c>
      <c r="G131" s="57">
        <v>7.24</v>
      </c>
      <c r="H131" s="57">
        <f t="shared" ref="H131:H136" si="31">G131*(1.2638)</f>
        <v>9.1499120000000005</v>
      </c>
      <c r="I131" s="68">
        <f t="shared" si="30"/>
        <v>172.01</v>
      </c>
    </row>
    <row r="132" spans="1:10" ht="24" customHeight="1" x14ac:dyDescent="0.2">
      <c r="A132" s="43" t="s">
        <v>804</v>
      </c>
      <c r="B132" s="12">
        <v>87535</v>
      </c>
      <c r="C132" s="8" t="s">
        <v>18</v>
      </c>
      <c r="D132" s="11" t="s">
        <v>183</v>
      </c>
      <c r="E132" s="14" t="s">
        <v>20</v>
      </c>
      <c r="F132" s="15">
        <f>(3.2+3.2+1.5+1.5)*2</f>
        <v>18.8</v>
      </c>
      <c r="G132" s="57">
        <v>33.270000000000003</v>
      </c>
      <c r="H132" s="57">
        <f t="shared" si="31"/>
        <v>42.046626000000003</v>
      </c>
      <c r="I132" s="68">
        <f t="shared" si="30"/>
        <v>790.47</v>
      </c>
    </row>
    <row r="133" spans="1:10" x14ac:dyDescent="0.2">
      <c r="A133" s="43" t="s">
        <v>805</v>
      </c>
      <c r="B133" s="8">
        <v>100324</v>
      </c>
      <c r="C133" s="8" t="s">
        <v>18</v>
      </c>
      <c r="D133" s="11" t="s">
        <v>184</v>
      </c>
      <c r="E133" s="14" t="s">
        <v>46</v>
      </c>
      <c r="F133" s="15">
        <f>3.2*1.5*0.05</f>
        <v>0.24000000000000005</v>
      </c>
      <c r="G133" s="57">
        <v>177.48</v>
      </c>
      <c r="H133" s="57">
        <f t="shared" si="31"/>
        <v>224.29922399999998</v>
      </c>
      <c r="I133" s="68">
        <f t="shared" si="30"/>
        <v>53.83</v>
      </c>
    </row>
    <row r="134" spans="1:10" ht="24" customHeight="1" x14ac:dyDescent="0.2">
      <c r="A134" s="43" t="s">
        <v>806</v>
      </c>
      <c r="B134" s="8">
        <v>92768</v>
      </c>
      <c r="C134" s="8" t="s">
        <v>18</v>
      </c>
      <c r="D134" s="11" t="s">
        <v>185</v>
      </c>
      <c r="E134" s="14" t="s">
        <v>129</v>
      </c>
      <c r="F134" s="15">
        <v>40</v>
      </c>
      <c r="G134" s="57">
        <v>13.58</v>
      </c>
      <c r="H134" s="57">
        <f t="shared" si="31"/>
        <v>17.162404000000002</v>
      </c>
      <c r="I134" s="68">
        <f t="shared" si="30"/>
        <v>686.49</v>
      </c>
    </row>
    <row r="135" spans="1:10" ht="24" customHeight="1" x14ac:dyDescent="0.2">
      <c r="A135" s="43" t="s">
        <v>807</v>
      </c>
      <c r="B135" s="8">
        <v>104927</v>
      </c>
      <c r="C135" s="8" t="s">
        <v>18</v>
      </c>
      <c r="D135" s="11" t="s">
        <v>186</v>
      </c>
      <c r="E135" s="14" t="s">
        <v>20</v>
      </c>
      <c r="F135" s="15">
        <f>(3.2*1.5)</f>
        <v>4.8000000000000007</v>
      </c>
      <c r="G135" s="57">
        <v>70.010000000000005</v>
      </c>
      <c r="H135" s="57">
        <f t="shared" si="31"/>
        <v>88.478638000000004</v>
      </c>
      <c r="I135" s="68">
        <f t="shared" si="30"/>
        <v>424.69</v>
      </c>
    </row>
    <row r="136" spans="1:10" ht="24" customHeight="1" x14ac:dyDescent="0.2">
      <c r="A136" s="43" t="s">
        <v>808</v>
      </c>
      <c r="B136" s="8">
        <v>94965</v>
      </c>
      <c r="C136" s="8" t="s">
        <v>18</v>
      </c>
      <c r="D136" s="11" t="s">
        <v>187</v>
      </c>
      <c r="E136" s="14" t="s">
        <v>46</v>
      </c>
      <c r="F136" s="15">
        <f>(3.2*1.5*0.2)</f>
        <v>0.96000000000000019</v>
      </c>
      <c r="G136" s="57">
        <v>548.1</v>
      </c>
      <c r="H136" s="57">
        <f t="shared" si="31"/>
        <v>692.68878000000007</v>
      </c>
      <c r="I136" s="68">
        <f t="shared" si="30"/>
        <v>664.98</v>
      </c>
    </row>
    <row r="137" spans="1:10" s="17" customFormat="1" ht="24" customHeight="1" x14ac:dyDescent="0.2">
      <c r="A137" s="12" t="s">
        <v>809</v>
      </c>
      <c r="B137" s="130" t="s">
        <v>188</v>
      </c>
      <c r="C137" s="131"/>
      <c r="D137" s="131"/>
      <c r="E137" s="131"/>
      <c r="F137" s="131"/>
      <c r="G137" s="131"/>
      <c r="H137" s="132"/>
      <c r="I137" s="69">
        <f>SUM(I138:I146)</f>
        <v>4680.63</v>
      </c>
      <c r="J137" s="16"/>
    </row>
    <row r="138" spans="1:10" ht="24" customHeight="1" x14ac:dyDescent="0.2">
      <c r="A138" s="43" t="s">
        <v>810</v>
      </c>
      <c r="B138" s="14">
        <v>90049</v>
      </c>
      <c r="C138" s="14" t="s">
        <v>179</v>
      </c>
      <c r="D138" s="18" t="s">
        <v>180</v>
      </c>
      <c r="E138" s="14" t="s">
        <v>20</v>
      </c>
      <c r="F138" s="15">
        <f>(2.6+2.6+1.2+1.2)*1</f>
        <v>7.6000000000000005</v>
      </c>
      <c r="G138" s="57">
        <v>149.35</v>
      </c>
      <c r="H138" s="57">
        <f>G138*(1.2638)</f>
        <v>188.74852999999999</v>
      </c>
      <c r="I138" s="68">
        <f>TRUNC(F138 * H138, 2)</f>
        <v>1434.48</v>
      </c>
    </row>
    <row r="139" spans="1:10" ht="24" customHeight="1" x14ac:dyDescent="0.2">
      <c r="A139" s="43" t="s">
        <v>811</v>
      </c>
      <c r="B139" s="14">
        <v>93358</v>
      </c>
      <c r="C139" s="14" t="s">
        <v>18</v>
      </c>
      <c r="D139" s="18" t="s">
        <v>181</v>
      </c>
      <c r="E139" s="14" t="s">
        <v>46</v>
      </c>
      <c r="F139" s="15">
        <f>2.6*1.2*1</f>
        <v>3.12</v>
      </c>
      <c r="G139" s="57">
        <v>92.88</v>
      </c>
      <c r="H139" s="57">
        <f t="shared" ref="H139:H146" si="32">G139*(1.2638)</f>
        <v>117.381744</v>
      </c>
      <c r="I139" s="68">
        <f t="shared" ref="I139:I146" si="33">TRUNC(F139 * H139, 2)</f>
        <v>366.23</v>
      </c>
    </row>
    <row r="140" spans="1:10" ht="51" x14ac:dyDescent="0.2">
      <c r="A140" s="43" t="s">
        <v>812</v>
      </c>
      <c r="B140" s="14">
        <v>87894</v>
      </c>
      <c r="C140" s="14" t="s">
        <v>18</v>
      </c>
      <c r="D140" s="18" t="s">
        <v>182</v>
      </c>
      <c r="E140" s="14" t="s">
        <v>20</v>
      </c>
      <c r="F140" s="15">
        <f>(2.6+2.6+1.2+1.2)*2</f>
        <v>15.200000000000001</v>
      </c>
      <c r="G140" s="57">
        <v>7.24</v>
      </c>
      <c r="H140" s="57">
        <f t="shared" si="32"/>
        <v>9.1499120000000005</v>
      </c>
      <c r="I140" s="68">
        <f t="shared" si="33"/>
        <v>139.07</v>
      </c>
    </row>
    <row r="141" spans="1:10" ht="24" customHeight="1" x14ac:dyDescent="0.2">
      <c r="A141" s="43" t="s">
        <v>813</v>
      </c>
      <c r="B141" s="14">
        <v>87535</v>
      </c>
      <c r="C141" s="14" t="s">
        <v>18</v>
      </c>
      <c r="D141" s="18" t="s">
        <v>183</v>
      </c>
      <c r="E141" s="14" t="s">
        <v>20</v>
      </c>
      <c r="F141" s="15">
        <f>(2.6+2.6+1.2+1.2)*2</f>
        <v>15.200000000000001</v>
      </c>
      <c r="G141" s="57">
        <v>33.270000000000003</v>
      </c>
      <c r="H141" s="57">
        <f t="shared" si="32"/>
        <v>42.046626000000003</v>
      </c>
      <c r="I141" s="68">
        <f t="shared" si="33"/>
        <v>639.1</v>
      </c>
    </row>
    <row r="142" spans="1:10" x14ac:dyDescent="0.2">
      <c r="A142" s="43" t="s">
        <v>814</v>
      </c>
      <c r="B142" s="8">
        <v>100324</v>
      </c>
      <c r="C142" s="14" t="s">
        <v>18</v>
      </c>
      <c r="D142" s="18" t="s">
        <v>184</v>
      </c>
      <c r="E142" s="14" t="s">
        <v>46</v>
      </c>
      <c r="F142" s="15">
        <f>2.6*1.2*0.05</f>
        <v>0.15600000000000003</v>
      </c>
      <c r="G142" s="57">
        <v>177.48</v>
      </c>
      <c r="H142" s="57">
        <f t="shared" si="32"/>
        <v>224.29922399999998</v>
      </c>
      <c r="I142" s="68">
        <f t="shared" si="33"/>
        <v>34.99</v>
      </c>
    </row>
    <row r="143" spans="1:10" ht="24" customHeight="1" x14ac:dyDescent="0.2">
      <c r="A143" s="43" t="s">
        <v>815</v>
      </c>
      <c r="B143" s="14">
        <v>92768</v>
      </c>
      <c r="C143" s="14" t="s">
        <v>18</v>
      </c>
      <c r="D143" s="18" t="s">
        <v>185</v>
      </c>
      <c r="E143" s="14" t="s">
        <v>129</v>
      </c>
      <c r="F143" s="15">
        <v>36</v>
      </c>
      <c r="G143" s="57">
        <v>13.58</v>
      </c>
      <c r="H143" s="57">
        <f t="shared" si="32"/>
        <v>17.162404000000002</v>
      </c>
      <c r="I143" s="68">
        <f t="shared" si="33"/>
        <v>617.84</v>
      </c>
    </row>
    <row r="144" spans="1:10" ht="24" customHeight="1" x14ac:dyDescent="0.2">
      <c r="A144" s="43" t="s">
        <v>816</v>
      </c>
      <c r="B144" s="14">
        <v>104927</v>
      </c>
      <c r="C144" s="14" t="s">
        <v>18</v>
      </c>
      <c r="D144" s="18" t="s">
        <v>186</v>
      </c>
      <c r="E144" s="14" t="s">
        <v>20</v>
      </c>
      <c r="F144" s="15">
        <f>(2.6*1.2)*2</f>
        <v>6.24</v>
      </c>
      <c r="G144" s="57">
        <v>70.010000000000005</v>
      </c>
      <c r="H144" s="57">
        <f t="shared" si="32"/>
        <v>88.478638000000004</v>
      </c>
      <c r="I144" s="68">
        <f t="shared" si="33"/>
        <v>552.1</v>
      </c>
    </row>
    <row r="145" spans="1:10" ht="24" customHeight="1" x14ac:dyDescent="0.2">
      <c r="A145" s="43" t="s">
        <v>817</v>
      </c>
      <c r="B145" s="14">
        <v>94965</v>
      </c>
      <c r="C145" s="14" t="s">
        <v>18</v>
      </c>
      <c r="D145" s="18" t="s">
        <v>187</v>
      </c>
      <c r="E145" s="14" t="s">
        <v>46</v>
      </c>
      <c r="F145" s="15">
        <f>(2.6*1.2*0.3)</f>
        <v>0.93599999999999994</v>
      </c>
      <c r="G145" s="57">
        <v>548.1</v>
      </c>
      <c r="H145" s="57">
        <f t="shared" si="32"/>
        <v>692.68878000000007</v>
      </c>
      <c r="I145" s="68">
        <f t="shared" si="33"/>
        <v>648.35</v>
      </c>
    </row>
    <row r="146" spans="1:10" ht="24" customHeight="1" x14ac:dyDescent="0.2">
      <c r="A146" s="43" t="s">
        <v>818</v>
      </c>
      <c r="B146" s="14">
        <v>100322</v>
      </c>
      <c r="C146" s="14" t="s">
        <v>18</v>
      </c>
      <c r="D146" s="18" t="s">
        <v>672</v>
      </c>
      <c r="E146" s="14" t="s">
        <v>46</v>
      </c>
      <c r="F146" s="15">
        <f>2.4*1.2*0.4</f>
        <v>1.1519999999999999</v>
      </c>
      <c r="G146" s="57">
        <v>170.67</v>
      </c>
      <c r="H146" s="57">
        <f t="shared" si="32"/>
        <v>215.692746</v>
      </c>
      <c r="I146" s="68">
        <f t="shared" si="33"/>
        <v>248.47</v>
      </c>
    </row>
    <row r="147" spans="1:10" s="17" customFormat="1" ht="24" customHeight="1" x14ac:dyDescent="0.2">
      <c r="A147" s="12" t="s">
        <v>819</v>
      </c>
      <c r="B147" s="130" t="s">
        <v>189</v>
      </c>
      <c r="C147" s="131"/>
      <c r="D147" s="131"/>
      <c r="E147" s="131"/>
      <c r="F147" s="131"/>
      <c r="G147" s="131"/>
      <c r="H147" s="132"/>
      <c r="I147" s="69">
        <f>SUM(I148:I153)</f>
        <v>5562.81</v>
      </c>
      <c r="J147" s="16"/>
    </row>
    <row r="148" spans="1:10" s="17" customFormat="1" ht="24" customHeight="1" x14ac:dyDescent="0.2">
      <c r="A148" s="43" t="s">
        <v>820</v>
      </c>
      <c r="B148" s="14">
        <v>90049</v>
      </c>
      <c r="C148" s="14" t="s">
        <v>179</v>
      </c>
      <c r="D148" s="18" t="s">
        <v>190</v>
      </c>
      <c r="E148" s="14" t="s">
        <v>20</v>
      </c>
      <c r="F148" s="15">
        <f>2.5+2.5+2.5+2.5</f>
        <v>10</v>
      </c>
      <c r="G148" s="57">
        <v>149.35</v>
      </c>
      <c r="H148" s="57">
        <f>G148*(1.2638)</f>
        <v>188.74852999999999</v>
      </c>
      <c r="I148" s="68">
        <f t="shared" ref="I148:I152" si="34">TRUNC(F148 * H148, 2)</f>
        <v>1887.48</v>
      </c>
      <c r="J148" s="16"/>
    </row>
    <row r="149" spans="1:10" s="17" customFormat="1" ht="24" customHeight="1" x14ac:dyDescent="0.2">
      <c r="A149" s="43" t="s">
        <v>821</v>
      </c>
      <c r="B149" s="14">
        <v>93358</v>
      </c>
      <c r="C149" s="14" t="s">
        <v>18</v>
      </c>
      <c r="D149" s="18" t="s">
        <v>181</v>
      </c>
      <c r="E149" s="14" t="s">
        <v>46</v>
      </c>
      <c r="F149" s="15">
        <f>2.5*2.5*1</f>
        <v>6.25</v>
      </c>
      <c r="G149" s="57">
        <v>92.88</v>
      </c>
      <c r="H149" s="57">
        <f t="shared" ref="H149:H153" si="35">G149*(1.2638)</f>
        <v>117.381744</v>
      </c>
      <c r="I149" s="68">
        <f t="shared" si="34"/>
        <v>733.63</v>
      </c>
      <c r="J149" s="16"/>
    </row>
    <row r="150" spans="1:10" s="17" customFormat="1" ht="24" customHeight="1" x14ac:dyDescent="0.2">
      <c r="A150" s="43" t="s">
        <v>822</v>
      </c>
      <c r="B150" s="14">
        <v>100322</v>
      </c>
      <c r="C150" s="14" t="s">
        <v>18</v>
      </c>
      <c r="D150" s="18" t="s">
        <v>672</v>
      </c>
      <c r="E150" s="14" t="s">
        <v>46</v>
      </c>
      <c r="F150" s="15">
        <f>(3.6*1)+(0.99*2.5)</f>
        <v>6.0750000000000002</v>
      </c>
      <c r="G150" s="57">
        <v>170.67</v>
      </c>
      <c r="H150" s="57">
        <f t="shared" si="35"/>
        <v>215.692746</v>
      </c>
      <c r="I150" s="68">
        <f t="shared" si="34"/>
        <v>1310.33</v>
      </c>
      <c r="J150" s="16"/>
    </row>
    <row r="151" spans="1:10" s="17" customFormat="1" ht="24" customHeight="1" x14ac:dyDescent="0.2">
      <c r="A151" s="43" t="s">
        <v>823</v>
      </c>
      <c r="B151" s="14">
        <v>92768</v>
      </c>
      <c r="C151" s="14" t="s">
        <v>18</v>
      </c>
      <c r="D151" s="18" t="s">
        <v>185</v>
      </c>
      <c r="E151" s="14" t="s">
        <v>122</v>
      </c>
      <c r="F151" s="15">
        <v>28.05</v>
      </c>
      <c r="G151" s="57">
        <v>13.58</v>
      </c>
      <c r="H151" s="57">
        <f t="shared" si="35"/>
        <v>17.162404000000002</v>
      </c>
      <c r="I151" s="68">
        <f t="shared" si="34"/>
        <v>481.4</v>
      </c>
      <c r="J151" s="16"/>
    </row>
    <row r="152" spans="1:10" s="17" customFormat="1" ht="24" customHeight="1" x14ac:dyDescent="0.2">
      <c r="A152" s="43" t="s">
        <v>824</v>
      </c>
      <c r="B152" s="14">
        <v>104927</v>
      </c>
      <c r="C152" s="14" t="s">
        <v>18</v>
      </c>
      <c r="D152" s="18" t="s">
        <v>186</v>
      </c>
      <c r="E152" s="14" t="s">
        <v>20</v>
      </c>
      <c r="F152" s="15">
        <f>2.7*2.7</f>
        <v>7.2900000000000009</v>
      </c>
      <c r="G152" s="57">
        <v>70.010000000000005</v>
      </c>
      <c r="H152" s="57">
        <f t="shared" si="35"/>
        <v>88.478638000000004</v>
      </c>
      <c r="I152" s="68">
        <f t="shared" si="34"/>
        <v>645</v>
      </c>
      <c r="J152" s="16"/>
    </row>
    <row r="153" spans="1:10" s="17" customFormat="1" ht="24" customHeight="1" x14ac:dyDescent="0.2">
      <c r="A153" s="43" t="s">
        <v>825</v>
      </c>
      <c r="B153" s="14">
        <v>94965</v>
      </c>
      <c r="C153" s="14" t="s">
        <v>18</v>
      </c>
      <c r="D153" s="18" t="s">
        <v>187</v>
      </c>
      <c r="E153" s="14" t="s">
        <v>46</v>
      </c>
      <c r="F153" s="15">
        <f>2.7*2.7*0.1</f>
        <v>0.72900000000000009</v>
      </c>
      <c r="G153" s="57">
        <v>548.1</v>
      </c>
      <c r="H153" s="57">
        <f t="shared" si="35"/>
        <v>692.68878000000007</v>
      </c>
      <c r="I153" s="68">
        <f>TRUNC(F153 * H153, 2)</f>
        <v>504.97</v>
      </c>
      <c r="J153" s="16"/>
    </row>
    <row r="154" spans="1:10" ht="24" customHeight="1" x14ac:dyDescent="0.2">
      <c r="A154" s="12" t="s">
        <v>826</v>
      </c>
      <c r="B154" s="130" t="s">
        <v>191</v>
      </c>
      <c r="C154" s="131"/>
      <c r="D154" s="131"/>
      <c r="E154" s="131"/>
      <c r="F154" s="131"/>
      <c r="G154" s="131"/>
      <c r="H154" s="132"/>
      <c r="I154" s="69">
        <f>SUM(I155:I156)</f>
        <v>1690.2199999999998</v>
      </c>
    </row>
    <row r="155" spans="1:10" ht="25.5" customHeight="1" x14ac:dyDescent="0.2">
      <c r="A155" s="8" t="s">
        <v>827</v>
      </c>
      <c r="B155" s="8" t="s">
        <v>192</v>
      </c>
      <c r="C155" s="8" t="s">
        <v>18</v>
      </c>
      <c r="D155" s="11" t="s">
        <v>193</v>
      </c>
      <c r="E155" s="8" t="s">
        <v>67</v>
      </c>
      <c r="F155" s="9">
        <v>1</v>
      </c>
      <c r="G155" s="57">
        <v>1205.77</v>
      </c>
      <c r="H155" s="57">
        <f>G155*(1.2638)</f>
        <v>1523.852126</v>
      </c>
      <c r="I155" s="68">
        <f>TRUNC(F155 * H155, 2)</f>
        <v>1523.85</v>
      </c>
    </row>
    <row r="156" spans="1:10" ht="25.5" customHeight="1" x14ac:dyDescent="0.2">
      <c r="A156" s="8" t="s">
        <v>828</v>
      </c>
      <c r="B156" s="8">
        <v>94797</v>
      </c>
      <c r="C156" s="8" t="s">
        <v>18</v>
      </c>
      <c r="D156" s="11" t="s">
        <v>194</v>
      </c>
      <c r="E156" s="8" t="s">
        <v>67</v>
      </c>
      <c r="F156" s="9">
        <v>1</v>
      </c>
      <c r="G156" s="57">
        <v>131.65</v>
      </c>
      <c r="H156" s="57">
        <f>G156*(1.2638)</f>
        <v>166.37927000000002</v>
      </c>
      <c r="I156" s="68">
        <f>TRUNC(F156 * H156, 2)</f>
        <v>166.37</v>
      </c>
    </row>
    <row r="157" spans="1:10" ht="24" customHeight="1" x14ac:dyDescent="0.2">
      <c r="A157" s="7">
        <v>3</v>
      </c>
      <c r="B157" s="140" t="s">
        <v>195</v>
      </c>
      <c r="C157" s="140"/>
      <c r="D157" s="140"/>
      <c r="E157" s="140"/>
      <c r="F157" s="140"/>
      <c r="G157" s="140"/>
      <c r="H157" s="140"/>
      <c r="I157" s="70">
        <f>I158</f>
        <v>90045.75</v>
      </c>
    </row>
    <row r="158" spans="1:10" ht="48" customHeight="1" x14ac:dyDescent="0.2">
      <c r="A158" s="19"/>
      <c r="B158" s="19"/>
      <c r="C158" s="20" t="s">
        <v>196</v>
      </c>
      <c r="D158" s="21" t="s">
        <v>197</v>
      </c>
      <c r="E158" s="22" t="s">
        <v>67</v>
      </c>
      <c r="F158" s="22">
        <v>3</v>
      </c>
      <c r="G158" s="23">
        <v>23750</v>
      </c>
      <c r="H158" s="57">
        <f>G158*1.2638</f>
        <v>30015.25</v>
      </c>
      <c r="I158" s="71">
        <f>H158*F158</f>
        <v>90045.75</v>
      </c>
    </row>
    <row r="159" spans="1:10" ht="24" customHeight="1" x14ac:dyDescent="0.2">
      <c r="A159" s="24">
        <v>4</v>
      </c>
      <c r="B159" s="141" t="s">
        <v>198</v>
      </c>
      <c r="C159" s="141"/>
      <c r="D159" s="141"/>
      <c r="E159" s="141"/>
      <c r="F159" s="141"/>
      <c r="G159" s="141"/>
      <c r="H159" s="141"/>
      <c r="I159" s="74">
        <f>I160+I162+I170+I179+I184+I186+I189</f>
        <v>48888.489999999991</v>
      </c>
    </row>
    <row r="160" spans="1:10" ht="24" customHeight="1" x14ac:dyDescent="0.2">
      <c r="A160" s="49" t="s">
        <v>199</v>
      </c>
      <c r="B160" s="127" t="s">
        <v>200</v>
      </c>
      <c r="C160" s="128"/>
      <c r="D160" s="128"/>
      <c r="E160" s="128"/>
      <c r="F160" s="128"/>
      <c r="G160" s="128"/>
      <c r="H160" s="129"/>
      <c r="I160" s="75">
        <v>548.79999999999995</v>
      </c>
    </row>
    <row r="161" spans="1:9" ht="24" customHeight="1" x14ac:dyDescent="0.2">
      <c r="A161" s="44" t="s">
        <v>201</v>
      </c>
      <c r="B161" s="44" t="s">
        <v>202</v>
      </c>
      <c r="C161" s="44" t="s">
        <v>18</v>
      </c>
      <c r="D161" s="45" t="s">
        <v>829</v>
      </c>
      <c r="E161" s="46" t="s">
        <v>20</v>
      </c>
      <c r="F161" s="47">
        <v>40</v>
      </c>
      <c r="G161" s="47">
        <v>10.86</v>
      </c>
      <c r="H161" s="57">
        <v>13.72</v>
      </c>
      <c r="I161" s="76">
        <v>548.79999999999995</v>
      </c>
    </row>
    <row r="162" spans="1:9" ht="24" customHeight="1" x14ac:dyDescent="0.2">
      <c r="A162" s="49" t="s">
        <v>203</v>
      </c>
      <c r="B162" s="127" t="s">
        <v>204</v>
      </c>
      <c r="C162" s="128"/>
      <c r="D162" s="128"/>
      <c r="E162" s="128"/>
      <c r="F162" s="128"/>
      <c r="G162" s="128"/>
      <c r="H162" s="129"/>
      <c r="I162" s="77">
        <f>SUM(I163:I169)</f>
        <v>13050.71</v>
      </c>
    </row>
    <row r="163" spans="1:9" ht="24" customHeight="1" x14ac:dyDescent="0.2">
      <c r="A163" s="44" t="s">
        <v>205</v>
      </c>
      <c r="B163" s="44" t="s">
        <v>206</v>
      </c>
      <c r="C163" s="44" t="s">
        <v>18</v>
      </c>
      <c r="D163" s="45" t="s">
        <v>207</v>
      </c>
      <c r="E163" s="46" t="s">
        <v>20</v>
      </c>
      <c r="F163" s="47">
        <v>15.62</v>
      </c>
      <c r="G163" s="47">
        <v>89.38</v>
      </c>
      <c r="H163" s="57">
        <v>112.95</v>
      </c>
      <c r="I163" s="76">
        <v>1764.27</v>
      </c>
    </row>
    <row r="164" spans="1:9" ht="24" customHeight="1" x14ac:dyDescent="0.2">
      <c r="A164" s="44" t="s">
        <v>208</v>
      </c>
      <c r="B164" s="44" t="s">
        <v>209</v>
      </c>
      <c r="C164" s="44" t="s">
        <v>18</v>
      </c>
      <c r="D164" s="45" t="s">
        <v>182</v>
      </c>
      <c r="E164" s="46" t="s">
        <v>20</v>
      </c>
      <c r="F164" s="47">
        <v>31.24</v>
      </c>
      <c r="G164" s="47">
        <v>7.24</v>
      </c>
      <c r="H164" s="57">
        <v>9.14</v>
      </c>
      <c r="I164" s="76">
        <v>285.52999999999997</v>
      </c>
    </row>
    <row r="165" spans="1:9" ht="24" customHeight="1" x14ac:dyDescent="0.2">
      <c r="A165" s="44" t="s">
        <v>210</v>
      </c>
      <c r="B165" s="44" t="s">
        <v>211</v>
      </c>
      <c r="C165" s="44" t="s">
        <v>18</v>
      </c>
      <c r="D165" s="45" t="s">
        <v>830</v>
      </c>
      <c r="E165" s="46" t="s">
        <v>46</v>
      </c>
      <c r="F165" s="47">
        <v>1.5</v>
      </c>
      <c r="G165" s="47">
        <v>61.51</v>
      </c>
      <c r="H165" s="57">
        <v>77.73</v>
      </c>
      <c r="I165" s="76">
        <v>116.59</v>
      </c>
    </row>
    <row r="166" spans="1:9" ht="24" customHeight="1" x14ac:dyDescent="0.2">
      <c r="A166" s="44" t="s">
        <v>212</v>
      </c>
      <c r="B166" s="44" t="s">
        <v>213</v>
      </c>
      <c r="C166" s="44" t="s">
        <v>18</v>
      </c>
      <c r="D166" s="45" t="s">
        <v>214</v>
      </c>
      <c r="E166" s="46" t="s">
        <v>20</v>
      </c>
      <c r="F166" s="47">
        <v>45.03</v>
      </c>
      <c r="G166" s="47">
        <v>68.02</v>
      </c>
      <c r="H166" s="57">
        <v>85.96</v>
      </c>
      <c r="I166" s="76">
        <v>3870.77</v>
      </c>
    </row>
    <row r="167" spans="1:9" ht="24" customHeight="1" x14ac:dyDescent="0.2">
      <c r="A167" s="44" t="s">
        <v>215</v>
      </c>
      <c r="B167" s="44" t="s">
        <v>216</v>
      </c>
      <c r="C167" s="44" t="s">
        <v>18</v>
      </c>
      <c r="D167" s="45" t="s">
        <v>217</v>
      </c>
      <c r="E167" s="46" t="s">
        <v>20</v>
      </c>
      <c r="F167" s="47">
        <v>34.869999999999997</v>
      </c>
      <c r="G167" s="47">
        <v>72.430000000000007</v>
      </c>
      <c r="H167" s="57">
        <v>91.53</v>
      </c>
      <c r="I167" s="76">
        <v>3191.65</v>
      </c>
    </row>
    <row r="168" spans="1:9" ht="24" customHeight="1" x14ac:dyDescent="0.2">
      <c r="A168" s="44" t="s">
        <v>218</v>
      </c>
      <c r="B168" s="44" t="s">
        <v>219</v>
      </c>
      <c r="C168" s="44" t="s">
        <v>18</v>
      </c>
      <c r="D168" s="45" t="s">
        <v>220</v>
      </c>
      <c r="E168" s="46" t="s">
        <v>20</v>
      </c>
      <c r="F168" s="47">
        <v>33.26</v>
      </c>
      <c r="G168" s="47">
        <v>56.83</v>
      </c>
      <c r="H168" s="57">
        <v>71.819999999999993</v>
      </c>
      <c r="I168" s="76">
        <v>2388.73</v>
      </c>
    </row>
    <row r="169" spans="1:9" ht="24" customHeight="1" x14ac:dyDescent="0.2">
      <c r="A169" s="44" t="s">
        <v>221</v>
      </c>
      <c r="B169" s="44" t="s">
        <v>222</v>
      </c>
      <c r="C169" s="44" t="s">
        <v>18</v>
      </c>
      <c r="D169" s="45" t="s">
        <v>223</v>
      </c>
      <c r="E169" s="46" t="s">
        <v>20</v>
      </c>
      <c r="F169" s="47">
        <v>33.26</v>
      </c>
      <c r="G169" s="47">
        <v>34.1</v>
      </c>
      <c r="H169" s="57">
        <v>43.09</v>
      </c>
      <c r="I169" s="76">
        <v>1433.17</v>
      </c>
    </row>
    <row r="170" spans="1:9" ht="24" customHeight="1" x14ac:dyDescent="0.2">
      <c r="A170" s="49" t="s">
        <v>224</v>
      </c>
      <c r="B170" s="127" t="s">
        <v>225</v>
      </c>
      <c r="C170" s="128"/>
      <c r="D170" s="128"/>
      <c r="E170" s="128"/>
      <c r="F170" s="128"/>
      <c r="G170" s="128"/>
      <c r="H170" s="129"/>
      <c r="I170" s="77">
        <f>SUM(I171:I178)</f>
        <v>5340.58</v>
      </c>
    </row>
    <row r="171" spans="1:9" ht="24" customHeight="1" x14ac:dyDescent="0.2">
      <c r="A171" s="44" t="s">
        <v>226</v>
      </c>
      <c r="B171" s="44" t="s">
        <v>227</v>
      </c>
      <c r="C171" s="44" t="s">
        <v>18</v>
      </c>
      <c r="D171" s="45" t="s">
        <v>228</v>
      </c>
      <c r="E171" s="46" t="s">
        <v>67</v>
      </c>
      <c r="F171" s="47">
        <v>2</v>
      </c>
      <c r="G171" s="47">
        <v>361.21</v>
      </c>
      <c r="H171" s="57">
        <v>456.49</v>
      </c>
      <c r="I171" s="76">
        <v>912.98</v>
      </c>
    </row>
    <row r="172" spans="1:9" ht="24" customHeight="1" x14ac:dyDescent="0.2">
      <c r="A172" s="44" t="s">
        <v>229</v>
      </c>
      <c r="B172" s="44" t="s">
        <v>230</v>
      </c>
      <c r="C172" s="44" t="s">
        <v>18</v>
      </c>
      <c r="D172" s="45" t="s">
        <v>231</v>
      </c>
      <c r="E172" s="46" t="s">
        <v>67</v>
      </c>
      <c r="F172" s="47">
        <v>4</v>
      </c>
      <c r="G172" s="47">
        <v>22.67</v>
      </c>
      <c r="H172" s="57">
        <v>28.65</v>
      </c>
      <c r="I172" s="76">
        <v>114.6</v>
      </c>
    </row>
    <row r="173" spans="1:9" ht="24" customHeight="1" x14ac:dyDescent="0.2">
      <c r="A173" s="44" t="s">
        <v>232</v>
      </c>
      <c r="B173" s="44" t="s">
        <v>233</v>
      </c>
      <c r="C173" s="44" t="s">
        <v>18</v>
      </c>
      <c r="D173" s="45" t="s">
        <v>234</v>
      </c>
      <c r="E173" s="46" t="s">
        <v>67</v>
      </c>
      <c r="F173" s="47">
        <v>5</v>
      </c>
      <c r="G173" s="47">
        <v>465.72</v>
      </c>
      <c r="H173" s="57">
        <v>588.57000000000005</v>
      </c>
      <c r="I173" s="76">
        <v>2942.85</v>
      </c>
    </row>
    <row r="174" spans="1:9" ht="24" customHeight="1" x14ac:dyDescent="0.2">
      <c r="A174" s="44" t="s">
        <v>235</v>
      </c>
      <c r="B174" s="44" t="s">
        <v>236</v>
      </c>
      <c r="C174" s="44" t="s">
        <v>18</v>
      </c>
      <c r="D174" s="45" t="s">
        <v>831</v>
      </c>
      <c r="E174" s="46" t="s">
        <v>67</v>
      </c>
      <c r="F174" s="47">
        <v>2</v>
      </c>
      <c r="G174" s="47">
        <v>96.35</v>
      </c>
      <c r="H174" s="57">
        <v>121.76</v>
      </c>
      <c r="I174" s="76">
        <v>243.52</v>
      </c>
    </row>
    <row r="175" spans="1:9" ht="24" customHeight="1" x14ac:dyDescent="0.2">
      <c r="A175" s="44" t="s">
        <v>237</v>
      </c>
      <c r="B175" s="44" t="s">
        <v>238</v>
      </c>
      <c r="C175" s="44" t="s">
        <v>18</v>
      </c>
      <c r="D175" s="45" t="s">
        <v>239</v>
      </c>
      <c r="E175" s="46" t="s">
        <v>67</v>
      </c>
      <c r="F175" s="47">
        <v>4</v>
      </c>
      <c r="G175" s="47">
        <v>118.23</v>
      </c>
      <c r="H175" s="57">
        <v>149.41</v>
      </c>
      <c r="I175" s="76">
        <v>597.64</v>
      </c>
    </row>
    <row r="176" spans="1:9" ht="24" customHeight="1" x14ac:dyDescent="0.2">
      <c r="A176" s="44" t="s">
        <v>240</v>
      </c>
      <c r="B176" s="44" t="s">
        <v>241</v>
      </c>
      <c r="C176" s="44" t="s">
        <v>242</v>
      </c>
      <c r="D176" s="45" t="s">
        <v>243</v>
      </c>
      <c r="E176" s="46" t="s">
        <v>67</v>
      </c>
      <c r="F176" s="47">
        <v>3</v>
      </c>
      <c r="G176" s="47">
        <v>72.63</v>
      </c>
      <c r="H176" s="57">
        <v>91.78</v>
      </c>
      <c r="I176" s="76">
        <v>275.33999999999997</v>
      </c>
    </row>
    <row r="177" spans="1:9" ht="24" customHeight="1" x14ac:dyDescent="0.2">
      <c r="A177" s="44" t="s">
        <v>244</v>
      </c>
      <c r="B177" s="44" t="s">
        <v>245</v>
      </c>
      <c r="C177" s="44" t="s">
        <v>18</v>
      </c>
      <c r="D177" s="45" t="s">
        <v>246</v>
      </c>
      <c r="E177" s="46" t="s">
        <v>67</v>
      </c>
      <c r="F177" s="47">
        <v>3</v>
      </c>
      <c r="G177" s="47">
        <v>51.35</v>
      </c>
      <c r="H177" s="57">
        <v>64.89</v>
      </c>
      <c r="I177" s="76">
        <v>194.67</v>
      </c>
    </row>
    <row r="178" spans="1:9" ht="24" customHeight="1" x14ac:dyDescent="0.2">
      <c r="A178" s="44" t="s">
        <v>247</v>
      </c>
      <c r="B178" s="44" t="s">
        <v>248</v>
      </c>
      <c r="C178" s="44" t="s">
        <v>18</v>
      </c>
      <c r="D178" s="45" t="s">
        <v>249</v>
      </c>
      <c r="E178" s="46" t="s">
        <v>67</v>
      </c>
      <c r="F178" s="47">
        <v>3</v>
      </c>
      <c r="G178" s="47">
        <v>15.56</v>
      </c>
      <c r="H178" s="57">
        <v>19.66</v>
      </c>
      <c r="I178" s="76">
        <v>58.98</v>
      </c>
    </row>
    <row r="179" spans="1:9" ht="24" customHeight="1" x14ac:dyDescent="0.2">
      <c r="A179" s="49" t="s">
        <v>250</v>
      </c>
      <c r="B179" s="127" t="s">
        <v>62</v>
      </c>
      <c r="C179" s="128"/>
      <c r="D179" s="128"/>
      <c r="E179" s="128"/>
      <c r="F179" s="128"/>
      <c r="G179" s="128"/>
      <c r="H179" s="129"/>
      <c r="I179" s="77">
        <f>SUM(I180:I183)</f>
        <v>27653.79</v>
      </c>
    </row>
    <row r="180" spans="1:9" ht="24" customHeight="1" x14ac:dyDescent="0.2">
      <c r="A180" s="44" t="s">
        <v>251</v>
      </c>
      <c r="B180" s="44" t="s">
        <v>252</v>
      </c>
      <c r="C180" s="44" t="s">
        <v>18</v>
      </c>
      <c r="D180" s="45" t="s">
        <v>832</v>
      </c>
      <c r="E180" s="46" t="s">
        <v>20</v>
      </c>
      <c r="F180" s="47">
        <v>0.96</v>
      </c>
      <c r="G180" s="47">
        <v>787.24</v>
      </c>
      <c r="H180" s="57">
        <v>994.91</v>
      </c>
      <c r="I180" s="76">
        <v>955.11</v>
      </c>
    </row>
    <row r="181" spans="1:9" ht="24" customHeight="1" x14ac:dyDescent="0.2">
      <c r="A181" s="44" t="s">
        <v>253</v>
      </c>
      <c r="B181" s="44" t="s">
        <v>254</v>
      </c>
      <c r="C181" s="44" t="s">
        <v>18</v>
      </c>
      <c r="D181" s="45" t="s">
        <v>833</v>
      </c>
      <c r="E181" s="46" t="s">
        <v>20</v>
      </c>
      <c r="F181" s="47">
        <v>7.2</v>
      </c>
      <c r="G181" s="47">
        <v>895.16</v>
      </c>
      <c r="H181" s="57">
        <v>1131.3</v>
      </c>
      <c r="I181" s="76">
        <v>8145.36</v>
      </c>
    </row>
    <row r="182" spans="1:9" ht="24" customHeight="1" x14ac:dyDescent="0.2">
      <c r="A182" s="44" t="s">
        <v>255</v>
      </c>
      <c r="B182" s="44" t="s">
        <v>254</v>
      </c>
      <c r="C182" s="44" t="s">
        <v>18</v>
      </c>
      <c r="D182" s="45" t="s">
        <v>256</v>
      </c>
      <c r="E182" s="46" t="s">
        <v>20</v>
      </c>
      <c r="F182" s="47">
        <v>4.2</v>
      </c>
      <c r="G182" s="47">
        <v>895.16</v>
      </c>
      <c r="H182" s="57">
        <v>1131.3</v>
      </c>
      <c r="I182" s="76">
        <v>4751.46</v>
      </c>
    </row>
    <row r="183" spans="1:9" ht="24" customHeight="1" x14ac:dyDescent="0.2">
      <c r="A183" s="44" t="s">
        <v>257</v>
      </c>
      <c r="B183" s="44" t="s">
        <v>254</v>
      </c>
      <c r="C183" s="44" t="s">
        <v>18</v>
      </c>
      <c r="D183" s="45" t="s">
        <v>258</v>
      </c>
      <c r="E183" s="46" t="s">
        <v>20</v>
      </c>
      <c r="F183" s="47">
        <v>12.2</v>
      </c>
      <c r="G183" s="47">
        <v>895.16</v>
      </c>
      <c r="H183" s="57">
        <v>1131.3</v>
      </c>
      <c r="I183" s="76">
        <v>13801.86</v>
      </c>
    </row>
    <row r="184" spans="1:9" ht="24" customHeight="1" x14ac:dyDescent="0.2">
      <c r="A184" s="49" t="s">
        <v>259</v>
      </c>
      <c r="B184" s="121" t="s">
        <v>260</v>
      </c>
      <c r="C184" s="122"/>
      <c r="D184" s="122"/>
      <c r="E184" s="122"/>
      <c r="F184" s="122"/>
      <c r="G184" s="122"/>
      <c r="H184" s="123"/>
      <c r="I184" s="77">
        <f>SUM(I185)</f>
        <v>220.64</v>
      </c>
    </row>
    <row r="185" spans="1:9" ht="24" customHeight="1" x14ac:dyDescent="0.2">
      <c r="A185" s="44" t="s">
        <v>261</v>
      </c>
      <c r="B185" s="44" t="s">
        <v>262</v>
      </c>
      <c r="C185" s="44" t="s">
        <v>263</v>
      </c>
      <c r="D185" s="45" t="s">
        <v>264</v>
      </c>
      <c r="E185" s="46" t="s">
        <v>28</v>
      </c>
      <c r="F185" s="47">
        <v>2.7</v>
      </c>
      <c r="G185" s="47">
        <v>64.67</v>
      </c>
      <c r="H185" s="57">
        <v>81.72</v>
      </c>
      <c r="I185" s="76">
        <v>220.64</v>
      </c>
    </row>
    <row r="186" spans="1:9" ht="24" customHeight="1" x14ac:dyDescent="0.2">
      <c r="A186" s="49" t="s">
        <v>265</v>
      </c>
      <c r="B186" s="121" t="s">
        <v>266</v>
      </c>
      <c r="C186" s="122"/>
      <c r="D186" s="122"/>
      <c r="E186" s="122"/>
      <c r="F186" s="122"/>
      <c r="G186" s="122"/>
      <c r="H186" s="123"/>
      <c r="I186" s="77">
        <f>SUM(I187:I188)</f>
        <v>1856.77</v>
      </c>
    </row>
    <row r="187" spans="1:9" ht="24" customHeight="1" x14ac:dyDescent="0.2">
      <c r="A187" s="44" t="s">
        <v>267</v>
      </c>
      <c r="B187" s="44" t="s">
        <v>268</v>
      </c>
      <c r="C187" s="44" t="s">
        <v>18</v>
      </c>
      <c r="D187" s="45" t="s">
        <v>269</v>
      </c>
      <c r="E187" s="46" t="s">
        <v>20</v>
      </c>
      <c r="F187" s="47">
        <v>83.31</v>
      </c>
      <c r="G187" s="47">
        <v>16.559999999999999</v>
      </c>
      <c r="H187" s="57">
        <v>20.92</v>
      </c>
      <c r="I187" s="76">
        <v>1742.84</v>
      </c>
    </row>
    <row r="188" spans="1:9" ht="24" customHeight="1" x14ac:dyDescent="0.2">
      <c r="A188" s="44" t="s">
        <v>270</v>
      </c>
      <c r="B188" s="44" t="s">
        <v>56</v>
      </c>
      <c r="C188" s="44" t="s">
        <v>18</v>
      </c>
      <c r="D188" s="45" t="s">
        <v>271</v>
      </c>
      <c r="E188" s="46" t="s">
        <v>20</v>
      </c>
      <c r="F188" s="47">
        <v>23.3</v>
      </c>
      <c r="G188" s="47">
        <v>3.87</v>
      </c>
      <c r="H188" s="57">
        <v>4.8899999999999997</v>
      </c>
      <c r="I188" s="76">
        <v>113.93</v>
      </c>
    </row>
    <row r="189" spans="1:9" ht="24" customHeight="1" x14ac:dyDescent="0.2">
      <c r="A189" s="49" t="s">
        <v>272</v>
      </c>
      <c r="B189" s="121" t="s">
        <v>273</v>
      </c>
      <c r="C189" s="122"/>
      <c r="D189" s="122"/>
      <c r="E189" s="122"/>
      <c r="F189" s="122"/>
      <c r="G189" s="122"/>
      <c r="H189" s="123"/>
      <c r="I189" s="77">
        <v>217.2</v>
      </c>
    </row>
    <row r="190" spans="1:9" ht="24" customHeight="1" x14ac:dyDescent="0.2">
      <c r="A190" s="44" t="s">
        <v>274</v>
      </c>
      <c r="B190" s="44" t="s">
        <v>275</v>
      </c>
      <c r="C190" s="44" t="s">
        <v>18</v>
      </c>
      <c r="D190" s="45" t="s">
        <v>276</v>
      </c>
      <c r="E190" s="46" t="s">
        <v>20</v>
      </c>
      <c r="F190" s="47">
        <v>40</v>
      </c>
      <c r="G190" s="47">
        <v>4.3</v>
      </c>
      <c r="H190" s="57">
        <v>5.43</v>
      </c>
      <c r="I190" s="76">
        <v>217.2</v>
      </c>
    </row>
    <row r="191" spans="1:9" ht="27" customHeight="1" x14ac:dyDescent="0.2">
      <c r="A191" s="25">
        <v>5</v>
      </c>
      <c r="B191" s="124" t="s">
        <v>277</v>
      </c>
      <c r="C191" s="125"/>
      <c r="D191" s="125"/>
      <c r="E191" s="125"/>
      <c r="F191" s="125"/>
      <c r="G191" s="125"/>
      <c r="H191" s="126"/>
      <c r="I191" s="78">
        <f>I192+I277</f>
        <v>136133.28</v>
      </c>
    </row>
    <row r="192" spans="1:9" ht="24" customHeight="1" x14ac:dyDescent="0.2">
      <c r="A192" s="50" t="s">
        <v>278</v>
      </c>
      <c r="B192" s="114" t="s">
        <v>279</v>
      </c>
      <c r="C192" s="115"/>
      <c r="D192" s="115"/>
      <c r="E192" s="115"/>
      <c r="F192" s="115"/>
      <c r="G192" s="115"/>
      <c r="H192" s="116"/>
      <c r="I192" s="79">
        <f>I193+I217</f>
        <v>53493.060000000005</v>
      </c>
    </row>
    <row r="193" spans="1:9" ht="24" customHeight="1" x14ac:dyDescent="0.2">
      <c r="A193" s="19" t="s">
        <v>280</v>
      </c>
      <c r="B193" s="117" t="s">
        <v>281</v>
      </c>
      <c r="C193" s="118"/>
      <c r="D193" s="118"/>
      <c r="E193" s="118"/>
      <c r="F193" s="118"/>
      <c r="G193" s="118"/>
      <c r="H193" s="119"/>
      <c r="I193" s="80">
        <f>SUM(I194:I216)</f>
        <v>19990.419999999998</v>
      </c>
    </row>
    <row r="194" spans="1:9" ht="24" customHeight="1" x14ac:dyDescent="0.2">
      <c r="A194" s="26" t="s">
        <v>282</v>
      </c>
      <c r="B194" s="51" t="s">
        <v>283</v>
      </c>
      <c r="C194" s="51" t="s">
        <v>284</v>
      </c>
      <c r="D194" s="52" t="s">
        <v>285</v>
      </c>
      <c r="E194" s="53" t="s">
        <v>67</v>
      </c>
      <c r="F194" s="54">
        <v>1</v>
      </c>
      <c r="G194" s="55">
        <v>273.05</v>
      </c>
      <c r="H194" s="57">
        <v>345.08</v>
      </c>
      <c r="I194" s="81">
        <v>345.08</v>
      </c>
    </row>
    <row r="195" spans="1:9" ht="24" customHeight="1" x14ac:dyDescent="0.2">
      <c r="A195" s="26" t="s">
        <v>286</v>
      </c>
      <c r="B195" s="51" t="s">
        <v>287</v>
      </c>
      <c r="C195" s="51" t="s">
        <v>263</v>
      </c>
      <c r="D195" s="52" t="s">
        <v>288</v>
      </c>
      <c r="E195" s="53" t="s">
        <v>67</v>
      </c>
      <c r="F195" s="54">
        <v>1</v>
      </c>
      <c r="G195" s="55">
        <v>2355.86</v>
      </c>
      <c r="H195" s="57">
        <v>2977.33</v>
      </c>
      <c r="I195" s="81">
        <v>2977.33</v>
      </c>
    </row>
    <row r="196" spans="1:9" ht="24" customHeight="1" x14ac:dyDescent="0.2">
      <c r="A196" s="26" t="s">
        <v>289</v>
      </c>
      <c r="B196" s="51" t="s">
        <v>290</v>
      </c>
      <c r="C196" s="51" t="s">
        <v>263</v>
      </c>
      <c r="D196" s="52" t="s">
        <v>291</v>
      </c>
      <c r="E196" s="53" t="s">
        <v>160</v>
      </c>
      <c r="F196" s="54">
        <v>4</v>
      </c>
      <c r="G196" s="55">
        <v>1366.12</v>
      </c>
      <c r="H196" s="57">
        <v>1726.5</v>
      </c>
      <c r="I196" s="81">
        <v>6906</v>
      </c>
    </row>
    <row r="197" spans="1:9" ht="24" customHeight="1" x14ac:dyDescent="0.2">
      <c r="A197" s="26" t="s">
        <v>292</v>
      </c>
      <c r="B197" s="51" t="s">
        <v>293</v>
      </c>
      <c r="C197" s="51" t="s">
        <v>18</v>
      </c>
      <c r="D197" s="52" t="s">
        <v>673</v>
      </c>
      <c r="E197" s="53" t="s">
        <v>67</v>
      </c>
      <c r="F197" s="54">
        <v>8</v>
      </c>
      <c r="G197" s="55">
        <v>42.38</v>
      </c>
      <c r="H197" s="57">
        <v>53.55</v>
      </c>
      <c r="I197" s="81">
        <v>428.4</v>
      </c>
    </row>
    <row r="198" spans="1:9" ht="24" customHeight="1" x14ac:dyDescent="0.2">
      <c r="A198" s="26" t="s">
        <v>295</v>
      </c>
      <c r="B198" s="51" t="s">
        <v>296</v>
      </c>
      <c r="C198" s="51" t="s">
        <v>263</v>
      </c>
      <c r="D198" s="52" t="s">
        <v>297</v>
      </c>
      <c r="E198" s="53" t="s">
        <v>298</v>
      </c>
      <c r="F198" s="54">
        <v>45</v>
      </c>
      <c r="G198" s="55">
        <v>38.590000000000003</v>
      </c>
      <c r="H198" s="57">
        <v>48.77</v>
      </c>
      <c r="I198" s="81">
        <v>2194.65</v>
      </c>
    </row>
    <row r="199" spans="1:9" ht="24" customHeight="1" x14ac:dyDescent="0.2">
      <c r="A199" s="26" t="s">
        <v>299</v>
      </c>
      <c r="B199" s="51" t="s">
        <v>300</v>
      </c>
      <c r="C199" s="51" t="s">
        <v>263</v>
      </c>
      <c r="D199" s="52" t="s">
        <v>301</v>
      </c>
      <c r="E199" s="53" t="s">
        <v>298</v>
      </c>
      <c r="F199" s="54">
        <v>15</v>
      </c>
      <c r="G199" s="55">
        <v>32.340000000000003</v>
      </c>
      <c r="H199" s="57">
        <v>40.869999999999997</v>
      </c>
      <c r="I199" s="81">
        <v>613.04999999999995</v>
      </c>
    </row>
    <row r="200" spans="1:9" ht="24" customHeight="1" x14ac:dyDescent="0.2">
      <c r="A200" s="26" t="s">
        <v>302</v>
      </c>
      <c r="B200" s="51" t="s">
        <v>303</v>
      </c>
      <c r="C200" s="51" t="s">
        <v>158</v>
      </c>
      <c r="D200" s="52" t="s">
        <v>304</v>
      </c>
      <c r="E200" s="53" t="s">
        <v>298</v>
      </c>
      <c r="F200" s="54">
        <v>25</v>
      </c>
      <c r="G200" s="55">
        <v>10.66</v>
      </c>
      <c r="H200" s="57">
        <v>13.47</v>
      </c>
      <c r="I200" s="81">
        <v>336.75</v>
      </c>
    </row>
    <row r="201" spans="1:9" ht="24" customHeight="1" x14ac:dyDescent="0.2">
      <c r="A201" s="26" t="s">
        <v>305</v>
      </c>
      <c r="B201" s="51" t="s">
        <v>306</v>
      </c>
      <c r="C201" s="51" t="s">
        <v>158</v>
      </c>
      <c r="D201" s="52" t="s">
        <v>674</v>
      </c>
      <c r="E201" s="53" t="s">
        <v>298</v>
      </c>
      <c r="F201" s="54">
        <v>10</v>
      </c>
      <c r="G201" s="55">
        <v>8.11</v>
      </c>
      <c r="H201" s="57">
        <v>10.24</v>
      </c>
      <c r="I201" s="81">
        <v>102.4</v>
      </c>
    </row>
    <row r="202" spans="1:9" ht="24" customHeight="1" x14ac:dyDescent="0.2">
      <c r="A202" s="26" t="s">
        <v>307</v>
      </c>
      <c r="B202" s="51" t="s">
        <v>308</v>
      </c>
      <c r="C202" s="51" t="s">
        <v>158</v>
      </c>
      <c r="D202" s="52" t="s">
        <v>675</v>
      </c>
      <c r="E202" s="53" t="s">
        <v>298</v>
      </c>
      <c r="F202" s="54">
        <v>70</v>
      </c>
      <c r="G202" s="55">
        <v>6.95</v>
      </c>
      <c r="H202" s="57">
        <v>8.7799999999999994</v>
      </c>
      <c r="I202" s="81">
        <v>614.6</v>
      </c>
    </row>
    <row r="203" spans="1:9" ht="24" customHeight="1" x14ac:dyDescent="0.2">
      <c r="A203" s="26" t="s">
        <v>309</v>
      </c>
      <c r="B203" s="51" t="s">
        <v>310</v>
      </c>
      <c r="C203" s="51" t="s">
        <v>158</v>
      </c>
      <c r="D203" s="52" t="s">
        <v>311</v>
      </c>
      <c r="E203" s="53" t="s">
        <v>160</v>
      </c>
      <c r="F203" s="54">
        <v>4</v>
      </c>
      <c r="G203" s="55">
        <v>50.42</v>
      </c>
      <c r="H203" s="57">
        <v>63.72</v>
      </c>
      <c r="I203" s="81">
        <v>254.88</v>
      </c>
    </row>
    <row r="204" spans="1:9" ht="24" customHeight="1" x14ac:dyDescent="0.2">
      <c r="A204" s="26" t="s">
        <v>312</v>
      </c>
      <c r="B204" s="51" t="s">
        <v>313</v>
      </c>
      <c r="C204" s="51" t="s">
        <v>18</v>
      </c>
      <c r="D204" s="52" t="s">
        <v>314</v>
      </c>
      <c r="E204" s="53" t="s">
        <v>67</v>
      </c>
      <c r="F204" s="54">
        <v>4</v>
      </c>
      <c r="G204" s="55">
        <v>31.18</v>
      </c>
      <c r="H204" s="57">
        <v>39.4</v>
      </c>
      <c r="I204" s="81">
        <v>157.6</v>
      </c>
    </row>
    <row r="205" spans="1:9" ht="24" customHeight="1" x14ac:dyDescent="0.2">
      <c r="A205" s="26" t="s">
        <v>315</v>
      </c>
      <c r="B205" s="51" t="s">
        <v>316</v>
      </c>
      <c r="C205" s="51" t="s">
        <v>158</v>
      </c>
      <c r="D205" s="52" t="s">
        <v>317</v>
      </c>
      <c r="E205" s="53" t="s">
        <v>298</v>
      </c>
      <c r="F205" s="54">
        <v>8</v>
      </c>
      <c r="G205" s="55">
        <v>8.5</v>
      </c>
      <c r="H205" s="57">
        <v>10.74</v>
      </c>
      <c r="I205" s="81">
        <v>85.92</v>
      </c>
    </row>
    <row r="206" spans="1:9" ht="24" customHeight="1" x14ac:dyDescent="0.2">
      <c r="A206" s="26" t="s">
        <v>318</v>
      </c>
      <c r="B206" s="51" t="s">
        <v>319</v>
      </c>
      <c r="C206" s="51" t="s">
        <v>263</v>
      </c>
      <c r="D206" s="52" t="s">
        <v>320</v>
      </c>
      <c r="E206" s="53" t="s">
        <v>67</v>
      </c>
      <c r="F206" s="54">
        <v>36</v>
      </c>
      <c r="G206" s="55">
        <v>35.26</v>
      </c>
      <c r="H206" s="57">
        <v>44.56</v>
      </c>
      <c r="I206" s="81">
        <v>1604.16</v>
      </c>
    </row>
    <row r="207" spans="1:9" ht="24" customHeight="1" x14ac:dyDescent="0.2">
      <c r="A207" s="26" t="s">
        <v>321</v>
      </c>
      <c r="B207" s="51" t="s">
        <v>322</v>
      </c>
      <c r="C207" s="51" t="s">
        <v>242</v>
      </c>
      <c r="D207" s="52" t="s">
        <v>676</v>
      </c>
      <c r="E207" s="53" t="s">
        <v>67</v>
      </c>
      <c r="F207" s="54">
        <v>4</v>
      </c>
      <c r="G207" s="55">
        <v>25.89</v>
      </c>
      <c r="H207" s="57">
        <v>32.71</v>
      </c>
      <c r="I207" s="81">
        <v>130.84</v>
      </c>
    </row>
    <row r="208" spans="1:9" ht="24" customHeight="1" x14ac:dyDescent="0.2">
      <c r="A208" s="26" t="s">
        <v>324</v>
      </c>
      <c r="B208" s="51" t="s">
        <v>325</v>
      </c>
      <c r="C208" s="51" t="s">
        <v>242</v>
      </c>
      <c r="D208" s="52" t="s">
        <v>677</v>
      </c>
      <c r="E208" s="53" t="s">
        <v>67</v>
      </c>
      <c r="F208" s="54">
        <v>4</v>
      </c>
      <c r="G208" s="55">
        <v>22.66</v>
      </c>
      <c r="H208" s="57">
        <v>28.63</v>
      </c>
      <c r="I208" s="81">
        <v>114.52</v>
      </c>
    </row>
    <row r="209" spans="1:9" ht="24" customHeight="1" x14ac:dyDescent="0.2">
      <c r="A209" s="26" t="s">
        <v>327</v>
      </c>
      <c r="B209" s="51" t="s">
        <v>328</v>
      </c>
      <c r="C209" s="51" t="s">
        <v>242</v>
      </c>
      <c r="D209" s="52" t="s">
        <v>678</v>
      </c>
      <c r="E209" s="53" t="s">
        <v>67</v>
      </c>
      <c r="F209" s="54">
        <v>23</v>
      </c>
      <c r="G209" s="55">
        <v>18.86</v>
      </c>
      <c r="H209" s="57">
        <v>23.83</v>
      </c>
      <c r="I209" s="81">
        <v>548.09</v>
      </c>
    </row>
    <row r="210" spans="1:9" ht="24" customHeight="1" x14ac:dyDescent="0.2">
      <c r="A210" s="26" t="s">
        <v>330</v>
      </c>
      <c r="B210" s="51" t="s">
        <v>331</v>
      </c>
      <c r="C210" s="51" t="s">
        <v>332</v>
      </c>
      <c r="D210" s="52" t="s">
        <v>333</v>
      </c>
      <c r="E210" s="53" t="s">
        <v>160</v>
      </c>
      <c r="F210" s="54">
        <v>4</v>
      </c>
      <c r="G210" s="55">
        <v>47.07</v>
      </c>
      <c r="H210" s="57">
        <v>59.48</v>
      </c>
      <c r="I210" s="81">
        <v>237.92</v>
      </c>
    </row>
    <row r="211" spans="1:9" ht="24" customHeight="1" x14ac:dyDescent="0.2">
      <c r="A211" s="26" t="s">
        <v>334</v>
      </c>
      <c r="B211" s="51" t="s">
        <v>335</v>
      </c>
      <c r="C211" s="51" t="s">
        <v>242</v>
      </c>
      <c r="D211" s="52" t="s">
        <v>679</v>
      </c>
      <c r="E211" s="53" t="s">
        <v>28</v>
      </c>
      <c r="F211" s="54">
        <v>6</v>
      </c>
      <c r="G211" s="55">
        <v>30.51</v>
      </c>
      <c r="H211" s="57">
        <v>38.549999999999997</v>
      </c>
      <c r="I211" s="81">
        <v>231.3</v>
      </c>
    </row>
    <row r="212" spans="1:9" ht="24" customHeight="1" x14ac:dyDescent="0.2">
      <c r="A212" s="26" t="s">
        <v>337</v>
      </c>
      <c r="B212" s="51" t="s">
        <v>338</v>
      </c>
      <c r="C212" s="51" t="s">
        <v>242</v>
      </c>
      <c r="D212" s="52" t="s">
        <v>339</v>
      </c>
      <c r="E212" s="53" t="s">
        <v>67</v>
      </c>
      <c r="F212" s="54">
        <v>2</v>
      </c>
      <c r="G212" s="55">
        <v>70.38</v>
      </c>
      <c r="H212" s="57">
        <v>88.94</v>
      </c>
      <c r="I212" s="81">
        <v>177.88</v>
      </c>
    </row>
    <row r="213" spans="1:9" ht="24" customHeight="1" x14ac:dyDescent="0.2">
      <c r="A213" s="26" t="s">
        <v>340</v>
      </c>
      <c r="B213" s="51" t="s">
        <v>341</v>
      </c>
      <c r="C213" s="51" t="s">
        <v>242</v>
      </c>
      <c r="D213" s="52" t="s">
        <v>680</v>
      </c>
      <c r="E213" s="53" t="s">
        <v>67</v>
      </c>
      <c r="F213" s="54">
        <v>2</v>
      </c>
      <c r="G213" s="55">
        <v>312.98</v>
      </c>
      <c r="H213" s="57">
        <v>395.54</v>
      </c>
      <c r="I213" s="81">
        <v>791.08</v>
      </c>
    </row>
    <row r="214" spans="1:9" ht="24" customHeight="1" x14ac:dyDescent="0.2">
      <c r="A214" s="26" t="s">
        <v>343</v>
      </c>
      <c r="B214" s="51" t="s">
        <v>344</v>
      </c>
      <c r="C214" s="51" t="s">
        <v>242</v>
      </c>
      <c r="D214" s="52" t="s">
        <v>345</v>
      </c>
      <c r="E214" s="53" t="s">
        <v>346</v>
      </c>
      <c r="F214" s="54">
        <v>1</v>
      </c>
      <c r="G214" s="55">
        <v>27.79</v>
      </c>
      <c r="H214" s="57">
        <v>35.119999999999997</v>
      </c>
      <c r="I214" s="81">
        <v>35.119999999999997</v>
      </c>
    </row>
    <row r="215" spans="1:9" ht="24" customHeight="1" x14ac:dyDescent="0.2">
      <c r="A215" s="26" t="s">
        <v>347</v>
      </c>
      <c r="B215" s="51" t="s">
        <v>348</v>
      </c>
      <c r="C215" s="51" t="s">
        <v>18</v>
      </c>
      <c r="D215" s="52" t="s">
        <v>681</v>
      </c>
      <c r="E215" s="53" t="s">
        <v>67</v>
      </c>
      <c r="F215" s="54">
        <v>3</v>
      </c>
      <c r="G215" s="55">
        <v>26.52</v>
      </c>
      <c r="H215" s="57">
        <v>33.51</v>
      </c>
      <c r="I215" s="81">
        <v>100.53</v>
      </c>
    </row>
    <row r="216" spans="1:9" ht="24" customHeight="1" x14ac:dyDescent="0.2">
      <c r="A216" s="26" t="s">
        <v>349</v>
      </c>
      <c r="B216" s="51" t="s">
        <v>350</v>
      </c>
      <c r="C216" s="51" t="s">
        <v>351</v>
      </c>
      <c r="D216" s="52" t="s">
        <v>352</v>
      </c>
      <c r="E216" s="53" t="s">
        <v>67</v>
      </c>
      <c r="F216" s="54">
        <v>8</v>
      </c>
      <c r="G216" s="55">
        <v>99.14</v>
      </c>
      <c r="H216" s="57">
        <v>125.29</v>
      </c>
      <c r="I216" s="81">
        <v>1002.32</v>
      </c>
    </row>
    <row r="217" spans="1:9" ht="24" customHeight="1" x14ac:dyDescent="0.2">
      <c r="A217" s="19" t="s">
        <v>353</v>
      </c>
      <c r="B217" s="117" t="s">
        <v>354</v>
      </c>
      <c r="C217" s="118"/>
      <c r="D217" s="118"/>
      <c r="E217" s="118"/>
      <c r="F217" s="118"/>
      <c r="G217" s="118"/>
      <c r="H217" s="119"/>
      <c r="I217" s="80">
        <f>I218+I253</f>
        <v>33502.640000000007</v>
      </c>
    </row>
    <row r="218" spans="1:9" ht="24" customHeight="1" x14ac:dyDescent="0.2">
      <c r="A218" s="19" t="s">
        <v>355</v>
      </c>
      <c r="B218" s="117" t="s">
        <v>356</v>
      </c>
      <c r="C218" s="118"/>
      <c r="D218" s="118"/>
      <c r="E218" s="118"/>
      <c r="F218" s="118"/>
      <c r="G218" s="118"/>
      <c r="H218" s="119"/>
      <c r="I218" s="80">
        <f>SUM(I219:I252)</f>
        <v>11423.200000000003</v>
      </c>
    </row>
    <row r="219" spans="1:9" ht="24" customHeight="1" x14ac:dyDescent="0.2">
      <c r="A219" s="26" t="s">
        <v>357</v>
      </c>
      <c r="B219" s="51" t="s">
        <v>358</v>
      </c>
      <c r="C219" s="51" t="s">
        <v>18</v>
      </c>
      <c r="D219" s="52" t="s">
        <v>682</v>
      </c>
      <c r="E219" s="53" t="s">
        <v>67</v>
      </c>
      <c r="F219" s="54">
        <v>1</v>
      </c>
      <c r="G219" s="55">
        <v>658.51</v>
      </c>
      <c r="H219" s="57">
        <v>832.22</v>
      </c>
      <c r="I219" s="81">
        <v>832.22</v>
      </c>
    </row>
    <row r="220" spans="1:9" ht="24" customHeight="1" x14ac:dyDescent="0.2">
      <c r="A220" s="26" t="s">
        <v>360</v>
      </c>
      <c r="B220" s="51" t="s">
        <v>331</v>
      </c>
      <c r="C220" s="51" t="s">
        <v>332</v>
      </c>
      <c r="D220" s="52" t="s">
        <v>333</v>
      </c>
      <c r="E220" s="53" t="s">
        <v>160</v>
      </c>
      <c r="F220" s="54">
        <v>3</v>
      </c>
      <c r="G220" s="55">
        <v>47.07</v>
      </c>
      <c r="H220" s="57">
        <v>59.48</v>
      </c>
      <c r="I220" s="81">
        <v>178.44</v>
      </c>
    </row>
    <row r="221" spans="1:9" ht="24" customHeight="1" x14ac:dyDescent="0.2">
      <c r="A221" s="26" t="s">
        <v>361</v>
      </c>
      <c r="B221" s="51" t="s">
        <v>362</v>
      </c>
      <c r="C221" s="51" t="s">
        <v>242</v>
      </c>
      <c r="D221" s="52" t="s">
        <v>363</v>
      </c>
      <c r="E221" s="53" t="s">
        <v>67</v>
      </c>
      <c r="F221" s="54">
        <v>1</v>
      </c>
      <c r="G221" s="55">
        <v>157.37</v>
      </c>
      <c r="H221" s="57">
        <v>198.88</v>
      </c>
      <c r="I221" s="81">
        <v>198.88</v>
      </c>
    </row>
    <row r="222" spans="1:9" ht="24" customHeight="1" x14ac:dyDescent="0.2">
      <c r="A222" s="26" t="s">
        <v>364</v>
      </c>
      <c r="B222" s="51" t="s">
        <v>365</v>
      </c>
      <c r="C222" s="51" t="s">
        <v>332</v>
      </c>
      <c r="D222" s="52" t="s">
        <v>366</v>
      </c>
      <c r="E222" s="53" t="s">
        <v>160</v>
      </c>
      <c r="F222" s="54">
        <v>1</v>
      </c>
      <c r="G222" s="55">
        <v>281.24</v>
      </c>
      <c r="H222" s="57">
        <v>355.43</v>
      </c>
      <c r="I222" s="81">
        <v>355.43</v>
      </c>
    </row>
    <row r="223" spans="1:9" ht="24" customHeight="1" x14ac:dyDescent="0.2">
      <c r="A223" s="26" t="s">
        <v>367</v>
      </c>
      <c r="B223" s="51" t="s">
        <v>368</v>
      </c>
      <c r="C223" s="51" t="s">
        <v>18</v>
      </c>
      <c r="D223" s="52" t="s">
        <v>683</v>
      </c>
      <c r="E223" s="53" t="s">
        <v>67</v>
      </c>
      <c r="F223" s="54">
        <v>1</v>
      </c>
      <c r="G223" s="55">
        <v>11.26</v>
      </c>
      <c r="H223" s="57">
        <v>14.23</v>
      </c>
      <c r="I223" s="81">
        <v>14.23</v>
      </c>
    </row>
    <row r="224" spans="1:9" ht="24" customHeight="1" x14ac:dyDescent="0.2">
      <c r="A224" s="26" t="s">
        <v>370</v>
      </c>
      <c r="B224" s="51" t="s">
        <v>371</v>
      </c>
      <c r="C224" s="51" t="s">
        <v>18</v>
      </c>
      <c r="D224" s="52" t="s">
        <v>684</v>
      </c>
      <c r="E224" s="53" t="s">
        <v>67</v>
      </c>
      <c r="F224" s="54">
        <v>2</v>
      </c>
      <c r="G224" s="55">
        <v>12.29</v>
      </c>
      <c r="H224" s="57">
        <v>15.53</v>
      </c>
      <c r="I224" s="81">
        <v>31.06</v>
      </c>
    </row>
    <row r="225" spans="1:9" ht="24" customHeight="1" x14ac:dyDescent="0.2">
      <c r="A225" s="26" t="s">
        <v>373</v>
      </c>
      <c r="B225" s="51" t="s">
        <v>374</v>
      </c>
      <c r="C225" s="51" t="s">
        <v>18</v>
      </c>
      <c r="D225" s="52" t="s">
        <v>685</v>
      </c>
      <c r="E225" s="53" t="s">
        <v>67</v>
      </c>
      <c r="F225" s="54">
        <v>1</v>
      </c>
      <c r="G225" s="55">
        <v>54.3</v>
      </c>
      <c r="H225" s="57">
        <v>68.62</v>
      </c>
      <c r="I225" s="81">
        <v>68.62</v>
      </c>
    </row>
    <row r="226" spans="1:9" ht="24" customHeight="1" x14ac:dyDescent="0.2">
      <c r="A226" s="26" t="s">
        <v>376</v>
      </c>
      <c r="B226" s="51" t="s">
        <v>377</v>
      </c>
      <c r="C226" s="51" t="s">
        <v>18</v>
      </c>
      <c r="D226" s="52" t="s">
        <v>686</v>
      </c>
      <c r="E226" s="53" t="s">
        <v>67</v>
      </c>
      <c r="F226" s="54">
        <v>4</v>
      </c>
      <c r="G226" s="55">
        <v>63.96</v>
      </c>
      <c r="H226" s="57">
        <v>80.83</v>
      </c>
      <c r="I226" s="81">
        <v>323.32</v>
      </c>
    </row>
    <row r="227" spans="1:9" ht="24" customHeight="1" x14ac:dyDescent="0.2">
      <c r="A227" s="26" t="s">
        <v>379</v>
      </c>
      <c r="B227" s="51" t="s">
        <v>380</v>
      </c>
      <c r="C227" s="51" t="s">
        <v>158</v>
      </c>
      <c r="D227" s="52" t="s">
        <v>381</v>
      </c>
      <c r="E227" s="53" t="s">
        <v>160</v>
      </c>
      <c r="F227" s="54">
        <v>18</v>
      </c>
      <c r="G227" s="55">
        <v>8.39</v>
      </c>
      <c r="H227" s="57">
        <v>10.6</v>
      </c>
      <c r="I227" s="81">
        <v>190.8</v>
      </c>
    </row>
    <row r="228" spans="1:9" ht="24" customHeight="1" x14ac:dyDescent="0.2">
      <c r="A228" s="26" t="s">
        <v>382</v>
      </c>
      <c r="B228" s="51" t="s">
        <v>383</v>
      </c>
      <c r="C228" s="51" t="s">
        <v>158</v>
      </c>
      <c r="D228" s="52" t="s">
        <v>384</v>
      </c>
      <c r="E228" s="53" t="s">
        <v>160</v>
      </c>
      <c r="F228" s="54">
        <v>8</v>
      </c>
      <c r="G228" s="55">
        <v>11.62</v>
      </c>
      <c r="H228" s="57">
        <v>14.68</v>
      </c>
      <c r="I228" s="81">
        <v>117.44</v>
      </c>
    </row>
    <row r="229" spans="1:9" ht="24" customHeight="1" x14ac:dyDescent="0.2">
      <c r="A229" s="26" t="s">
        <v>385</v>
      </c>
      <c r="B229" s="51" t="s">
        <v>386</v>
      </c>
      <c r="C229" s="51" t="s">
        <v>18</v>
      </c>
      <c r="D229" s="52" t="s">
        <v>387</v>
      </c>
      <c r="E229" s="53" t="s">
        <v>28</v>
      </c>
      <c r="F229" s="54">
        <v>10</v>
      </c>
      <c r="G229" s="55">
        <v>16.48</v>
      </c>
      <c r="H229" s="57">
        <v>20.82</v>
      </c>
      <c r="I229" s="81">
        <v>208.2</v>
      </c>
    </row>
    <row r="230" spans="1:9" ht="24" customHeight="1" x14ac:dyDescent="0.2">
      <c r="A230" s="26" t="s">
        <v>388</v>
      </c>
      <c r="B230" s="51" t="s">
        <v>389</v>
      </c>
      <c r="C230" s="51" t="s">
        <v>18</v>
      </c>
      <c r="D230" s="52" t="s">
        <v>390</v>
      </c>
      <c r="E230" s="53" t="s">
        <v>28</v>
      </c>
      <c r="F230" s="54">
        <v>25</v>
      </c>
      <c r="G230" s="55">
        <v>15.17</v>
      </c>
      <c r="H230" s="57">
        <v>19.170000000000002</v>
      </c>
      <c r="I230" s="81">
        <v>479.25</v>
      </c>
    </row>
    <row r="231" spans="1:9" ht="24" customHeight="1" x14ac:dyDescent="0.2">
      <c r="A231" s="26" t="s">
        <v>391</v>
      </c>
      <c r="B231" s="51" t="s">
        <v>392</v>
      </c>
      <c r="C231" s="51" t="s">
        <v>393</v>
      </c>
      <c r="D231" s="52" t="s">
        <v>394</v>
      </c>
      <c r="E231" s="53" t="s">
        <v>160</v>
      </c>
      <c r="F231" s="54">
        <v>5</v>
      </c>
      <c r="G231" s="55">
        <v>19.059999999999999</v>
      </c>
      <c r="H231" s="57">
        <v>24.08</v>
      </c>
      <c r="I231" s="81">
        <v>120.4</v>
      </c>
    </row>
    <row r="232" spans="1:9" ht="24" customHeight="1" x14ac:dyDescent="0.2">
      <c r="A232" s="26" t="s">
        <v>395</v>
      </c>
      <c r="B232" s="51" t="s">
        <v>396</v>
      </c>
      <c r="C232" s="51" t="s">
        <v>18</v>
      </c>
      <c r="D232" s="52" t="s">
        <v>397</v>
      </c>
      <c r="E232" s="53" t="s">
        <v>28</v>
      </c>
      <c r="F232" s="54">
        <v>100</v>
      </c>
      <c r="G232" s="55">
        <v>11.61</v>
      </c>
      <c r="H232" s="57">
        <v>14.67</v>
      </c>
      <c r="I232" s="81">
        <v>1467</v>
      </c>
    </row>
    <row r="233" spans="1:9" ht="24" customHeight="1" x14ac:dyDescent="0.2">
      <c r="A233" s="26" t="s">
        <v>398</v>
      </c>
      <c r="B233" s="51" t="s">
        <v>399</v>
      </c>
      <c r="C233" s="51" t="s">
        <v>18</v>
      </c>
      <c r="D233" s="52" t="s">
        <v>400</v>
      </c>
      <c r="E233" s="53" t="s">
        <v>67</v>
      </c>
      <c r="F233" s="54">
        <v>3</v>
      </c>
      <c r="G233" s="55">
        <v>50.64</v>
      </c>
      <c r="H233" s="57">
        <v>63.99</v>
      </c>
      <c r="I233" s="81">
        <v>191.97</v>
      </c>
    </row>
    <row r="234" spans="1:9" ht="24" customHeight="1" x14ac:dyDescent="0.2">
      <c r="A234" s="26" t="s">
        <v>401</v>
      </c>
      <c r="B234" s="51" t="s">
        <v>402</v>
      </c>
      <c r="C234" s="51" t="s">
        <v>18</v>
      </c>
      <c r="D234" s="52" t="s">
        <v>403</v>
      </c>
      <c r="E234" s="53" t="s">
        <v>67</v>
      </c>
      <c r="F234" s="54">
        <v>4</v>
      </c>
      <c r="G234" s="55">
        <v>41.65</v>
      </c>
      <c r="H234" s="57">
        <v>52.63</v>
      </c>
      <c r="I234" s="81">
        <v>210.52</v>
      </c>
    </row>
    <row r="235" spans="1:9" ht="24" customHeight="1" x14ac:dyDescent="0.2">
      <c r="A235" s="26" t="s">
        <v>404</v>
      </c>
      <c r="B235" s="51" t="s">
        <v>402</v>
      </c>
      <c r="C235" s="51" t="s">
        <v>18</v>
      </c>
      <c r="D235" s="52" t="s">
        <v>405</v>
      </c>
      <c r="E235" s="53" t="s">
        <v>67</v>
      </c>
      <c r="F235" s="54">
        <v>1</v>
      </c>
      <c r="G235" s="55">
        <v>41.65</v>
      </c>
      <c r="H235" s="57">
        <v>52.63</v>
      </c>
      <c r="I235" s="81">
        <v>52.63</v>
      </c>
    </row>
    <row r="236" spans="1:9" ht="24" customHeight="1" x14ac:dyDescent="0.2">
      <c r="A236" s="26" t="s">
        <v>406</v>
      </c>
      <c r="B236" s="51" t="s">
        <v>407</v>
      </c>
      <c r="C236" s="51" t="s">
        <v>18</v>
      </c>
      <c r="D236" s="52" t="s">
        <v>687</v>
      </c>
      <c r="E236" s="53" t="s">
        <v>67</v>
      </c>
      <c r="F236" s="54">
        <v>4</v>
      </c>
      <c r="G236" s="55">
        <v>96.31</v>
      </c>
      <c r="H236" s="57">
        <v>121.71</v>
      </c>
      <c r="I236" s="81">
        <v>486.84</v>
      </c>
    </row>
    <row r="237" spans="1:9" ht="24" customHeight="1" x14ac:dyDescent="0.2">
      <c r="A237" s="26" t="s">
        <v>409</v>
      </c>
      <c r="B237" s="51" t="s">
        <v>410</v>
      </c>
      <c r="C237" s="51" t="s">
        <v>18</v>
      </c>
      <c r="D237" s="52" t="s">
        <v>411</v>
      </c>
      <c r="E237" s="53" t="s">
        <v>67</v>
      </c>
      <c r="F237" s="54">
        <v>9</v>
      </c>
      <c r="G237" s="55">
        <v>44.74</v>
      </c>
      <c r="H237" s="57">
        <v>56.54</v>
      </c>
      <c r="I237" s="81">
        <v>508.86</v>
      </c>
    </row>
    <row r="238" spans="1:9" ht="24" customHeight="1" x14ac:dyDescent="0.2">
      <c r="A238" s="26" t="s">
        <v>412</v>
      </c>
      <c r="B238" s="51" t="s">
        <v>413</v>
      </c>
      <c r="C238" s="51" t="s">
        <v>18</v>
      </c>
      <c r="D238" s="52" t="s">
        <v>414</v>
      </c>
      <c r="E238" s="53" t="s">
        <v>28</v>
      </c>
      <c r="F238" s="54">
        <v>150</v>
      </c>
      <c r="G238" s="55">
        <v>9.91</v>
      </c>
      <c r="H238" s="57">
        <v>12.52</v>
      </c>
      <c r="I238" s="81">
        <v>1878</v>
      </c>
    </row>
    <row r="239" spans="1:9" ht="24" customHeight="1" x14ac:dyDescent="0.2">
      <c r="A239" s="26" t="s">
        <v>415</v>
      </c>
      <c r="B239" s="51" t="s">
        <v>416</v>
      </c>
      <c r="C239" s="51" t="s">
        <v>18</v>
      </c>
      <c r="D239" s="52" t="s">
        <v>417</v>
      </c>
      <c r="E239" s="53" t="s">
        <v>28</v>
      </c>
      <c r="F239" s="54">
        <v>150</v>
      </c>
      <c r="G239" s="55">
        <v>4.62</v>
      </c>
      <c r="H239" s="57">
        <v>5.83</v>
      </c>
      <c r="I239" s="81">
        <v>874.5</v>
      </c>
    </row>
    <row r="240" spans="1:9" ht="24" customHeight="1" x14ac:dyDescent="0.2">
      <c r="A240" s="26" t="s">
        <v>418</v>
      </c>
      <c r="B240" s="51" t="s">
        <v>419</v>
      </c>
      <c r="C240" s="51" t="s">
        <v>18</v>
      </c>
      <c r="D240" s="52" t="s">
        <v>420</v>
      </c>
      <c r="E240" s="53" t="s">
        <v>28</v>
      </c>
      <c r="F240" s="54">
        <v>40</v>
      </c>
      <c r="G240" s="55">
        <v>7.11</v>
      </c>
      <c r="H240" s="57">
        <v>8.98</v>
      </c>
      <c r="I240" s="81">
        <v>359.2</v>
      </c>
    </row>
    <row r="241" spans="1:9" ht="24" customHeight="1" x14ac:dyDescent="0.2">
      <c r="A241" s="26" t="s">
        <v>421</v>
      </c>
      <c r="B241" s="51" t="s">
        <v>422</v>
      </c>
      <c r="C241" s="51" t="s">
        <v>242</v>
      </c>
      <c r="D241" s="52" t="s">
        <v>423</v>
      </c>
      <c r="E241" s="53" t="s">
        <v>67</v>
      </c>
      <c r="F241" s="54">
        <v>4</v>
      </c>
      <c r="G241" s="55">
        <v>164.3</v>
      </c>
      <c r="H241" s="57">
        <v>207.64</v>
      </c>
      <c r="I241" s="81">
        <v>830.56</v>
      </c>
    </row>
    <row r="242" spans="1:9" ht="24" customHeight="1" x14ac:dyDescent="0.2">
      <c r="A242" s="26" t="s">
        <v>424</v>
      </c>
      <c r="B242" s="51" t="s">
        <v>425</v>
      </c>
      <c r="C242" s="51" t="s">
        <v>242</v>
      </c>
      <c r="D242" s="52" t="s">
        <v>426</v>
      </c>
      <c r="E242" s="53" t="s">
        <v>67</v>
      </c>
      <c r="F242" s="54">
        <v>1</v>
      </c>
      <c r="G242" s="55">
        <v>79.56</v>
      </c>
      <c r="H242" s="57">
        <v>100.54</v>
      </c>
      <c r="I242" s="81">
        <v>100.54</v>
      </c>
    </row>
    <row r="243" spans="1:9" ht="24" customHeight="1" x14ac:dyDescent="0.2">
      <c r="A243" s="26" t="s">
        <v>427</v>
      </c>
      <c r="B243" s="51" t="s">
        <v>428</v>
      </c>
      <c r="C243" s="51" t="s">
        <v>242</v>
      </c>
      <c r="D243" s="52" t="s">
        <v>429</v>
      </c>
      <c r="E243" s="53" t="s">
        <v>28</v>
      </c>
      <c r="F243" s="54">
        <v>6</v>
      </c>
      <c r="G243" s="55">
        <v>15.89</v>
      </c>
      <c r="H243" s="57">
        <v>20.079999999999998</v>
      </c>
      <c r="I243" s="81">
        <v>120.48</v>
      </c>
    </row>
    <row r="244" spans="1:9" ht="24" customHeight="1" x14ac:dyDescent="0.2">
      <c r="A244" s="26" t="s">
        <v>430</v>
      </c>
      <c r="B244" s="51" t="s">
        <v>431</v>
      </c>
      <c r="C244" s="51" t="s">
        <v>242</v>
      </c>
      <c r="D244" s="52" t="s">
        <v>432</v>
      </c>
      <c r="E244" s="53" t="s">
        <v>67</v>
      </c>
      <c r="F244" s="54">
        <v>1</v>
      </c>
      <c r="G244" s="55">
        <v>14.16</v>
      </c>
      <c r="H244" s="57">
        <v>17.89</v>
      </c>
      <c r="I244" s="81">
        <v>17.89</v>
      </c>
    </row>
    <row r="245" spans="1:9" ht="24" customHeight="1" x14ac:dyDescent="0.2">
      <c r="A245" s="26" t="s">
        <v>433</v>
      </c>
      <c r="B245" s="51" t="s">
        <v>434</v>
      </c>
      <c r="C245" s="51" t="s">
        <v>242</v>
      </c>
      <c r="D245" s="52" t="s">
        <v>435</v>
      </c>
      <c r="E245" s="53" t="s">
        <v>346</v>
      </c>
      <c r="F245" s="54">
        <v>3</v>
      </c>
      <c r="G245" s="55">
        <v>20.34</v>
      </c>
      <c r="H245" s="57">
        <v>25.7</v>
      </c>
      <c r="I245" s="81">
        <v>77.099999999999994</v>
      </c>
    </row>
    <row r="246" spans="1:9" ht="24" customHeight="1" x14ac:dyDescent="0.2">
      <c r="A246" s="26" t="s">
        <v>436</v>
      </c>
      <c r="B246" s="51" t="s">
        <v>348</v>
      </c>
      <c r="C246" s="51" t="s">
        <v>18</v>
      </c>
      <c r="D246" s="52" t="s">
        <v>437</v>
      </c>
      <c r="E246" s="53" t="s">
        <v>67</v>
      </c>
      <c r="F246" s="54">
        <v>3</v>
      </c>
      <c r="G246" s="55">
        <v>26.52</v>
      </c>
      <c r="H246" s="57">
        <v>33.51</v>
      </c>
      <c r="I246" s="81">
        <v>100.53</v>
      </c>
    </row>
    <row r="247" spans="1:9" ht="24" customHeight="1" x14ac:dyDescent="0.2">
      <c r="A247" s="26" t="s">
        <v>438</v>
      </c>
      <c r="B247" s="51" t="s">
        <v>439</v>
      </c>
      <c r="C247" s="51" t="s">
        <v>158</v>
      </c>
      <c r="D247" s="52" t="s">
        <v>440</v>
      </c>
      <c r="E247" s="53" t="s">
        <v>160</v>
      </c>
      <c r="F247" s="54">
        <v>1</v>
      </c>
      <c r="G247" s="55">
        <v>45.59</v>
      </c>
      <c r="H247" s="57">
        <v>57.61</v>
      </c>
      <c r="I247" s="81">
        <v>57.61</v>
      </c>
    </row>
    <row r="248" spans="1:9" ht="24" customHeight="1" x14ac:dyDescent="0.2">
      <c r="A248" s="26" t="s">
        <v>441</v>
      </c>
      <c r="B248" s="51" t="s">
        <v>442</v>
      </c>
      <c r="C248" s="51" t="s">
        <v>242</v>
      </c>
      <c r="D248" s="52" t="s">
        <v>443</v>
      </c>
      <c r="E248" s="53" t="s">
        <v>346</v>
      </c>
      <c r="F248" s="54">
        <v>2</v>
      </c>
      <c r="G248" s="55">
        <v>4.9000000000000004</v>
      </c>
      <c r="H248" s="57">
        <v>6.19</v>
      </c>
      <c r="I248" s="81">
        <v>12.38</v>
      </c>
    </row>
    <row r="249" spans="1:9" ht="24" customHeight="1" x14ac:dyDescent="0.2">
      <c r="A249" s="26" t="s">
        <v>444</v>
      </c>
      <c r="B249" s="51" t="s">
        <v>445</v>
      </c>
      <c r="C249" s="51" t="s">
        <v>242</v>
      </c>
      <c r="D249" s="52" t="s">
        <v>446</v>
      </c>
      <c r="E249" s="53" t="s">
        <v>346</v>
      </c>
      <c r="F249" s="54">
        <v>1</v>
      </c>
      <c r="G249" s="55">
        <v>5.82</v>
      </c>
      <c r="H249" s="57">
        <v>7.35</v>
      </c>
      <c r="I249" s="81">
        <v>7.35</v>
      </c>
    </row>
    <row r="250" spans="1:9" ht="24" customHeight="1" x14ac:dyDescent="0.2">
      <c r="A250" s="26" t="s">
        <v>447</v>
      </c>
      <c r="B250" s="51" t="s">
        <v>448</v>
      </c>
      <c r="C250" s="51" t="s">
        <v>18</v>
      </c>
      <c r="D250" s="52" t="s">
        <v>449</v>
      </c>
      <c r="E250" s="53" t="s">
        <v>28</v>
      </c>
      <c r="F250" s="54">
        <v>50</v>
      </c>
      <c r="G250" s="55">
        <v>9.27</v>
      </c>
      <c r="H250" s="57">
        <v>11.71</v>
      </c>
      <c r="I250" s="81">
        <v>585.5</v>
      </c>
    </row>
    <row r="251" spans="1:9" ht="24" customHeight="1" x14ac:dyDescent="0.2">
      <c r="A251" s="26" t="s">
        <v>450</v>
      </c>
      <c r="B251" s="51" t="s">
        <v>451</v>
      </c>
      <c r="C251" s="51" t="s">
        <v>18</v>
      </c>
      <c r="D251" s="52" t="s">
        <v>452</v>
      </c>
      <c r="E251" s="53" t="s">
        <v>28</v>
      </c>
      <c r="F251" s="54">
        <v>10</v>
      </c>
      <c r="G251" s="55">
        <v>9.5500000000000007</v>
      </c>
      <c r="H251" s="57">
        <v>12.06</v>
      </c>
      <c r="I251" s="81">
        <v>120.6</v>
      </c>
    </row>
    <row r="252" spans="1:9" ht="24" customHeight="1" x14ac:dyDescent="0.2">
      <c r="A252" s="26" t="s">
        <v>453</v>
      </c>
      <c r="B252" s="51" t="s">
        <v>454</v>
      </c>
      <c r="C252" s="51" t="s">
        <v>18</v>
      </c>
      <c r="D252" s="52" t="s">
        <v>455</v>
      </c>
      <c r="E252" s="53" t="s">
        <v>46</v>
      </c>
      <c r="F252" s="54">
        <v>0.3</v>
      </c>
      <c r="G252" s="55">
        <v>645.82000000000005</v>
      </c>
      <c r="H252" s="57">
        <v>816.18</v>
      </c>
      <c r="I252" s="81">
        <v>244.85</v>
      </c>
    </row>
    <row r="253" spans="1:9" ht="24" customHeight="1" x14ac:dyDescent="0.2">
      <c r="A253" s="19" t="s">
        <v>456</v>
      </c>
      <c r="B253" s="112" t="s">
        <v>457</v>
      </c>
      <c r="C253" s="113"/>
      <c r="D253" s="113"/>
      <c r="E253" s="113"/>
      <c r="F253" s="113"/>
      <c r="G253" s="113"/>
      <c r="H253" s="120"/>
      <c r="I253" s="80">
        <f>SUM(I254:I276)</f>
        <v>22079.440000000002</v>
      </c>
    </row>
    <row r="254" spans="1:9" ht="24" customHeight="1" x14ac:dyDescent="0.2">
      <c r="A254" s="26" t="s">
        <v>458</v>
      </c>
      <c r="B254" s="59" t="s">
        <v>459</v>
      </c>
      <c r="C254" s="60" t="s">
        <v>18</v>
      </c>
      <c r="D254" s="60" t="s">
        <v>688</v>
      </c>
      <c r="E254" s="61" t="s">
        <v>67</v>
      </c>
      <c r="F254" s="59">
        <v>11</v>
      </c>
      <c r="G254" s="62">
        <v>514.55999999999995</v>
      </c>
      <c r="H254" s="57">
        <f t="shared" ref="H254:H276" si="36">TRUNC(G254 * (1 + 26.38 / 100), 2)</f>
        <v>650.29999999999995</v>
      </c>
      <c r="I254" s="82">
        <f t="shared" ref="I254:I276" si="37">TRUNC(F254 * H254, 2)</f>
        <v>7153.3</v>
      </c>
    </row>
    <row r="255" spans="1:9" ht="24" customHeight="1" x14ac:dyDescent="0.2">
      <c r="A255" s="26" t="s">
        <v>461</v>
      </c>
      <c r="B255" s="59" t="s">
        <v>462</v>
      </c>
      <c r="C255" s="60" t="s">
        <v>332</v>
      </c>
      <c r="D255" s="60" t="s">
        <v>689</v>
      </c>
      <c r="E255" s="61" t="s">
        <v>160</v>
      </c>
      <c r="F255" s="59">
        <v>10</v>
      </c>
      <c r="G255" s="62">
        <v>137.47999999999999</v>
      </c>
      <c r="H255" s="57">
        <f t="shared" si="36"/>
        <v>173.74</v>
      </c>
      <c r="I255" s="82">
        <f t="shared" si="37"/>
        <v>1737.4</v>
      </c>
    </row>
    <row r="256" spans="1:9" ht="24" customHeight="1" x14ac:dyDescent="0.2">
      <c r="A256" s="26" t="s">
        <v>463</v>
      </c>
      <c r="B256" s="59" t="s">
        <v>464</v>
      </c>
      <c r="C256" s="60" t="s">
        <v>332</v>
      </c>
      <c r="D256" s="60" t="s">
        <v>632</v>
      </c>
      <c r="E256" s="61" t="s">
        <v>160</v>
      </c>
      <c r="F256" s="59">
        <v>1</v>
      </c>
      <c r="G256" s="62">
        <v>160.47</v>
      </c>
      <c r="H256" s="57">
        <f t="shared" si="36"/>
        <v>202.8</v>
      </c>
      <c r="I256" s="82">
        <f t="shared" si="37"/>
        <v>202.8</v>
      </c>
    </row>
    <row r="257" spans="1:9" ht="24" customHeight="1" x14ac:dyDescent="0.2">
      <c r="A257" s="26" t="s">
        <v>465</v>
      </c>
      <c r="B257" s="59" t="s">
        <v>466</v>
      </c>
      <c r="C257" s="60" t="s">
        <v>18</v>
      </c>
      <c r="D257" s="60" t="s">
        <v>690</v>
      </c>
      <c r="E257" s="61" t="s">
        <v>67</v>
      </c>
      <c r="F257" s="59">
        <v>11</v>
      </c>
      <c r="G257" s="62">
        <v>56.31</v>
      </c>
      <c r="H257" s="57">
        <f t="shared" si="36"/>
        <v>71.16</v>
      </c>
      <c r="I257" s="82">
        <f t="shared" si="37"/>
        <v>782.76</v>
      </c>
    </row>
    <row r="258" spans="1:9" ht="24" customHeight="1" x14ac:dyDescent="0.2">
      <c r="A258" s="26" t="s">
        <v>468</v>
      </c>
      <c r="B258" s="59" t="s">
        <v>368</v>
      </c>
      <c r="C258" s="60" t="s">
        <v>18</v>
      </c>
      <c r="D258" s="60" t="s">
        <v>369</v>
      </c>
      <c r="E258" s="61" t="s">
        <v>67</v>
      </c>
      <c r="F258" s="59">
        <v>11</v>
      </c>
      <c r="G258" s="62">
        <v>11.26</v>
      </c>
      <c r="H258" s="57">
        <f t="shared" si="36"/>
        <v>14.23</v>
      </c>
      <c r="I258" s="82">
        <f t="shared" si="37"/>
        <v>156.53</v>
      </c>
    </row>
    <row r="259" spans="1:9" ht="24" customHeight="1" x14ac:dyDescent="0.2">
      <c r="A259" s="26" t="s">
        <v>469</v>
      </c>
      <c r="B259" s="59" t="s">
        <v>470</v>
      </c>
      <c r="C259" s="60" t="s">
        <v>18</v>
      </c>
      <c r="D259" s="60" t="s">
        <v>691</v>
      </c>
      <c r="E259" s="61" t="s">
        <v>67</v>
      </c>
      <c r="F259" s="59">
        <v>11</v>
      </c>
      <c r="G259" s="62">
        <v>11.26</v>
      </c>
      <c r="H259" s="57">
        <f t="shared" si="36"/>
        <v>14.23</v>
      </c>
      <c r="I259" s="82">
        <f t="shared" si="37"/>
        <v>156.53</v>
      </c>
    </row>
    <row r="260" spans="1:9" ht="24" customHeight="1" x14ac:dyDescent="0.2">
      <c r="A260" s="26" t="s">
        <v>472</v>
      </c>
      <c r="B260" s="59" t="s">
        <v>473</v>
      </c>
      <c r="C260" s="60" t="s">
        <v>18</v>
      </c>
      <c r="D260" s="60" t="s">
        <v>692</v>
      </c>
      <c r="E260" s="61" t="s">
        <v>67</v>
      </c>
      <c r="F260" s="59">
        <v>1</v>
      </c>
      <c r="G260" s="62">
        <v>52.24</v>
      </c>
      <c r="H260" s="57">
        <f t="shared" si="36"/>
        <v>66.02</v>
      </c>
      <c r="I260" s="82">
        <f t="shared" si="37"/>
        <v>66.02</v>
      </c>
    </row>
    <row r="261" spans="1:9" ht="24" customHeight="1" x14ac:dyDescent="0.2">
      <c r="A261" s="26" t="s">
        <v>475</v>
      </c>
      <c r="B261" s="59" t="s">
        <v>476</v>
      </c>
      <c r="C261" s="60" t="s">
        <v>18</v>
      </c>
      <c r="D261" s="60" t="s">
        <v>693</v>
      </c>
      <c r="E261" s="61" t="s">
        <v>28</v>
      </c>
      <c r="F261" s="59">
        <v>156</v>
      </c>
      <c r="G261" s="62">
        <v>18.96</v>
      </c>
      <c r="H261" s="57">
        <f t="shared" si="36"/>
        <v>23.96</v>
      </c>
      <c r="I261" s="82">
        <f t="shared" si="37"/>
        <v>3737.76</v>
      </c>
    </row>
    <row r="262" spans="1:9" ht="24" customHeight="1" x14ac:dyDescent="0.2">
      <c r="A262" s="26" t="s">
        <v>478</v>
      </c>
      <c r="B262" s="59" t="s">
        <v>479</v>
      </c>
      <c r="C262" s="60" t="s">
        <v>18</v>
      </c>
      <c r="D262" s="60" t="s">
        <v>694</v>
      </c>
      <c r="E262" s="61" t="s">
        <v>28</v>
      </c>
      <c r="F262" s="59">
        <v>24</v>
      </c>
      <c r="G262" s="62">
        <v>21.96</v>
      </c>
      <c r="H262" s="57">
        <f t="shared" si="36"/>
        <v>27.75</v>
      </c>
      <c r="I262" s="82">
        <f t="shared" si="37"/>
        <v>666</v>
      </c>
    </row>
    <row r="263" spans="1:9" ht="24" customHeight="1" x14ac:dyDescent="0.2">
      <c r="A263" s="26" t="s">
        <v>481</v>
      </c>
      <c r="B263" s="59" t="s">
        <v>445</v>
      </c>
      <c r="C263" s="60" t="s">
        <v>242</v>
      </c>
      <c r="D263" s="60" t="s">
        <v>446</v>
      </c>
      <c r="E263" s="61" t="s">
        <v>346</v>
      </c>
      <c r="F263" s="59">
        <v>11</v>
      </c>
      <c r="G263" s="62">
        <v>5.82</v>
      </c>
      <c r="H263" s="57">
        <f t="shared" si="36"/>
        <v>7.35</v>
      </c>
      <c r="I263" s="82">
        <f t="shared" si="37"/>
        <v>80.849999999999994</v>
      </c>
    </row>
    <row r="264" spans="1:9" ht="24" customHeight="1" x14ac:dyDescent="0.2">
      <c r="A264" s="26" t="s">
        <v>482</v>
      </c>
      <c r="B264" s="59" t="s">
        <v>442</v>
      </c>
      <c r="C264" s="60" t="s">
        <v>242</v>
      </c>
      <c r="D264" s="60" t="s">
        <v>443</v>
      </c>
      <c r="E264" s="61" t="s">
        <v>346</v>
      </c>
      <c r="F264" s="59">
        <v>22</v>
      </c>
      <c r="G264" s="62">
        <v>4.9000000000000004</v>
      </c>
      <c r="H264" s="57">
        <f t="shared" si="36"/>
        <v>6.19</v>
      </c>
      <c r="I264" s="82">
        <f t="shared" si="37"/>
        <v>136.18</v>
      </c>
    </row>
    <row r="265" spans="1:9" ht="24" customHeight="1" x14ac:dyDescent="0.2">
      <c r="A265" s="26" t="s">
        <v>483</v>
      </c>
      <c r="B265" s="59" t="s">
        <v>484</v>
      </c>
      <c r="C265" s="60" t="s">
        <v>242</v>
      </c>
      <c r="D265" s="60" t="s">
        <v>485</v>
      </c>
      <c r="E265" s="61" t="s">
        <v>67</v>
      </c>
      <c r="F265" s="59">
        <v>11</v>
      </c>
      <c r="G265" s="62">
        <v>43.71</v>
      </c>
      <c r="H265" s="57">
        <f t="shared" si="36"/>
        <v>55.24</v>
      </c>
      <c r="I265" s="82">
        <f t="shared" si="37"/>
        <v>607.64</v>
      </c>
    </row>
    <row r="266" spans="1:9" ht="24" customHeight="1" x14ac:dyDescent="0.2">
      <c r="A266" s="26" t="s">
        <v>486</v>
      </c>
      <c r="B266" s="59" t="s">
        <v>487</v>
      </c>
      <c r="C266" s="60" t="s">
        <v>158</v>
      </c>
      <c r="D266" s="60" t="s">
        <v>488</v>
      </c>
      <c r="E266" s="61" t="s">
        <v>160</v>
      </c>
      <c r="F266" s="59">
        <v>11</v>
      </c>
      <c r="G266" s="62">
        <v>27.77</v>
      </c>
      <c r="H266" s="57">
        <f t="shared" si="36"/>
        <v>35.090000000000003</v>
      </c>
      <c r="I266" s="82">
        <f t="shared" si="37"/>
        <v>385.99</v>
      </c>
    </row>
    <row r="267" spans="1:9" ht="24" customHeight="1" x14ac:dyDescent="0.2">
      <c r="A267" s="26" t="s">
        <v>489</v>
      </c>
      <c r="B267" s="59" t="s">
        <v>487</v>
      </c>
      <c r="C267" s="60" t="s">
        <v>158</v>
      </c>
      <c r="D267" s="60" t="s">
        <v>695</v>
      </c>
      <c r="E267" s="61" t="s">
        <v>160</v>
      </c>
      <c r="F267" s="59">
        <v>1</v>
      </c>
      <c r="G267" s="62">
        <v>27.77</v>
      </c>
      <c r="H267" s="57">
        <f t="shared" si="36"/>
        <v>35.090000000000003</v>
      </c>
      <c r="I267" s="82">
        <f t="shared" si="37"/>
        <v>35.090000000000003</v>
      </c>
    </row>
    <row r="268" spans="1:9" ht="24" customHeight="1" x14ac:dyDescent="0.2">
      <c r="A268" s="26" t="s">
        <v>491</v>
      </c>
      <c r="B268" s="59" t="s">
        <v>492</v>
      </c>
      <c r="C268" s="60" t="s">
        <v>158</v>
      </c>
      <c r="D268" s="60" t="s">
        <v>616</v>
      </c>
      <c r="E268" s="61" t="s">
        <v>160</v>
      </c>
      <c r="F268" s="59">
        <v>1</v>
      </c>
      <c r="G268" s="62">
        <v>128.28</v>
      </c>
      <c r="H268" s="57">
        <f t="shared" si="36"/>
        <v>162.12</v>
      </c>
      <c r="I268" s="82">
        <f t="shared" si="37"/>
        <v>162.12</v>
      </c>
    </row>
    <row r="269" spans="1:9" ht="24" customHeight="1" x14ac:dyDescent="0.2">
      <c r="A269" s="26" t="s">
        <v>493</v>
      </c>
      <c r="B269" s="59" t="s">
        <v>494</v>
      </c>
      <c r="C269" s="60" t="s">
        <v>158</v>
      </c>
      <c r="D269" s="60" t="s">
        <v>495</v>
      </c>
      <c r="E269" s="61" t="s">
        <v>160</v>
      </c>
      <c r="F269" s="59">
        <v>2</v>
      </c>
      <c r="G269" s="62">
        <v>16.48</v>
      </c>
      <c r="H269" s="57">
        <f t="shared" si="36"/>
        <v>20.82</v>
      </c>
      <c r="I269" s="82">
        <f t="shared" si="37"/>
        <v>41.64</v>
      </c>
    </row>
    <row r="270" spans="1:9" ht="24" customHeight="1" x14ac:dyDescent="0.2">
      <c r="A270" s="26" t="s">
        <v>496</v>
      </c>
      <c r="B270" s="59" t="s">
        <v>497</v>
      </c>
      <c r="C270" s="60" t="s">
        <v>18</v>
      </c>
      <c r="D270" s="60" t="s">
        <v>498</v>
      </c>
      <c r="E270" s="61" t="s">
        <v>67</v>
      </c>
      <c r="F270" s="59">
        <v>20</v>
      </c>
      <c r="G270" s="62">
        <v>30.73</v>
      </c>
      <c r="H270" s="57">
        <f t="shared" si="36"/>
        <v>38.83</v>
      </c>
      <c r="I270" s="82">
        <f t="shared" si="37"/>
        <v>776.6</v>
      </c>
    </row>
    <row r="271" spans="1:9" ht="24" customHeight="1" x14ac:dyDescent="0.2">
      <c r="A271" s="26" t="s">
        <v>499</v>
      </c>
      <c r="B271" s="59" t="s">
        <v>500</v>
      </c>
      <c r="C271" s="60" t="s">
        <v>18</v>
      </c>
      <c r="D271" s="60" t="s">
        <v>696</v>
      </c>
      <c r="E271" s="61" t="s">
        <v>67</v>
      </c>
      <c r="F271" s="59">
        <v>20</v>
      </c>
      <c r="G271" s="62">
        <v>15.67</v>
      </c>
      <c r="H271" s="57">
        <f t="shared" si="36"/>
        <v>19.8</v>
      </c>
      <c r="I271" s="82">
        <f t="shared" si="37"/>
        <v>396</v>
      </c>
    </row>
    <row r="272" spans="1:9" ht="24" customHeight="1" x14ac:dyDescent="0.2">
      <c r="A272" s="26" t="s">
        <v>502</v>
      </c>
      <c r="B272" s="59" t="s">
        <v>503</v>
      </c>
      <c r="C272" s="60" t="s">
        <v>18</v>
      </c>
      <c r="D272" s="60" t="s">
        <v>697</v>
      </c>
      <c r="E272" s="61" t="s">
        <v>67</v>
      </c>
      <c r="F272" s="59">
        <v>21</v>
      </c>
      <c r="G272" s="62">
        <v>24.61</v>
      </c>
      <c r="H272" s="57">
        <f t="shared" si="36"/>
        <v>31.1</v>
      </c>
      <c r="I272" s="82">
        <f t="shared" si="37"/>
        <v>653.1</v>
      </c>
    </row>
    <row r="273" spans="1:9" ht="24" customHeight="1" x14ac:dyDescent="0.2">
      <c r="A273" s="26" t="s">
        <v>504</v>
      </c>
      <c r="B273" s="59" t="s">
        <v>416</v>
      </c>
      <c r="C273" s="60" t="s">
        <v>18</v>
      </c>
      <c r="D273" s="60" t="s">
        <v>417</v>
      </c>
      <c r="E273" s="61" t="s">
        <v>28</v>
      </c>
      <c r="F273" s="59">
        <v>450</v>
      </c>
      <c r="G273" s="62">
        <v>4.62</v>
      </c>
      <c r="H273" s="57">
        <f t="shared" si="36"/>
        <v>5.83</v>
      </c>
      <c r="I273" s="82">
        <f t="shared" si="37"/>
        <v>2623.5</v>
      </c>
    </row>
    <row r="274" spans="1:9" ht="24" customHeight="1" x14ac:dyDescent="0.2">
      <c r="A274" s="26" t="s">
        <v>505</v>
      </c>
      <c r="B274" s="59" t="s">
        <v>506</v>
      </c>
      <c r="C274" s="60" t="s">
        <v>18</v>
      </c>
      <c r="D274" s="60" t="s">
        <v>507</v>
      </c>
      <c r="E274" s="61" t="s">
        <v>67</v>
      </c>
      <c r="F274" s="59">
        <v>11</v>
      </c>
      <c r="G274" s="62">
        <v>21.5</v>
      </c>
      <c r="H274" s="57">
        <f t="shared" si="36"/>
        <v>27.17</v>
      </c>
      <c r="I274" s="82">
        <f t="shared" si="37"/>
        <v>298.87</v>
      </c>
    </row>
    <row r="275" spans="1:9" ht="24" customHeight="1" x14ac:dyDescent="0.2">
      <c r="A275" s="26" t="s">
        <v>508</v>
      </c>
      <c r="B275" s="59" t="s">
        <v>509</v>
      </c>
      <c r="C275" s="60" t="s">
        <v>18</v>
      </c>
      <c r="D275" s="60" t="s">
        <v>510</v>
      </c>
      <c r="E275" s="61" t="s">
        <v>67</v>
      </c>
      <c r="F275" s="59">
        <v>11</v>
      </c>
      <c r="G275" s="62">
        <v>11.38</v>
      </c>
      <c r="H275" s="57">
        <f t="shared" si="36"/>
        <v>14.38</v>
      </c>
      <c r="I275" s="82">
        <f t="shared" si="37"/>
        <v>158.18</v>
      </c>
    </row>
    <row r="276" spans="1:9" ht="24" customHeight="1" x14ac:dyDescent="0.2">
      <c r="A276" s="26" t="s">
        <v>511</v>
      </c>
      <c r="B276" s="59" t="s">
        <v>512</v>
      </c>
      <c r="C276" s="60" t="s">
        <v>18</v>
      </c>
      <c r="D276" s="60" t="s">
        <v>698</v>
      </c>
      <c r="E276" s="61" t="s">
        <v>67</v>
      </c>
      <c r="F276" s="59">
        <v>33</v>
      </c>
      <c r="G276" s="62">
        <v>25.53</v>
      </c>
      <c r="H276" s="57">
        <f t="shared" si="36"/>
        <v>32.26</v>
      </c>
      <c r="I276" s="82">
        <f t="shared" si="37"/>
        <v>1064.58</v>
      </c>
    </row>
    <row r="277" spans="1:9" ht="24" customHeight="1" x14ac:dyDescent="0.2">
      <c r="A277" s="50" t="s">
        <v>513</v>
      </c>
      <c r="B277" s="114" t="s">
        <v>514</v>
      </c>
      <c r="C277" s="115"/>
      <c r="D277" s="115"/>
      <c r="E277" s="115"/>
      <c r="F277" s="115"/>
      <c r="G277" s="115"/>
      <c r="H277" s="116"/>
      <c r="I277" s="83">
        <f>I278+I302</f>
        <v>82640.22</v>
      </c>
    </row>
    <row r="278" spans="1:9" ht="24" customHeight="1" x14ac:dyDescent="0.2">
      <c r="A278" s="19" t="s">
        <v>515</v>
      </c>
      <c r="B278" s="117" t="s">
        <v>516</v>
      </c>
      <c r="C278" s="118"/>
      <c r="D278" s="118"/>
      <c r="E278" s="118"/>
      <c r="F278" s="118"/>
      <c r="G278" s="118"/>
      <c r="H278" s="119"/>
      <c r="I278" s="80">
        <f>SUM(I279:I301)</f>
        <v>30343.259999999995</v>
      </c>
    </row>
    <row r="279" spans="1:9" ht="24" customHeight="1" x14ac:dyDescent="0.2">
      <c r="A279" s="26" t="s">
        <v>517</v>
      </c>
      <c r="B279" s="63" t="s">
        <v>287</v>
      </c>
      <c r="C279" s="64" t="s">
        <v>263</v>
      </c>
      <c r="D279" s="64" t="s">
        <v>518</v>
      </c>
      <c r="E279" s="65" t="s">
        <v>67</v>
      </c>
      <c r="F279" s="63">
        <v>1</v>
      </c>
      <c r="G279" s="66">
        <v>2355.86</v>
      </c>
      <c r="H279" s="57">
        <f t="shared" ref="H279:H301" si="38">TRUNC(G279 * (1 + 26.38 / 100), 2)</f>
        <v>2977.33</v>
      </c>
      <c r="I279" s="84">
        <f t="shared" ref="I279:I301" si="39">TRUNC(F279 * H279, 2)</f>
        <v>2977.33</v>
      </c>
    </row>
    <row r="280" spans="1:9" ht="24" customHeight="1" x14ac:dyDescent="0.2">
      <c r="A280" s="26" t="s">
        <v>519</v>
      </c>
      <c r="B280" s="63" t="s">
        <v>520</v>
      </c>
      <c r="C280" s="64" t="s">
        <v>263</v>
      </c>
      <c r="D280" s="64" t="s">
        <v>521</v>
      </c>
      <c r="E280" s="65" t="s">
        <v>160</v>
      </c>
      <c r="F280" s="63">
        <v>3</v>
      </c>
      <c r="G280" s="66">
        <v>1509.4</v>
      </c>
      <c r="H280" s="57">
        <f t="shared" si="38"/>
        <v>1907.57</v>
      </c>
      <c r="I280" s="84">
        <f t="shared" si="39"/>
        <v>5722.71</v>
      </c>
    </row>
    <row r="281" spans="1:9" ht="24" customHeight="1" x14ac:dyDescent="0.2">
      <c r="A281" s="26" t="s">
        <v>522</v>
      </c>
      <c r="B281" s="63" t="s">
        <v>290</v>
      </c>
      <c r="C281" s="64" t="s">
        <v>263</v>
      </c>
      <c r="D281" s="64" t="s">
        <v>291</v>
      </c>
      <c r="E281" s="65" t="s">
        <v>160</v>
      </c>
      <c r="F281" s="63">
        <v>4</v>
      </c>
      <c r="G281" s="66">
        <v>1366.12</v>
      </c>
      <c r="H281" s="57">
        <f t="shared" si="38"/>
        <v>1726.5</v>
      </c>
      <c r="I281" s="84">
        <f t="shared" si="39"/>
        <v>6906</v>
      </c>
    </row>
    <row r="282" spans="1:9" ht="24" customHeight="1" x14ac:dyDescent="0.2">
      <c r="A282" s="26" t="s">
        <v>523</v>
      </c>
      <c r="B282" s="63" t="s">
        <v>293</v>
      </c>
      <c r="C282" s="64" t="s">
        <v>18</v>
      </c>
      <c r="D282" s="64" t="s">
        <v>294</v>
      </c>
      <c r="E282" s="65" t="s">
        <v>67</v>
      </c>
      <c r="F282" s="63">
        <v>10</v>
      </c>
      <c r="G282" s="66">
        <v>42.38</v>
      </c>
      <c r="H282" s="57">
        <f t="shared" si="38"/>
        <v>53.55</v>
      </c>
      <c r="I282" s="84">
        <f t="shared" si="39"/>
        <v>535.5</v>
      </c>
    </row>
    <row r="283" spans="1:9" ht="24" customHeight="1" x14ac:dyDescent="0.2">
      <c r="A283" s="26" t="s">
        <v>524</v>
      </c>
      <c r="B283" s="63" t="s">
        <v>525</v>
      </c>
      <c r="C283" s="64" t="s">
        <v>263</v>
      </c>
      <c r="D283" s="64" t="s">
        <v>526</v>
      </c>
      <c r="E283" s="65" t="s">
        <v>298</v>
      </c>
      <c r="F283" s="63">
        <v>40</v>
      </c>
      <c r="G283" s="66">
        <v>53.75</v>
      </c>
      <c r="H283" s="57">
        <f t="shared" si="38"/>
        <v>67.92</v>
      </c>
      <c r="I283" s="84">
        <f t="shared" si="39"/>
        <v>2716.8</v>
      </c>
    </row>
    <row r="284" spans="1:9" ht="24" customHeight="1" x14ac:dyDescent="0.2">
      <c r="A284" s="26" t="s">
        <v>527</v>
      </c>
      <c r="B284" s="63" t="s">
        <v>300</v>
      </c>
      <c r="C284" s="64" t="s">
        <v>263</v>
      </c>
      <c r="D284" s="64" t="s">
        <v>301</v>
      </c>
      <c r="E284" s="65" t="s">
        <v>298</v>
      </c>
      <c r="F284" s="63">
        <v>15</v>
      </c>
      <c r="G284" s="66">
        <v>32.340000000000003</v>
      </c>
      <c r="H284" s="57">
        <f t="shared" si="38"/>
        <v>40.869999999999997</v>
      </c>
      <c r="I284" s="84">
        <f t="shared" si="39"/>
        <v>613.04999999999995</v>
      </c>
    </row>
    <row r="285" spans="1:9" ht="24" customHeight="1" x14ac:dyDescent="0.2">
      <c r="A285" s="26" t="s">
        <v>528</v>
      </c>
      <c r="B285" s="63" t="s">
        <v>303</v>
      </c>
      <c r="C285" s="64" t="s">
        <v>158</v>
      </c>
      <c r="D285" s="64" t="s">
        <v>304</v>
      </c>
      <c r="E285" s="65" t="s">
        <v>298</v>
      </c>
      <c r="F285" s="63">
        <v>70</v>
      </c>
      <c r="G285" s="66">
        <v>10.66</v>
      </c>
      <c r="H285" s="57">
        <f t="shared" si="38"/>
        <v>13.47</v>
      </c>
      <c r="I285" s="84">
        <f t="shared" si="39"/>
        <v>942.9</v>
      </c>
    </row>
    <row r="286" spans="1:9" ht="24" customHeight="1" x14ac:dyDescent="0.2">
      <c r="A286" s="26" t="s">
        <v>529</v>
      </c>
      <c r="B286" s="63" t="s">
        <v>530</v>
      </c>
      <c r="C286" s="64" t="s">
        <v>531</v>
      </c>
      <c r="D286" s="64" t="s">
        <v>699</v>
      </c>
      <c r="E286" s="65" t="s">
        <v>298</v>
      </c>
      <c r="F286" s="63">
        <v>15</v>
      </c>
      <c r="G286" s="66">
        <v>11.85</v>
      </c>
      <c r="H286" s="57">
        <f t="shared" si="38"/>
        <v>14.97</v>
      </c>
      <c r="I286" s="84">
        <f t="shared" si="39"/>
        <v>224.55</v>
      </c>
    </row>
    <row r="287" spans="1:9" ht="24" customHeight="1" x14ac:dyDescent="0.2">
      <c r="A287" s="26" t="s">
        <v>532</v>
      </c>
      <c r="B287" s="63" t="s">
        <v>306</v>
      </c>
      <c r="C287" s="64" t="s">
        <v>158</v>
      </c>
      <c r="D287" s="64" t="s">
        <v>533</v>
      </c>
      <c r="E287" s="65" t="s">
        <v>298</v>
      </c>
      <c r="F287" s="63">
        <v>80</v>
      </c>
      <c r="G287" s="66">
        <v>8.11</v>
      </c>
      <c r="H287" s="57">
        <f t="shared" si="38"/>
        <v>10.24</v>
      </c>
      <c r="I287" s="84">
        <f t="shared" si="39"/>
        <v>819.2</v>
      </c>
    </row>
    <row r="288" spans="1:9" ht="24" customHeight="1" x14ac:dyDescent="0.2">
      <c r="A288" s="26" t="s">
        <v>534</v>
      </c>
      <c r="B288" s="63" t="s">
        <v>310</v>
      </c>
      <c r="C288" s="64" t="s">
        <v>158</v>
      </c>
      <c r="D288" s="64" t="s">
        <v>311</v>
      </c>
      <c r="E288" s="65" t="s">
        <v>160</v>
      </c>
      <c r="F288" s="63">
        <v>8</v>
      </c>
      <c r="G288" s="66">
        <v>50.42</v>
      </c>
      <c r="H288" s="57">
        <f t="shared" si="38"/>
        <v>63.72</v>
      </c>
      <c r="I288" s="84">
        <f t="shared" si="39"/>
        <v>509.76</v>
      </c>
    </row>
    <row r="289" spans="1:9" ht="24" customHeight="1" x14ac:dyDescent="0.2">
      <c r="A289" s="26" t="s">
        <v>535</v>
      </c>
      <c r="B289" s="63" t="s">
        <v>313</v>
      </c>
      <c r="C289" s="64" t="s">
        <v>18</v>
      </c>
      <c r="D289" s="64" t="s">
        <v>314</v>
      </c>
      <c r="E289" s="65" t="s">
        <v>67</v>
      </c>
      <c r="F289" s="63">
        <v>8</v>
      </c>
      <c r="G289" s="66">
        <v>31.18</v>
      </c>
      <c r="H289" s="57">
        <f t="shared" si="38"/>
        <v>39.4</v>
      </c>
      <c r="I289" s="84">
        <f t="shared" si="39"/>
        <v>315.2</v>
      </c>
    </row>
    <row r="290" spans="1:9" ht="24" customHeight="1" x14ac:dyDescent="0.2">
      <c r="A290" s="26" t="s">
        <v>536</v>
      </c>
      <c r="B290" s="63" t="s">
        <v>316</v>
      </c>
      <c r="C290" s="64" t="s">
        <v>158</v>
      </c>
      <c r="D290" s="64" t="s">
        <v>317</v>
      </c>
      <c r="E290" s="65" t="s">
        <v>298</v>
      </c>
      <c r="F290" s="63">
        <v>16</v>
      </c>
      <c r="G290" s="66">
        <v>8.5</v>
      </c>
      <c r="H290" s="57">
        <f t="shared" si="38"/>
        <v>10.74</v>
      </c>
      <c r="I290" s="84">
        <f t="shared" si="39"/>
        <v>171.84</v>
      </c>
    </row>
    <row r="291" spans="1:9" ht="24" customHeight="1" x14ac:dyDescent="0.2">
      <c r="A291" s="26" t="s">
        <v>537</v>
      </c>
      <c r="B291" s="63" t="s">
        <v>319</v>
      </c>
      <c r="C291" s="64" t="s">
        <v>263</v>
      </c>
      <c r="D291" s="64" t="s">
        <v>320</v>
      </c>
      <c r="E291" s="65" t="s">
        <v>67</v>
      </c>
      <c r="F291" s="63">
        <v>61</v>
      </c>
      <c r="G291" s="66">
        <v>35.26</v>
      </c>
      <c r="H291" s="57">
        <f t="shared" si="38"/>
        <v>44.56</v>
      </c>
      <c r="I291" s="84">
        <f t="shared" si="39"/>
        <v>2718.16</v>
      </c>
    </row>
    <row r="292" spans="1:9" ht="24" customHeight="1" x14ac:dyDescent="0.2">
      <c r="A292" s="26" t="s">
        <v>538</v>
      </c>
      <c r="B292" s="63" t="s">
        <v>322</v>
      </c>
      <c r="C292" s="64" t="s">
        <v>242</v>
      </c>
      <c r="D292" s="64" t="s">
        <v>323</v>
      </c>
      <c r="E292" s="65" t="s">
        <v>67</v>
      </c>
      <c r="F292" s="63">
        <v>4</v>
      </c>
      <c r="G292" s="66">
        <v>25.89</v>
      </c>
      <c r="H292" s="57">
        <f t="shared" si="38"/>
        <v>32.71</v>
      </c>
      <c r="I292" s="84">
        <f t="shared" si="39"/>
        <v>130.84</v>
      </c>
    </row>
    <row r="293" spans="1:9" ht="24" customHeight="1" x14ac:dyDescent="0.2">
      <c r="A293" s="26" t="s">
        <v>539</v>
      </c>
      <c r="B293" s="63" t="s">
        <v>325</v>
      </c>
      <c r="C293" s="64" t="s">
        <v>242</v>
      </c>
      <c r="D293" s="64" t="s">
        <v>326</v>
      </c>
      <c r="E293" s="65" t="s">
        <v>67</v>
      </c>
      <c r="F293" s="63">
        <v>4</v>
      </c>
      <c r="G293" s="66">
        <v>22.66</v>
      </c>
      <c r="H293" s="57">
        <f t="shared" si="38"/>
        <v>28.63</v>
      </c>
      <c r="I293" s="84">
        <f t="shared" si="39"/>
        <v>114.52</v>
      </c>
    </row>
    <row r="294" spans="1:9" ht="24" customHeight="1" x14ac:dyDescent="0.2">
      <c r="A294" s="26" t="s">
        <v>540</v>
      </c>
      <c r="B294" s="63" t="s">
        <v>328</v>
      </c>
      <c r="C294" s="64" t="s">
        <v>242</v>
      </c>
      <c r="D294" s="64" t="s">
        <v>329</v>
      </c>
      <c r="E294" s="65" t="s">
        <v>67</v>
      </c>
      <c r="F294" s="63">
        <v>37</v>
      </c>
      <c r="G294" s="66">
        <v>18.86</v>
      </c>
      <c r="H294" s="57">
        <f t="shared" si="38"/>
        <v>23.83</v>
      </c>
      <c r="I294" s="84">
        <f t="shared" si="39"/>
        <v>881.71</v>
      </c>
    </row>
    <row r="295" spans="1:9" ht="24" customHeight="1" x14ac:dyDescent="0.2">
      <c r="A295" s="26" t="s">
        <v>541</v>
      </c>
      <c r="B295" s="63" t="s">
        <v>331</v>
      </c>
      <c r="C295" s="64" t="s">
        <v>332</v>
      </c>
      <c r="D295" s="64" t="s">
        <v>333</v>
      </c>
      <c r="E295" s="65" t="s">
        <v>160</v>
      </c>
      <c r="F295" s="63">
        <v>4</v>
      </c>
      <c r="G295" s="66">
        <v>47.07</v>
      </c>
      <c r="H295" s="57">
        <f t="shared" si="38"/>
        <v>59.48</v>
      </c>
      <c r="I295" s="84">
        <f t="shared" si="39"/>
        <v>237.92</v>
      </c>
    </row>
    <row r="296" spans="1:9" ht="24" customHeight="1" x14ac:dyDescent="0.2">
      <c r="A296" s="26" t="s">
        <v>542</v>
      </c>
      <c r="B296" s="63" t="s">
        <v>335</v>
      </c>
      <c r="C296" s="64" t="s">
        <v>242</v>
      </c>
      <c r="D296" s="64" t="s">
        <v>336</v>
      </c>
      <c r="E296" s="65" t="s">
        <v>28</v>
      </c>
      <c r="F296" s="63">
        <v>12</v>
      </c>
      <c r="G296" s="66">
        <v>30.51</v>
      </c>
      <c r="H296" s="57">
        <f t="shared" si="38"/>
        <v>38.549999999999997</v>
      </c>
      <c r="I296" s="84">
        <f t="shared" si="39"/>
        <v>462.6</v>
      </c>
    </row>
    <row r="297" spans="1:9" ht="24" customHeight="1" x14ac:dyDescent="0.2">
      <c r="A297" s="26" t="s">
        <v>543</v>
      </c>
      <c r="B297" s="63" t="s">
        <v>338</v>
      </c>
      <c r="C297" s="64" t="s">
        <v>242</v>
      </c>
      <c r="D297" s="64" t="s">
        <v>339</v>
      </c>
      <c r="E297" s="65" t="s">
        <v>67</v>
      </c>
      <c r="F297" s="63">
        <v>4</v>
      </c>
      <c r="G297" s="66">
        <v>70.38</v>
      </c>
      <c r="H297" s="57">
        <f t="shared" si="38"/>
        <v>88.94</v>
      </c>
      <c r="I297" s="84">
        <f t="shared" si="39"/>
        <v>355.76</v>
      </c>
    </row>
    <row r="298" spans="1:9" ht="24" customHeight="1" x14ac:dyDescent="0.2">
      <c r="A298" s="26" t="s">
        <v>544</v>
      </c>
      <c r="B298" s="63" t="s">
        <v>341</v>
      </c>
      <c r="C298" s="64" t="s">
        <v>242</v>
      </c>
      <c r="D298" s="64" t="s">
        <v>342</v>
      </c>
      <c r="E298" s="65" t="s">
        <v>67</v>
      </c>
      <c r="F298" s="63">
        <v>4</v>
      </c>
      <c r="G298" s="66">
        <v>312.98</v>
      </c>
      <c r="H298" s="57">
        <f t="shared" si="38"/>
        <v>395.54</v>
      </c>
      <c r="I298" s="84">
        <f t="shared" si="39"/>
        <v>1582.16</v>
      </c>
    </row>
    <row r="299" spans="1:9" ht="24" customHeight="1" x14ac:dyDescent="0.2">
      <c r="A299" s="26" t="s">
        <v>545</v>
      </c>
      <c r="B299" s="63" t="s">
        <v>344</v>
      </c>
      <c r="C299" s="64" t="s">
        <v>242</v>
      </c>
      <c r="D299" s="64" t="s">
        <v>345</v>
      </c>
      <c r="E299" s="65" t="s">
        <v>346</v>
      </c>
      <c r="F299" s="63">
        <v>1</v>
      </c>
      <c r="G299" s="66">
        <v>27.79</v>
      </c>
      <c r="H299" s="57">
        <f t="shared" si="38"/>
        <v>35.119999999999997</v>
      </c>
      <c r="I299" s="84">
        <f t="shared" si="39"/>
        <v>35.119999999999997</v>
      </c>
    </row>
    <row r="300" spans="1:9" ht="24" customHeight="1" x14ac:dyDescent="0.2">
      <c r="A300" s="26" t="s">
        <v>546</v>
      </c>
      <c r="B300" s="63" t="s">
        <v>547</v>
      </c>
      <c r="C300" s="64" t="s">
        <v>18</v>
      </c>
      <c r="D300" s="64" t="s">
        <v>700</v>
      </c>
      <c r="E300" s="65" t="s">
        <v>67</v>
      </c>
      <c r="F300" s="63">
        <v>3</v>
      </c>
      <c r="G300" s="66">
        <v>30.79</v>
      </c>
      <c r="H300" s="57">
        <f t="shared" si="38"/>
        <v>38.909999999999997</v>
      </c>
      <c r="I300" s="84">
        <f t="shared" si="39"/>
        <v>116.73</v>
      </c>
    </row>
    <row r="301" spans="1:9" ht="24" customHeight="1" x14ac:dyDescent="0.2">
      <c r="A301" s="26" t="s">
        <v>548</v>
      </c>
      <c r="B301" s="63" t="s">
        <v>350</v>
      </c>
      <c r="C301" s="64" t="s">
        <v>351</v>
      </c>
      <c r="D301" s="64" t="s">
        <v>352</v>
      </c>
      <c r="E301" s="65" t="s">
        <v>67</v>
      </c>
      <c r="F301" s="63">
        <v>10</v>
      </c>
      <c r="G301" s="66">
        <v>99.14</v>
      </c>
      <c r="H301" s="57">
        <f t="shared" si="38"/>
        <v>125.29</v>
      </c>
      <c r="I301" s="84">
        <f t="shared" si="39"/>
        <v>1252.9000000000001</v>
      </c>
    </row>
    <row r="302" spans="1:9" ht="24" customHeight="1" x14ac:dyDescent="0.2">
      <c r="A302" s="19" t="s">
        <v>549</v>
      </c>
      <c r="B302" s="117" t="s">
        <v>550</v>
      </c>
      <c r="C302" s="118"/>
      <c r="D302" s="118"/>
      <c r="E302" s="118"/>
      <c r="F302" s="118"/>
      <c r="G302" s="118"/>
      <c r="H302" s="119"/>
      <c r="I302" s="80">
        <f>I303+I340+I365</f>
        <v>52296.960000000006</v>
      </c>
    </row>
    <row r="303" spans="1:9" ht="24" customHeight="1" x14ac:dyDescent="0.2">
      <c r="A303" s="19" t="s">
        <v>551</v>
      </c>
      <c r="B303" s="117" t="s">
        <v>552</v>
      </c>
      <c r="C303" s="118"/>
      <c r="D303" s="118"/>
      <c r="E303" s="118"/>
      <c r="F303" s="118"/>
      <c r="G303" s="118"/>
      <c r="H303" s="119"/>
      <c r="I303" s="80">
        <f>SUM(I304:I339)</f>
        <v>12188.400000000005</v>
      </c>
    </row>
    <row r="304" spans="1:9" ht="24" customHeight="1" x14ac:dyDescent="0.2">
      <c r="A304" s="26" t="s">
        <v>553</v>
      </c>
      <c r="B304" s="63" t="s">
        <v>358</v>
      </c>
      <c r="C304" s="64" t="s">
        <v>18</v>
      </c>
      <c r="D304" s="64" t="s">
        <v>359</v>
      </c>
      <c r="E304" s="65" t="s">
        <v>67</v>
      </c>
      <c r="F304" s="63">
        <v>1</v>
      </c>
      <c r="G304" s="66">
        <v>658.51</v>
      </c>
      <c r="H304" s="57">
        <f t="shared" ref="H304:H339" si="40">TRUNC(G304 * (1 + 26.38 / 100), 2)</f>
        <v>832.22</v>
      </c>
      <c r="I304" s="84">
        <f t="shared" ref="I304:I339" si="41">TRUNC(F304 * H304, 2)</f>
        <v>832.22</v>
      </c>
    </row>
    <row r="305" spans="1:9" ht="24" customHeight="1" x14ac:dyDescent="0.2">
      <c r="A305" s="26" t="s">
        <v>554</v>
      </c>
      <c r="B305" s="63" t="s">
        <v>331</v>
      </c>
      <c r="C305" s="64" t="s">
        <v>332</v>
      </c>
      <c r="D305" s="64" t="s">
        <v>333</v>
      </c>
      <c r="E305" s="65" t="s">
        <v>160</v>
      </c>
      <c r="F305" s="63">
        <v>3</v>
      </c>
      <c r="G305" s="66">
        <v>47.07</v>
      </c>
      <c r="H305" s="57">
        <f t="shared" si="40"/>
        <v>59.48</v>
      </c>
      <c r="I305" s="84">
        <f t="shared" si="41"/>
        <v>178.44</v>
      </c>
    </row>
    <row r="306" spans="1:9" ht="24" customHeight="1" x14ac:dyDescent="0.2">
      <c r="A306" s="26" t="s">
        <v>555</v>
      </c>
      <c r="B306" s="63" t="s">
        <v>362</v>
      </c>
      <c r="C306" s="64" t="s">
        <v>242</v>
      </c>
      <c r="D306" s="64" t="s">
        <v>363</v>
      </c>
      <c r="E306" s="65" t="s">
        <v>67</v>
      </c>
      <c r="F306" s="63">
        <v>1</v>
      </c>
      <c r="G306" s="66">
        <v>157.37</v>
      </c>
      <c r="H306" s="57">
        <f t="shared" si="40"/>
        <v>198.88</v>
      </c>
      <c r="I306" s="84">
        <f t="shared" si="41"/>
        <v>198.88</v>
      </c>
    </row>
    <row r="307" spans="1:9" ht="24" customHeight="1" x14ac:dyDescent="0.2">
      <c r="A307" s="26" t="s">
        <v>556</v>
      </c>
      <c r="B307" s="63" t="s">
        <v>365</v>
      </c>
      <c r="C307" s="64" t="s">
        <v>332</v>
      </c>
      <c r="D307" s="64" t="s">
        <v>366</v>
      </c>
      <c r="E307" s="65" t="s">
        <v>160</v>
      </c>
      <c r="F307" s="63">
        <v>1</v>
      </c>
      <c r="G307" s="66">
        <v>281.24</v>
      </c>
      <c r="H307" s="57">
        <f t="shared" si="40"/>
        <v>355.43</v>
      </c>
      <c r="I307" s="84">
        <f t="shared" si="41"/>
        <v>355.43</v>
      </c>
    </row>
    <row r="308" spans="1:9" ht="24" customHeight="1" x14ac:dyDescent="0.2">
      <c r="A308" s="26" t="s">
        <v>557</v>
      </c>
      <c r="B308" s="63" t="s">
        <v>368</v>
      </c>
      <c r="C308" s="64" t="s">
        <v>18</v>
      </c>
      <c r="D308" s="64" t="s">
        <v>369</v>
      </c>
      <c r="E308" s="65" t="s">
        <v>67</v>
      </c>
      <c r="F308" s="63">
        <v>1</v>
      </c>
      <c r="G308" s="66">
        <v>11.26</v>
      </c>
      <c r="H308" s="57">
        <f t="shared" si="40"/>
        <v>14.23</v>
      </c>
      <c r="I308" s="84">
        <f t="shared" si="41"/>
        <v>14.23</v>
      </c>
    </row>
    <row r="309" spans="1:9" ht="24" customHeight="1" x14ac:dyDescent="0.2">
      <c r="A309" s="26" t="s">
        <v>558</v>
      </c>
      <c r="B309" s="63" t="s">
        <v>371</v>
      </c>
      <c r="C309" s="64" t="s">
        <v>18</v>
      </c>
      <c r="D309" s="64" t="s">
        <v>372</v>
      </c>
      <c r="E309" s="65" t="s">
        <v>67</v>
      </c>
      <c r="F309" s="63">
        <v>2</v>
      </c>
      <c r="G309" s="66">
        <v>12.29</v>
      </c>
      <c r="H309" s="57">
        <f t="shared" si="40"/>
        <v>15.53</v>
      </c>
      <c r="I309" s="84">
        <f t="shared" si="41"/>
        <v>31.06</v>
      </c>
    </row>
    <row r="310" spans="1:9" ht="24" customHeight="1" x14ac:dyDescent="0.2">
      <c r="A310" s="26" t="s">
        <v>559</v>
      </c>
      <c r="B310" s="63" t="s">
        <v>374</v>
      </c>
      <c r="C310" s="64" t="s">
        <v>18</v>
      </c>
      <c r="D310" s="64" t="s">
        <v>375</v>
      </c>
      <c r="E310" s="65" t="s">
        <v>67</v>
      </c>
      <c r="F310" s="63">
        <v>1</v>
      </c>
      <c r="G310" s="66">
        <v>54.3</v>
      </c>
      <c r="H310" s="57">
        <f t="shared" si="40"/>
        <v>68.62</v>
      </c>
      <c r="I310" s="84">
        <f t="shared" si="41"/>
        <v>68.62</v>
      </c>
    </row>
    <row r="311" spans="1:9" ht="24" customHeight="1" x14ac:dyDescent="0.2">
      <c r="A311" s="26" t="s">
        <v>560</v>
      </c>
      <c r="B311" s="63" t="s">
        <v>377</v>
      </c>
      <c r="C311" s="64" t="s">
        <v>18</v>
      </c>
      <c r="D311" s="64" t="s">
        <v>378</v>
      </c>
      <c r="E311" s="65" t="s">
        <v>67</v>
      </c>
      <c r="F311" s="63">
        <v>6</v>
      </c>
      <c r="G311" s="66">
        <v>63.96</v>
      </c>
      <c r="H311" s="57">
        <f t="shared" si="40"/>
        <v>80.83</v>
      </c>
      <c r="I311" s="84">
        <f t="shared" si="41"/>
        <v>484.98</v>
      </c>
    </row>
    <row r="312" spans="1:9" ht="24" customHeight="1" x14ac:dyDescent="0.2">
      <c r="A312" s="26" t="s">
        <v>561</v>
      </c>
      <c r="B312" s="63" t="s">
        <v>380</v>
      </c>
      <c r="C312" s="64" t="s">
        <v>158</v>
      </c>
      <c r="D312" s="64" t="s">
        <v>381</v>
      </c>
      <c r="E312" s="65" t="s">
        <v>160</v>
      </c>
      <c r="F312" s="63">
        <v>18</v>
      </c>
      <c r="G312" s="66">
        <v>8.39</v>
      </c>
      <c r="H312" s="57">
        <f t="shared" si="40"/>
        <v>10.6</v>
      </c>
      <c r="I312" s="84">
        <f t="shared" si="41"/>
        <v>190.8</v>
      </c>
    </row>
    <row r="313" spans="1:9" ht="24" customHeight="1" x14ac:dyDescent="0.2">
      <c r="A313" s="26" t="s">
        <v>562</v>
      </c>
      <c r="B313" s="63" t="s">
        <v>383</v>
      </c>
      <c r="C313" s="64" t="s">
        <v>158</v>
      </c>
      <c r="D313" s="64" t="s">
        <v>384</v>
      </c>
      <c r="E313" s="65" t="s">
        <v>160</v>
      </c>
      <c r="F313" s="63">
        <v>8</v>
      </c>
      <c r="G313" s="66">
        <v>11.62</v>
      </c>
      <c r="H313" s="57">
        <f t="shared" si="40"/>
        <v>14.68</v>
      </c>
      <c r="I313" s="84">
        <f t="shared" si="41"/>
        <v>117.44</v>
      </c>
    </row>
    <row r="314" spans="1:9" ht="24" customHeight="1" x14ac:dyDescent="0.2">
      <c r="A314" s="26" t="s">
        <v>563</v>
      </c>
      <c r="B314" s="63" t="s">
        <v>386</v>
      </c>
      <c r="C314" s="64" t="s">
        <v>18</v>
      </c>
      <c r="D314" s="64" t="s">
        <v>387</v>
      </c>
      <c r="E314" s="65" t="s">
        <v>28</v>
      </c>
      <c r="F314" s="63">
        <v>10</v>
      </c>
      <c r="G314" s="66">
        <v>16.48</v>
      </c>
      <c r="H314" s="57">
        <f t="shared" si="40"/>
        <v>20.82</v>
      </c>
      <c r="I314" s="84">
        <f t="shared" si="41"/>
        <v>208.2</v>
      </c>
    </row>
    <row r="315" spans="1:9" ht="24" customHeight="1" x14ac:dyDescent="0.2">
      <c r="A315" s="26" t="s">
        <v>564</v>
      </c>
      <c r="B315" s="63" t="s">
        <v>389</v>
      </c>
      <c r="C315" s="64" t="s">
        <v>18</v>
      </c>
      <c r="D315" s="64" t="s">
        <v>390</v>
      </c>
      <c r="E315" s="65" t="s">
        <v>28</v>
      </c>
      <c r="F315" s="63">
        <v>25</v>
      </c>
      <c r="G315" s="66">
        <v>15.17</v>
      </c>
      <c r="H315" s="57">
        <f t="shared" si="40"/>
        <v>19.170000000000002</v>
      </c>
      <c r="I315" s="84">
        <f t="shared" si="41"/>
        <v>479.25</v>
      </c>
    </row>
    <row r="316" spans="1:9" ht="24" customHeight="1" x14ac:dyDescent="0.2">
      <c r="A316" s="26" t="s">
        <v>565</v>
      </c>
      <c r="B316" s="63" t="s">
        <v>392</v>
      </c>
      <c r="C316" s="64" t="s">
        <v>393</v>
      </c>
      <c r="D316" s="64" t="s">
        <v>394</v>
      </c>
      <c r="E316" s="65" t="s">
        <v>160</v>
      </c>
      <c r="F316" s="63">
        <v>5</v>
      </c>
      <c r="G316" s="66">
        <v>19.059999999999999</v>
      </c>
      <c r="H316" s="57">
        <f t="shared" si="40"/>
        <v>24.08</v>
      </c>
      <c r="I316" s="84">
        <f t="shared" si="41"/>
        <v>120.4</v>
      </c>
    </row>
    <row r="317" spans="1:9" ht="24" customHeight="1" x14ac:dyDescent="0.2">
      <c r="A317" s="26" t="s">
        <v>566</v>
      </c>
      <c r="B317" s="63" t="s">
        <v>396</v>
      </c>
      <c r="C317" s="64" t="s">
        <v>18</v>
      </c>
      <c r="D317" s="64" t="s">
        <v>397</v>
      </c>
      <c r="E317" s="65" t="s">
        <v>28</v>
      </c>
      <c r="F317" s="63">
        <v>100</v>
      </c>
      <c r="G317" s="66">
        <v>11.61</v>
      </c>
      <c r="H317" s="57">
        <f t="shared" si="40"/>
        <v>14.67</v>
      </c>
      <c r="I317" s="84">
        <f t="shared" si="41"/>
        <v>1467</v>
      </c>
    </row>
    <row r="318" spans="1:9" ht="24" customHeight="1" x14ac:dyDescent="0.2">
      <c r="A318" s="26" t="s">
        <v>567</v>
      </c>
      <c r="B318" s="63" t="s">
        <v>399</v>
      </c>
      <c r="C318" s="64" t="s">
        <v>18</v>
      </c>
      <c r="D318" s="64" t="s">
        <v>400</v>
      </c>
      <c r="E318" s="65" t="s">
        <v>67</v>
      </c>
      <c r="F318" s="63">
        <v>3</v>
      </c>
      <c r="G318" s="66">
        <v>50.64</v>
      </c>
      <c r="H318" s="57">
        <f t="shared" si="40"/>
        <v>63.99</v>
      </c>
      <c r="I318" s="84">
        <f t="shared" si="41"/>
        <v>191.97</v>
      </c>
    </row>
    <row r="319" spans="1:9" ht="24" customHeight="1" x14ac:dyDescent="0.2">
      <c r="A319" s="26" t="s">
        <v>568</v>
      </c>
      <c r="B319" s="63" t="s">
        <v>569</v>
      </c>
      <c r="C319" s="64" t="s">
        <v>18</v>
      </c>
      <c r="D319" s="64" t="s">
        <v>570</v>
      </c>
      <c r="E319" s="65" t="s">
        <v>67</v>
      </c>
      <c r="F319" s="63">
        <v>1</v>
      </c>
      <c r="G319" s="66">
        <v>33.28</v>
      </c>
      <c r="H319" s="57">
        <f t="shared" si="40"/>
        <v>42.05</v>
      </c>
      <c r="I319" s="84">
        <f t="shared" si="41"/>
        <v>42.05</v>
      </c>
    </row>
    <row r="320" spans="1:9" ht="24" customHeight="1" x14ac:dyDescent="0.2">
      <c r="A320" s="26" t="s">
        <v>571</v>
      </c>
      <c r="B320" s="63" t="s">
        <v>402</v>
      </c>
      <c r="C320" s="64" t="s">
        <v>18</v>
      </c>
      <c r="D320" s="64" t="s">
        <v>403</v>
      </c>
      <c r="E320" s="65" t="s">
        <v>67</v>
      </c>
      <c r="F320" s="63">
        <v>4</v>
      </c>
      <c r="G320" s="66">
        <v>41.65</v>
      </c>
      <c r="H320" s="57">
        <f t="shared" si="40"/>
        <v>52.63</v>
      </c>
      <c r="I320" s="84">
        <f t="shared" si="41"/>
        <v>210.52</v>
      </c>
    </row>
    <row r="321" spans="1:9" ht="24" customHeight="1" x14ac:dyDescent="0.2">
      <c r="A321" s="26" t="s">
        <v>572</v>
      </c>
      <c r="B321" s="63" t="s">
        <v>402</v>
      </c>
      <c r="C321" s="64" t="s">
        <v>18</v>
      </c>
      <c r="D321" s="64" t="s">
        <v>405</v>
      </c>
      <c r="E321" s="65" t="s">
        <v>67</v>
      </c>
      <c r="F321" s="63">
        <v>1</v>
      </c>
      <c r="G321" s="66">
        <v>41.65</v>
      </c>
      <c r="H321" s="57">
        <f t="shared" si="40"/>
        <v>52.63</v>
      </c>
      <c r="I321" s="84">
        <f t="shared" si="41"/>
        <v>52.63</v>
      </c>
    </row>
    <row r="322" spans="1:9" ht="24" customHeight="1" x14ac:dyDescent="0.2">
      <c r="A322" s="26" t="s">
        <v>573</v>
      </c>
      <c r="B322" s="63" t="s">
        <v>407</v>
      </c>
      <c r="C322" s="64" t="s">
        <v>18</v>
      </c>
      <c r="D322" s="64" t="s">
        <v>408</v>
      </c>
      <c r="E322" s="65" t="s">
        <v>67</v>
      </c>
      <c r="F322" s="63">
        <v>4</v>
      </c>
      <c r="G322" s="66">
        <v>96.31</v>
      </c>
      <c r="H322" s="57">
        <f t="shared" si="40"/>
        <v>121.71</v>
      </c>
      <c r="I322" s="84">
        <f t="shared" si="41"/>
        <v>486.84</v>
      </c>
    </row>
    <row r="323" spans="1:9" ht="24" customHeight="1" x14ac:dyDescent="0.2">
      <c r="A323" s="26" t="s">
        <v>574</v>
      </c>
      <c r="B323" s="63" t="s">
        <v>410</v>
      </c>
      <c r="C323" s="64" t="s">
        <v>18</v>
      </c>
      <c r="D323" s="64" t="s">
        <v>411</v>
      </c>
      <c r="E323" s="65" t="s">
        <v>67</v>
      </c>
      <c r="F323" s="63">
        <v>8</v>
      </c>
      <c r="G323" s="66">
        <v>44.74</v>
      </c>
      <c r="H323" s="57">
        <f t="shared" si="40"/>
        <v>56.54</v>
      </c>
      <c r="I323" s="84">
        <f t="shared" si="41"/>
        <v>452.32</v>
      </c>
    </row>
    <row r="324" spans="1:9" ht="24" customHeight="1" x14ac:dyDescent="0.2">
      <c r="A324" s="26" t="s">
        <v>575</v>
      </c>
      <c r="B324" s="63" t="s">
        <v>413</v>
      </c>
      <c r="C324" s="64" t="s">
        <v>18</v>
      </c>
      <c r="D324" s="64" t="s">
        <v>414</v>
      </c>
      <c r="E324" s="65" t="s">
        <v>28</v>
      </c>
      <c r="F324" s="63">
        <v>150</v>
      </c>
      <c r="G324" s="66">
        <v>9.91</v>
      </c>
      <c r="H324" s="57">
        <f t="shared" si="40"/>
        <v>12.52</v>
      </c>
      <c r="I324" s="84">
        <f t="shared" si="41"/>
        <v>1878</v>
      </c>
    </row>
    <row r="325" spans="1:9" ht="24" customHeight="1" x14ac:dyDescent="0.2">
      <c r="A325" s="26" t="s">
        <v>576</v>
      </c>
      <c r="B325" s="63" t="s">
        <v>416</v>
      </c>
      <c r="C325" s="64" t="s">
        <v>18</v>
      </c>
      <c r="D325" s="64" t="s">
        <v>417</v>
      </c>
      <c r="E325" s="65" t="s">
        <v>28</v>
      </c>
      <c r="F325" s="63">
        <v>150</v>
      </c>
      <c r="G325" s="66">
        <v>4.62</v>
      </c>
      <c r="H325" s="57">
        <f t="shared" si="40"/>
        <v>5.83</v>
      </c>
      <c r="I325" s="84">
        <f t="shared" si="41"/>
        <v>874.5</v>
      </c>
    </row>
    <row r="326" spans="1:9" ht="24" customHeight="1" x14ac:dyDescent="0.2">
      <c r="A326" s="26" t="s">
        <v>577</v>
      </c>
      <c r="B326" s="63" t="s">
        <v>419</v>
      </c>
      <c r="C326" s="64" t="s">
        <v>18</v>
      </c>
      <c r="D326" s="64" t="s">
        <v>420</v>
      </c>
      <c r="E326" s="65" t="s">
        <v>28</v>
      </c>
      <c r="F326" s="63">
        <v>35</v>
      </c>
      <c r="G326" s="66">
        <v>7.11</v>
      </c>
      <c r="H326" s="57">
        <f t="shared" si="40"/>
        <v>8.98</v>
      </c>
      <c r="I326" s="84">
        <f t="shared" si="41"/>
        <v>314.3</v>
      </c>
    </row>
    <row r="327" spans="1:9" ht="24" customHeight="1" x14ac:dyDescent="0.2">
      <c r="A327" s="26" t="s">
        <v>578</v>
      </c>
      <c r="B327" s="63" t="s">
        <v>422</v>
      </c>
      <c r="C327" s="64" t="s">
        <v>242</v>
      </c>
      <c r="D327" s="64" t="s">
        <v>423</v>
      </c>
      <c r="E327" s="65" t="s">
        <v>67</v>
      </c>
      <c r="F327" s="63">
        <v>5</v>
      </c>
      <c r="G327" s="66">
        <v>164.3</v>
      </c>
      <c r="H327" s="57">
        <f t="shared" si="40"/>
        <v>207.64</v>
      </c>
      <c r="I327" s="84">
        <f t="shared" si="41"/>
        <v>1038.2</v>
      </c>
    </row>
    <row r="328" spans="1:9" ht="24" customHeight="1" x14ac:dyDescent="0.2">
      <c r="A328" s="26" t="s">
        <v>579</v>
      </c>
      <c r="B328" s="63" t="s">
        <v>580</v>
      </c>
      <c r="C328" s="64" t="s">
        <v>242</v>
      </c>
      <c r="D328" s="64" t="s">
        <v>581</v>
      </c>
      <c r="E328" s="65" t="s">
        <v>67</v>
      </c>
      <c r="F328" s="63">
        <v>1</v>
      </c>
      <c r="G328" s="66">
        <v>360.26</v>
      </c>
      <c r="H328" s="57">
        <f t="shared" si="40"/>
        <v>455.29</v>
      </c>
      <c r="I328" s="84">
        <f t="shared" si="41"/>
        <v>455.29</v>
      </c>
    </row>
    <row r="329" spans="1:9" ht="24" customHeight="1" x14ac:dyDescent="0.2">
      <c r="A329" s="26" t="s">
        <v>582</v>
      </c>
      <c r="B329" s="63" t="s">
        <v>425</v>
      </c>
      <c r="C329" s="64" t="s">
        <v>242</v>
      </c>
      <c r="D329" s="64" t="s">
        <v>426</v>
      </c>
      <c r="E329" s="65" t="s">
        <v>67</v>
      </c>
      <c r="F329" s="63">
        <v>1</v>
      </c>
      <c r="G329" s="66">
        <v>79.56</v>
      </c>
      <c r="H329" s="57">
        <f t="shared" si="40"/>
        <v>100.54</v>
      </c>
      <c r="I329" s="84">
        <f t="shared" si="41"/>
        <v>100.54</v>
      </c>
    </row>
    <row r="330" spans="1:9" ht="24" customHeight="1" x14ac:dyDescent="0.2">
      <c r="A330" s="26" t="s">
        <v>583</v>
      </c>
      <c r="B330" s="63" t="s">
        <v>428</v>
      </c>
      <c r="C330" s="64" t="s">
        <v>242</v>
      </c>
      <c r="D330" s="64" t="s">
        <v>701</v>
      </c>
      <c r="E330" s="65" t="s">
        <v>28</v>
      </c>
      <c r="F330" s="63">
        <v>6</v>
      </c>
      <c r="G330" s="66">
        <v>15.89</v>
      </c>
      <c r="H330" s="57">
        <f t="shared" si="40"/>
        <v>20.079999999999998</v>
      </c>
      <c r="I330" s="84">
        <f t="shared" si="41"/>
        <v>120.48</v>
      </c>
    </row>
    <row r="331" spans="1:9" ht="24" customHeight="1" x14ac:dyDescent="0.2">
      <c r="A331" s="26" t="s">
        <v>584</v>
      </c>
      <c r="B331" s="63" t="s">
        <v>431</v>
      </c>
      <c r="C331" s="64" t="s">
        <v>242</v>
      </c>
      <c r="D331" s="64" t="s">
        <v>432</v>
      </c>
      <c r="E331" s="65" t="s">
        <v>67</v>
      </c>
      <c r="F331" s="63">
        <v>1</v>
      </c>
      <c r="G331" s="66">
        <v>14.16</v>
      </c>
      <c r="H331" s="57">
        <f t="shared" si="40"/>
        <v>17.89</v>
      </c>
      <c r="I331" s="84">
        <f t="shared" si="41"/>
        <v>17.89</v>
      </c>
    </row>
    <row r="332" spans="1:9" ht="24" customHeight="1" x14ac:dyDescent="0.2">
      <c r="A332" s="26" t="s">
        <v>585</v>
      </c>
      <c r="B332" s="63" t="s">
        <v>434</v>
      </c>
      <c r="C332" s="64" t="s">
        <v>242</v>
      </c>
      <c r="D332" s="64" t="s">
        <v>435</v>
      </c>
      <c r="E332" s="65" t="s">
        <v>346</v>
      </c>
      <c r="F332" s="63">
        <v>3</v>
      </c>
      <c r="G332" s="66">
        <v>20.34</v>
      </c>
      <c r="H332" s="57">
        <f t="shared" si="40"/>
        <v>25.7</v>
      </c>
      <c r="I332" s="84">
        <f t="shared" si="41"/>
        <v>77.099999999999994</v>
      </c>
    </row>
    <row r="333" spans="1:9" ht="24" customHeight="1" x14ac:dyDescent="0.2">
      <c r="A333" s="26" t="s">
        <v>586</v>
      </c>
      <c r="B333" s="63" t="s">
        <v>348</v>
      </c>
      <c r="C333" s="64" t="s">
        <v>18</v>
      </c>
      <c r="D333" s="64" t="s">
        <v>437</v>
      </c>
      <c r="E333" s="65" t="s">
        <v>67</v>
      </c>
      <c r="F333" s="63">
        <v>3</v>
      </c>
      <c r="G333" s="66">
        <v>26.52</v>
      </c>
      <c r="H333" s="57">
        <f t="shared" si="40"/>
        <v>33.51</v>
      </c>
      <c r="I333" s="84">
        <f t="shared" si="41"/>
        <v>100.53</v>
      </c>
    </row>
    <row r="334" spans="1:9" ht="24" customHeight="1" x14ac:dyDescent="0.2">
      <c r="A334" s="26" t="s">
        <v>587</v>
      </c>
      <c r="B334" s="63" t="s">
        <v>439</v>
      </c>
      <c r="C334" s="64" t="s">
        <v>158</v>
      </c>
      <c r="D334" s="64" t="s">
        <v>440</v>
      </c>
      <c r="E334" s="65" t="s">
        <v>160</v>
      </c>
      <c r="F334" s="63">
        <v>1</v>
      </c>
      <c r="G334" s="66">
        <v>45.59</v>
      </c>
      <c r="H334" s="57">
        <f t="shared" si="40"/>
        <v>57.61</v>
      </c>
      <c r="I334" s="84">
        <f t="shared" si="41"/>
        <v>57.61</v>
      </c>
    </row>
    <row r="335" spans="1:9" ht="24" customHeight="1" x14ac:dyDescent="0.2">
      <c r="A335" s="26" t="s">
        <v>588</v>
      </c>
      <c r="B335" s="63" t="s">
        <v>442</v>
      </c>
      <c r="C335" s="64" t="s">
        <v>242</v>
      </c>
      <c r="D335" s="64" t="s">
        <v>443</v>
      </c>
      <c r="E335" s="65" t="s">
        <v>346</v>
      </c>
      <c r="F335" s="63">
        <v>2</v>
      </c>
      <c r="G335" s="66">
        <v>4.9000000000000004</v>
      </c>
      <c r="H335" s="57">
        <f t="shared" si="40"/>
        <v>6.19</v>
      </c>
      <c r="I335" s="84">
        <f t="shared" si="41"/>
        <v>12.38</v>
      </c>
    </row>
    <row r="336" spans="1:9" ht="24" customHeight="1" x14ac:dyDescent="0.2">
      <c r="A336" s="26" t="s">
        <v>589</v>
      </c>
      <c r="B336" s="63" t="s">
        <v>445</v>
      </c>
      <c r="C336" s="64" t="s">
        <v>242</v>
      </c>
      <c r="D336" s="64" t="s">
        <v>446</v>
      </c>
      <c r="E336" s="65" t="s">
        <v>346</v>
      </c>
      <c r="F336" s="63">
        <v>1</v>
      </c>
      <c r="G336" s="66">
        <v>5.82</v>
      </c>
      <c r="H336" s="57">
        <f t="shared" si="40"/>
        <v>7.35</v>
      </c>
      <c r="I336" s="84">
        <f t="shared" si="41"/>
        <v>7.35</v>
      </c>
    </row>
    <row r="337" spans="1:9" ht="24" customHeight="1" x14ac:dyDescent="0.2">
      <c r="A337" s="26" t="s">
        <v>590</v>
      </c>
      <c r="B337" s="63" t="s">
        <v>448</v>
      </c>
      <c r="C337" s="64" t="s">
        <v>18</v>
      </c>
      <c r="D337" s="64" t="s">
        <v>449</v>
      </c>
      <c r="E337" s="65" t="s">
        <v>28</v>
      </c>
      <c r="F337" s="63">
        <v>50</v>
      </c>
      <c r="G337" s="66">
        <v>9.27</v>
      </c>
      <c r="H337" s="57">
        <f t="shared" si="40"/>
        <v>11.71</v>
      </c>
      <c r="I337" s="84">
        <f t="shared" si="41"/>
        <v>585.5</v>
      </c>
    </row>
    <row r="338" spans="1:9" ht="24" customHeight="1" x14ac:dyDescent="0.2">
      <c r="A338" s="26" t="s">
        <v>591</v>
      </c>
      <c r="B338" s="63" t="s">
        <v>451</v>
      </c>
      <c r="C338" s="64" t="s">
        <v>18</v>
      </c>
      <c r="D338" s="64" t="s">
        <v>452</v>
      </c>
      <c r="E338" s="65" t="s">
        <v>28</v>
      </c>
      <c r="F338" s="63">
        <v>10</v>
      </c>
      <c r="G338" s="66">
        <v>9.5500000000000007</v>
      </c>
      <c r="H338" s="57">
        <f t="shared" si="40"/>
        <v>12.06</v>
      </c>
      <c r="I338" s="84">
        <f t="shared" si="41"/>
        <v>120.6</v>
      </c>
    </row>
    <row r="339" spans="1:9" ht="24" customHeight="1" x14ac:dyDescent="0.2">
      <c r="A339" s="26" t="s">
        <v>592</v>
      </c>
      <c r="B339" s="63" t="s">
        <v>454</v>
      </c>
      <c r="C339" s="64" t="s">
        <v>18</v>
      </c>
      <c r="D339" s="64" t="s">
        <v>702</v>
      </c>
      <c r="E339" s="65" t="s">
        <v>46</v>
      </c>
      <c r="F339" s="63">
        <v>0.3</v>
      </c>
      <c r="G339" s="66">
        <v>645.82000000000005</v>
      </c>
      <c r="H339" s="57">
        <f t="shared" si="40"/>
        <v>816.18</v>
      </c>
      <c r="I339" s="84">
        <f t="shared" si="41"/>
        <v>244.85</v>
      </c>
    </row>
    <row r="340" spans="1:9" ht="24" customHeight="1" x14ac:dyDescent="0.2">
      <c r="A340" s="19" t="s">
        <v>593</v>
      </c>
      <c r="B340" s="112" t="s">
        <v>594</v>
      </c>
      <c r="C340" s="113"/>
      <c r="D340" s="113"/>
      <c r="E340" s="113"/>
      <c r="F340" s="113"/>
      <c r="G340" s="113"/>
      <c r="H340" s="120"/>
      <c r="I340" s="80">
        <f>SUM(I341:I364)</f>
        <v>7144.46</v>
      </c>
    </row>
    <row r="341" spans="1:9" ht="24" customHeight="1" x14ac:dyDescent="0.2">
      <c r="A341" s="26" t="s">
        <v>595</v>
      </c>
      <c r="B341" s="63" t="s">
        <v>596</v>
      </c>
      <c r="C341" s="64" t="s">
        <v>18</v>
      </c>
      <c r="D341" s="64" t="s">
        <v>703</v>
      </c>
      <c r="E341" s="65" t="s">
        <v>67</v>
      </c>
      <c r="F341" s="63">
        <v>1</v>
      </c>
      <c r="G341" s="66">
        <v>503.57</v>
      </c>
      <c r="H341" s="57">
        <f t="shared" ref="H341:H364" si="42">TRUNC(G341 * (1 + 26.38 / 100), 2)</f>
        <v>636.41</v>
      </c>
      <c r="I341" s="84">
        <f t="shared" ref="I341:I364" si="43">TRUNC(F341 * H341, 2)</f>
        <v>636.41</v>
      </c>
    </row>
    <row r="342" spans="1:9" ht="24" customHeight="1" x14ac:dyDescent="0.2">
      <c r="A342" s="26" t="s">
        <v>597</v>
      </c>
      <c r="B342" s="63" t="s">
        <v>331</v>
      </c>
      <c r="C342" s="64" t="s">
        <v>332</v>
      </c>
      <c r="D342" s="64" t="s">
        <v>333</v>
      </c>
      <c r="E342" s="65" t="s">
        <v>160</v>
      </c>
      <c r="F342" s="63">
        <v>3</v>
      </c>
      <c r="G342" s="66">
        <v>47.07</v>
      </c>
      <c r="H342" s="57">
        <f t="shared" si="42"/>
        <v>59.48</v>
      </c>
      <c r="I342" s="84">
        <f t="shared" si="43"/>
        <v>178.44</v>
      </c>
    </row>
    <row r="343" spans="1:9" ht="24" customHeight="1" x14ac:dyDescent="0.2">
      <c r="A343" s="26" t="s">
        <v>598</v>
      </c>
      <c r="B343" s="63" t="s">
        <v>599</v>
      </c>
      <c r="C343" s="64" t="s">
        <v>332</v>
      </c>
      <c r="D343" s="64" t="s">
        <v>600</v>
      </c>
      <c r="E343" s="65" t="s">
        <v>160</v>
      </c>
      <c r="F343" s="63">
        <v>1</v>
      </c>
      <c r="G343" s="66">
        <v>173.33</v>
      </c>
      <c r="H343" s="57">
        <f t="shared" si="42"/>
        <v>219.05</v>
      </c>
      <c r="I343" s="84">
        <f t="shared" si="43"/>
        <v>219.05</v>
      </c>
    </row>
    <row r="344" spans="1:9" ht="24" customHeight="1" x14ac:dyDescent="0.2">
      <c r="A344" s="26" t="s">
        <v>601</v>
      </c>
      <c r="B344" s="63" t="s">
        <v>602</v>
      </c>
      <c r="C344" s="64" t="s">
        <v>18</v>
      </c>
      <c r="D344" s="64" t="s">
        <v>704</v>
      </c>
      <c r="E344" s="65" t="s">
        <v>67</v>
      </c>
      <c r="F344" s="63">
        <v>1</v>
      </c>
      <c r="G344" s="66">
        <v>84.46</v>
      </c>
      <c r="H344" s="57">
        <f t="shared" si="42"/>
        <v>106.74</v>
      </c>
      <c r="I344" s="84">
        <f t="shared" si="43"/>
        <v>106.74</v>
      </c>
    </row>
    <row r="345" spans="1:9" ht="24" customHeight="1" x14ac:dyDescent="0.2">
      <c r="A345" s="26" t="s">
        <v>603</v>
      </c>
      <c r="B345" s="63" t="s">
        <v>368</v>
      </c>
      <c r="C345" s="64" t="s">
        <v>18</v>
      </c>
      <c r="D345" s="64" t="s">
        <v>369</v>
      </c>
      <c r="E345" s="65" t="s">
        <v>67</v>
      </c>
      <c r="F345" s="63">
        <v>1</v>
      </c>
      <c r="G345" s="66">
        <v>11.26</v>
      </c>
      <c r="H345" s="57">
        <f t="shared" si="42"/>
        <v>14.23</v>
      </c>
      <c r="I345" s="84">
        <f t="shared" si="43"/>
        <v>14.23</v>
      </c>
    </row>
    <row r="346" spans="1:9" ht="24" customHeight="1" x14ac:dyDescent="0.2">
      <c r="A346" s="26" t="s">
        <v>604</v>
      </c>
      <c r="B346" s="63" t="s">
        <v>371</v>
      </c>
      <c r="C346" s="64" t="s">
        <v>18</v>
      </c>
      <c r="D346" s="64" t="s">
        <v>372</v>
      </c>
      <c r="E346" s="65" t="s">
        <v>67</v>
      </c>
      <c r="F346" s="63">
        <v>3</v>
      </c>
      <c r="G346" s="66">
        <v>12.29</v>
      </c>
      <c r="H346" s="57">
        <f t="shared" si="42"/>
        <v>15.53</v>
      </c>
      <c r="I346" s="84">
        <f t="shared" si="43"/>
        <v>46.59</v>
      </c>
    </row>
    <row r="347" spans="1:9" ht="24" customHeight="1" x14ac:dyDescent="0.2">
      <c r="A347" s="26" t="s">
        <v>605</v>
      </c>
      <c r="B347" s="63" t="s">
        <v>374</v>
      </c>
      <c r="C347" s="64" t="s">
        <v>18</v>
      </c>
      <c r="D347" s="64" t="s">
        <v>375</v>
      </c>
      <c r="E347" s="65" t="s">
        <v>67</v>
      </c>
      <c r="F347" s="63">
        <v>1</v>
      </c>
      <c r="G347" s="66">
        <v>54.3</v>
      </c>
      <c r="H347" s="57">
        <f t="shared" si="42"/>
        <v>68.62</v>
      </c>
      <c r="I347" s="84">
        <f t="shared" si="43"/>
        <v>68.62</v>
      </c>
    </row>
    <row r="348" spans="1:9" ht="24" customHeight="1" x14ac:dyDescent="0.2">
      <c r="A348" s="26" t="s">
        <v>606</v>
      </c>
      <c r="B348" s="63" t="s">
        <v>479</v>
      </c>
      <c r="C348" s="64" t="s">
        <v>18</v>
      </c>
      <c r="D348" s="64" t="s">
        <v>480</v>
      </c>
      <c r="E348" s="65" t="s">
        <v>28</v>
      </c>
      <c r="F348" s="63">
        <v>6</v>
      </c>
      <c r="G348" s="66">
        <v>21.96</v>
      </c>
      <c r="H348" s="57">
        <f t="shared" si="42"/>
        <v>27.75</v>
      </c>
      <c r="I348" s="84">
        <f t="shared" si="43"/>
        <v>166.5</v>
      </c>
    </row>
    <row r="349" spans="1:9" ht="24" customHeight="1" x14ac:dyDescent="0.2">
      <c r="A349" s="26" t="s">
        <v>607</v>
      </c>
      <c r="B349" s="63" t="s">
        <v>445</v>
      </c>
      <c r="C349" s="64" t="s">
        <v>242</v>
      </c>
      <c r="D349" s="64" t="s">
        <v>446</v>
      </c>
      <c r="E349" s="65" t="s">
        <v>346</v>
      </c>
      <c r="F349" s="63">
        <v>4</v>
      </c>
      <c r="G349" s="66">
        <v>5.82</v>
      </c>
      <c r="H349" s="57">
        <f t="shared" si="42"/>
        <v>7.35</v>
      </c>
      <c r="I349" s="84">
        <f t="shared" si="43"/>
        <v>29.4</v>
      </c>
    </row>
    <row r="350" spans="1:9" ht="24" customHeight="1" x14ac:dyDescent="0.2">
      <c r="A350" s="26" t="s">
        <v>608</v>
      </c>
      <c r="B350" s="63" t="s">
        <v>476</v>
      </c>
      <c r="C350" s="64" t="s">
        <v>18</v>
      </c>
      <c r="D350" s="64" t="s">
        <v>477</v>
      </c>
      <c r="E350" s="65" t="s">
        <v>28</v>
      </c>
      <c r="F350" s="63">
        <v>48</v>
      </c>
      <c r="G350" s="66">
        <v>18.96</v>
      </c>
      <c r="H350" s="57">
        <f t="shared" si="42"/>
        <v>23.96</v>
      </c>
      <c r="I350" s="84">
        <f t="shared" si="43"/>
        <v>1150.08</v>
      </c>
    </row>
    <row r="351" spans="1:9" ht="24" customHeight="1" x14ac:dyDescent="0.2">
      <c r="A351" s="26" t="s">
        <v>609</v>
      </c>
      <c r="B351" s="63" t="s">
        <v>442</v>
      </c>
      <c r="C351" s="64" t="s">
        <v>242</v>
      </c>
      <c r="D351" s="64" t="s">
        <v>443</v>
      </c>
      <c r="E351" s="65" t="s">
        <v>346</v>
      </c>
      <c r="F351" s="63">
        <v>4</v>
      </c>
      <c r="G351" s="66">
        <v>4.9000000000000004</v>
      </c>
      <c r="H351" s="57">
        <f t="shared" si="42"/>
        <v>6.19</v>
      </c>
      <c r="I351" s="84">
        <f t="shared" si="43"/>
        <v>24.76</v>
      </c>
    </row>
    <row r="352" spans="1:9" ht="24" customHeight="1" x14ac:dyDescent="0.2">
      <c r="A352" s="26" t="s">
        <v>610</v>
      </c>
      <c r="B352" s="63" t="s">
        <v>611</v>
      </c>
      <c r="C352" s="64" t="s">
        <v>18</v>
      </c>
      <c r="D352" s="64" t="s">
        <v>612</v>
      </c>
      <c r="E352" s="65" t="s">
        <v>67</v>
      </c>
      <c r="F352" s="63">
        <v>1</v>
      </c>
      <c r="G352" s="66">
        <v>68.02</v>
      </c>
      <c r="H352" s="57">
        <f t="shared" si="42"/>
        <v>85.96</v>
      </c>
      <c r="I352" s="84">
        <f t="shared" si="43"/>
        <v>85.96</v>
      </c>
    </row>
    <row r="353" spans="1:9" ht="24" customHeight="1" x14ac:dyDescent="0.2">
      <c r="A353" s="26" t="s">
        <v>613</v>
      </c>
      <c r="B353" s="63" t="s">
        <v>487</v>
      </c>
      <c r="C353" s="64" t="s">
        <v>158</v>
      </c>
      <c r="D353" s="64" t="s">
        <v>488</v>
      </c>
      <c r="E353" s="65" t="s">
        <v>160</v>
      </c>
      <c r="F353" s="63">
        <v>10</v>
      </c>
      <c r="G353" s="66">
        <v>27.77</v>
      </c>
      <c r="H353" s="57">
        <f t="shared" si="42"/>
        <v>35.090000000000003</v>
      </c>
      <c r="I353" s="84">
        <f t="shared" si="43"/>
        <v>350.9</v>
      </c>
    </row>
    <row r="354" spans="1:9" ht="24" customHeight="1" x14ac:dyDescent="0.2">
      <c r="A354" s="26" t="s">
        <v>614</v>
      </c>
      <c r="B354" s="63" t="s">
        <v>487</v>
      </c>
      <c r="C354" s="64" t="s">
        <v>158</v>
      </c>
      <c r="D354" s="64" t="s">
        <v>490</v>
      </c>
      <c r="E354" s="65" t="s">
        <v>160</v>
      </c>
      <c r="F354" s="63">
        <v>3</v>
      </c>
      <c r="G354" s="66">
        <v>27.77</v>
      </c>
      <c r="H354" s="57">
        <f t="shared" si="42"/>
        <v>35.090000000000003</v>
      </c>
      <c r="I354" s="84">
        <f t="shared" si="43"/>
        <v>105.27</v>
      </c>
    </row>
    <row r="355" spans="1:9" ht="24" customHeight="1" x14ac:dyDescent="0.2">
      <c r="A355" s="26" t="s">
        <v>615</v>
      </c>
      <c r="B355" s="63" t="s">
        <v>492</v>
      </c>
      <c r="C355" s="64" t="s">
        <v>158</v>
      </c>
      <c r="D355" s="64" t="s">
        <v>616</v>
      </c>
      <c r="E355" s="65" t="s">
        <v>160</v>
      </c>
      <c r="F355" s="63">
        <v>6</v>
      </c>
      <c r="G355" s="66">
        <v>128.28</v>
      </c>
      <c r="H355" s="57">
        <f t="shared" si="42"/>
        <v>162.12</v>
      </c>
      <c r="I355" s="84">
        <f t="shared" si="43"/>
        <v>972.72</v>
      </c>
    </row>
    <row r="356" spans="1:9" ht="24" customHeight="1" x14ac:dyDescent="0.2">
      <c r="A356" s="26" t="s">
        <v>617</v>
      </c>
      <c r="B356" s="63" t="s">
        <v>494</v>
      </c>
      <c r="C356" s="64" t="s">
        <v>158</v>
      </c>
      <c r="D356" s="64" t="s">
        <v>495</v>
      </c>
      <c r="E356" s="65" t="s">
        <v>160</v>
      </c>
      <c r="F356" s="63">
        <v>12</v>
      </c>
      <c r="G356" s="66">
        <v>16.48</v>
      </c>
      <c r="H356" s="57">
        <f t="shared" si="42"/>
        <v>20.82</v>
      </c>
      <c r="I356" s="84">
        <f t="shared" si="43"/>
        <v>249.84</v>
      </c>
    </row>
    <row r="357" spans="1:9" ht="24" customHeight="1" x14ac:dyDescent="0.2">
      <c r="A357" s="26" t="s">
        <v>618</v>
      </c>
      <c r="B357" s="63" t="s">
        <v>407</v>
      </c>
      <c r="C357" s="64" t="s">
        <v>18</v>
      </c>
      <c r="D357" s="64" t="s">
        <v>408</v>
      </c>
      <c r="E357" s="65" t="s">
        <v>67</v>
      </c>
      <c r="F357" s="63">
        <v>1</v>
      </c>
      <c r="G357" s="66">
        <v>96.31</v>
      </c>
      <c r="H357" s="57">
        <f t="shared" si="42"/>
        <v>121.71</v>
      </c>
      <c r="I357" s="84">
        <f t="shared" si="43"/>
        <v>121.71</v>
      </c>
    </row>
    <row r="358" spans="1:9" ht="24" customHeight="1" x14ac:dyDescent="0.2">
      <c r="A358" s="26" t="s">
        <v>619</v>
      </c>
      <c r="B358" s="63" t="s">
        <v>620</v>
      </c>
      <c r="C358" s="64" t="s">
        <v>18</v>
      </c>
      <c r="D358" s="64" t="s">
        <v>705</v>
      </c>
      <c r="E358" s="65" t="s">
        <v>67</v>
      </c>
      <c r="F358" s="63">
        <v>15</v>
      </c>
      <c r="G358" s="66">
        <v>30.41</v>
      </c>
      <c r="H358" s="57">
        <f t="shared" si="42"/>
        <v>38.43</v>
      </c>
      <c r="I358" s="84">
        <f t="shared" si="43"/>
        <v>576.45000000000005</v>
      </c>
    </row>
    <row r="359" spans="1:9" ht="24" customHeight="1" x14ac:dyDescent="0.2">
      <c r="A359" s="26" t="s">
        <v>621</v>
      </c>
      <c r="B359" s="63" t="s">
        <v>416</v>
      </c>
      <c r="C359" s="64" t="s">
        <v>18</v>
      </c>
      <c r="D359" s="64" t="s">
        <v>417</v>
      </c>
      <c r="E359" s="65" t="s">
        <v>28</v>
      </c>
      <c r="F359" s="63">
        <v>300</v>
      </c>
      <c r="G359" s="66">
        <v>4.62</v>
      </c>
      <c r="H359" s="57">
        <f t="shared" si="42"/>
        <v>5.83</v>
      </c>
      <c r="I359" s="84">
        <f t="shared" si="43"/>
        <v>1749</v>
      </c>
    </row>
    <row r="360" spans="1:9" ht="24" customHeight="1" x14ac:dyDescent="0.2">
      <c r="A360" s="26" t="s">
        <v>622</v>
      </c>
      <c r="B360" s="63" t="s">
        <v>506</v>
      </c>
      <c r="C360" s="64" t="s">
        <v>18</v>
      </c>
      <c r="D360" s="64" t="s">
        <v>507</v>
      </c>
      <c r="E360" s="65" t="s">
        <v>67</v>
      </c>
      <c r="F360" s="63">
        <v>1</v>
      </c>
      <c r="G360" s="66">
        <v>21.5</v>
      </c>
      <c r="H360" s="57">
        <f t="shared" si="42"/>
        <v>27.17</v>
      </c>
      <c r="I360" s="84">
        <f t="shared" si="43"/>
        <v>27.17</v>
      </c>
    </row>
    <row r="361" spans="1:9" ht="24" customHeight="1" x14ac:dyDescent="0.2">
      <c r="A361" s="26" t="s">
        <v>623</v>
      </c>
      <c r="B361" s="63" t="s">
        <v>509</v>
      </c>
      <c r="C361" s="64" t="s">
        <v>18</v>
      </c>
      <c r="D361" s="64" t="s">
        <v>510</v>
      </c>
      <c r="E361" s="65" t="s">
        <v>67</v>
      </c>
      <c r="F361" s="63">
        <v>1</v>
      </c>
      <c r="G361" s="66">
        <v>11.38</v>
      </c>
      <c r="H361" s="57">
        <f t="shared" si="42"/>
        <v>14.38</v>
      </c>
      <c r="I361" s="84">
        <f t="shared" si="43"/>
        <v>14.38</v>
      </c>
    </row>
    <row r="362" spans="1:9" ht="24" customHeight="1" x14ac:dyDescent="0.2">
      <c r="A362" s="26" t="s">
        <v>624</v>
      </c>
      <c r="B362" s="63" t="s">
        <v>512</v>
      </c>
      <c r="C362" s="64" t="s">
        <v>18</v>
      </c>
      <c r="D362" s="64" t="s">
        <v>625</v>
      </c>
      <c r="E362" s="65" t="s">
        <v>67</v>
      </c>
      <c r="F362" s="63">
        <v>3</v>
      </c>
      <c r="G362" s="66">
        <v>25.53</v>
      </c>
      <c r="H362" s="57">
        <f t="shared" si="42"/>
        <v>32.26</v>
      </c>
      <c r="I362" s="84">
        <f t="shared" si="43"/>
        <v>96.78</v>
      </c>
    </row>
    <row r="363" spans="1:9" ht="24" customHeight="1" x14ac:dyDescent="0.2">
      <c r="A363" s="26" t="s">
        <v>626</v>
      </c>
      <c r="B363" s="63" t="s">
        <v>439</v>
      </c>
      <c r="C363" s="64" t="s">
        <v>158</v>
      </c>
      <c r="D363" s="64" t="s">
        <v>440</v>
      </c>
      <c r="E363" s="65" t="s">
        <v>160</v>
      </c>
      <c r="F363" s="63">
        <v>1</v>
      </c>
      <c r="G363" s="66">
        <v>45.59</v>
      </c>
      <c r="H363" s="57">
        <f t="shared" si="42"/>
        <v>57.61</v>
      </c>
      <c r="I363" s="84">
        <f t="shared" si="43"/>
        <v>57.61</v>
      </c>
    </row>
    <row r="364" spans="1:9" ht="24" customHeight="1" x14ac:dyDescent="0.2">
      <c r="A364" s="26" t="s">
        <v>627</v>
      </c>
      <c r="B364" s="63" t="s">
        <v>389</v>
      </c>
      <c r="C364" s="64" t="s">
        <v>18</v>
      </c>
      <c r="D364" s="64" t="s">
        <v>390</v>
      </c>
      <c r="E364" s="65" t="s">
        <v>28</v>
      </c>
      <c r="F364" s="63">
        <v>5</v>
      </c>
      <c r="G364" s="66">
        <v>15.17</v>
      </c>
      <c r="H364" s="57">
        <f t="shared" si="42"/>
        <v>19.170000000000002</v>
      </c>
      <c r="I364" s="84">
        <f t="shared" si="43"/>
        <v>95.85</v>
      </c>
    </row>
    <row r="365" spans="1:9" ht="24" customHeight="1" x14ac:dyDescent="0.2">
      <c r="A365" s="19" t="s">
        <v>628</v>
      </c>
      <c r="B365" s="112" t="s">
        <v>629</v>
      </c>
      <c r="C365" s="113"/>
      <c r="D365" s="113"/>
      <c r="E365" s="113"/>
      <c r="F365" s="113"/>
      <c r="G365" s="113"/>
      <c r="H365" s="88"/>
      <c r="I365" s="80">
        <f>SUM(I366:I385)</f>
        <v>32964.1</v>
      </c>
    </row>
    <row r="366" spans="1:9" ht="24" customHeight="1" x14ac:dyDescent="0.2">
      <c r="A366" s="26" t="s">
        <v>630</v>
      </c>
      <c r="B366" s="63" t="s">
        <v>459</v>
      </c>
      <c r="C366" s="64" t="s">
        <v>18</v>
      </c>
      <c r="D366" s="64" t="s">
        <v>460</v>
      </c>
      <c r="E366" s="65" t="s">
        <v>67</v>
      </c>
      <c r="F366" s="63">
        <v>11</v>
      </c>
      <c r="G366" s="66">
        <v>514.55999999999995</v>
      </c>
      <c r="H366" s="57">
        <f t="shared" ref="H366:H385" si="44">TRUNC(G366 * (1 + 26.38 / 100), 2)</f>
        <v>650.29999999999995</v>
      </c>
      <c r="I366" s="84">
        <f t="shared" ref="I366:I385" si="45">TRUNC(F366 * H366, 2)</f>
        <v>7153.3</v>
      </c>
    </row>
    <row r="367" spans="1:9" ht="24" customHeight="1" x14ac:dyDescent="0.2">
      <c r="A367" s="26" t="s">
        <v>631</v>
      </c>
      <c r="B367" s="63" t="s">
        <v>464</v>
      </c>
      <c r="C367" s="64" t="s">
        <v>332</v>
      </c>
      <c r="D367" s="64" t="s">
        <v>632</v>
      </c>
      <c r="E367" s="65" t="s">
        <v>160</v>
      </c>
      <c r="F367" s="63">
        <v>11</v>
      </c>
      <c r="G367" s="66">
        <v>160.47</v>
      </c>
      <c r="H367" s="57">
        <f t="shared" si="44"/>
        <v>202.8</v>
      </c>
      <c r="I367" s="84">
        <f t="shared" si="45"/>
        <v>2230.8000000000002</v>
      </c>
    </row>
    <row r="368" spans="1:9" ht="24" customHeight="1" x14ac:dyDescent="0.2">
      <c r="A368" s="26" t="s">
        <v>633</v>
      </c>
      <c r="B368" s="63" t="s">
        <v>466</v>
      </c>
      <c r="C368" s="64" t="s">
        <v>18</v>
      </c>
      <c r="D368" s="64" t="s">
        <v>467</v>
      </c>
      <c r="E368" s="65" t="s">
        <v>67</v>
      </c>
      <c r="F368" s="63">
        <v>11</v>
      </c>
      <c r="G368" s="66">
        <v>56.31</v>
      </c>
      <c r="H368" s="57">
        <f t="shared" si="44"/>
        <v>71.16</v>
      </c>
      <c r="I368" s="84">
        <f t="shared" si="45"/>
        <v>782.76</v>
      </c>
    </row>
    <row r="369" spans="1:9" ht="24" customHeight="1" x14ac:dyDescent="0.2">
      <c r="A369" s="26" t="s">
        <v>634</v>
      </c>
      <c r="B369" s="63" t="s">
        <v>368</v>
      </c>
      <c r="C369" s="64" t="s">
        <v>18</v>
      </c>
      <c r="D369" s="64" t="s">
        <v>369</v>
      </c>
      <c r="E369" s="65" t="s">
        <v>67</v>
      </c>
      <c r="F369" s="63">
        <v>11</v>
      </c>
      <c r="G369" s="66">
        <v>11.26</v>
      </c>
      <c r="H369" s="57">
        <f t="shared" si="44"/>
        <v>14.23</v>
      </c>
      <c r="I369" s="84">
        <f t="shared" si="45"/>
        <v>156.53</v>
      </c>
    </row>
    <row r="370" spans="1:9" ht="24" customHeight="1" x14ac:dyDescent="0.2">
      <c r="A370" s="26" t="s">
        <v>635</v>
      </c>
      <c r="B370" s="63" t="s">
        <v>470</v>
      </c>
      <c r="C370" s="64" t="s">
        <v>18</v>
      </c>
      <c r="D370" s="64" t="s">
        <v>471</v>
      </c>
      <c r="E370" s="65" t="s">
        <v>67</v>
      </c>
      <c r="F370" s="63">
        <v>11</v>
      </c>
      <c r="G370" s="66">
        <v>11.26</v>
      </c>
      <c r="H370" s="57">
        <f t="shared" si="44"/>
        <v>14.23</v>
      </c>
      <c r="I370" s="84">
        <f t="shared" si="45"/>
        <v>156.53</v>
      </c>
    </row>
    <row r="371" spans="1:9" ht="24" customHeight="1" x14ac:dyDescent="0.2">
      <c r="A371" s="26" t="s">
        <v>636</v>
      </c>
      <c r="B371" s="63" t="s">
        <v>473</v>
      </c>
      <c r="C371" s="64" t="s">
        <v>18</v>
      </c>
      <c r="D371" s="64" t="s">
        <v>474</v>
      </c>
      <c r="E371" s="65" t="s">
        <v>67</v>
      </c>
      <c r="F371" s="63">
        <v>11</v>
      </c>
      <c r="G371" s="66">
        <v>52.24</v>
      </c>
      <c r="H371" s="57">
        <f t="shared" si="44"/>
        <v>66.02</v>
      </c>
      <c r="I371" s="84">
        <f t="shared" si="45"/>
        <v>726.22</v>
      </c>
    </row>
    <row r="372" spans="1:9" ht="24" customHeight="1" x14ac:dyDescent="0.2">
      <c r="A372" s="26" t="s">
        <v>637</v>
      </c>
      <c r="B372" s="63" t="s">
        <v>479</v>
      </c>
      <c r="C372" s="64" t="s">
        <v>18</v>
      </c>
      <c r="D372" s="64" t="s">
        <v>480</v>
      </c>
      <c r="E372" s="65" t="s">
        <v>28</v>
      </c>
      <c r="F372" s="63">
        <v>33</v>
      </c>
      <c r="G372" s="66">
        <v>21.96</v>
      </c>
      <c r="H372" s="57">
        <f t="shared" si="44"/>
        <v>27.75</v>
      </c>
      <c r="I372" s="84">
        <f t="shared" si="45"/>
        <v>915.75</v>
      </c>
    </row>
    <row r="373" spans="1:9" ht="24" customHeight="1" x14ac:dyDescent="0.2">
      <c r="A373" s="26" t="s">
        <v>638</v>
      </c>
      <c r="B373" s="63" t="s">
        <v>445</v>
      </c>
      <c r="C373" s="64" t="s">
        <v>242</v>
      </c>
      <c r="D373" s="64" t="s">
        <v>446</v>
      </c>
      <c r="E373" s="65" t="s">
        <v>346</v>
      </c>
      <c r="F373" s="63">
        <v>11</v>
      </c>
      <c r="G373" s="66">
        <v>5.82</v>
      </c>
      <c r="H373" s="57">
        <f t="shared" si="44"/>
        <v>7.35</v>
      </c>
      <c r="I373" s="84">
        <f t="shared" si="45"/>
        <v>80.849999999999994</v>
      </c>
    </row>
    <row r="374" spans="1:9" ht="24" customHeight="1" x14ac:dyDescent="0.2">
      <c r="A374" s="26" t="s">
        <v>639</v>
      </c>
      <c r="B374" s="63" t="s">
        <v>476</v>
      </c>
      <c r="C374" s="64" t="s">
        <v>18</v>
      </c>
      <c r="D374" s="64" t="s">
        <v>477</v>
      </c>
      <c r="E374" s="65" t="s">
        <v>28</v>
      </c>
      <c r="F374" s="63">
        <v>254</v>
      </c>
      <c r="G374" s="66">
        <v>18.96</v>
      </c>
      <c r="H374" s="57">
        <f t="shared" si="44"/>
        <v>23.96</v>
      </c>
      <c r="I374" s="84">
        <f t="shared" si="45"/>
        <v>6085.84</v>
      </c>
    </row>
    <row r="375" spans="1:9" ht="24" customHeight="1" x14ac:dyDescent="0.2">
      <c r="A375" s="26" t="s">
        <v>640</v>
      </c>
      <c r="B375" s="63" t="s">
        <v>442</v>
      </c>
      <c r="C375" s="64" t="s">
        <v>242</v>
      </c>
      <c r="D375" s="64" t="s">
        <v>443</v>
      </c>
      <c r="E375" s="65" t="s">
        <v>346</v>
      </c>
      <c r="F375" s="63">
        <v>22</v>
      </c>
      <c r="G375" s="66">
        <v>4.9000000000000004</v>
      </c>
      <c r="H375" s="57">
        <f t="shared" si="44"/>
        <v>6.19</v>
      </c>
      <c r="I375" s="84">
        <f t="shared" si="45"/>
        <v>136.18</v>
      </c>
    </row>
    <row r="376" spans="1:9" ht="24" customHeight="1" x14ac:dyDescent="0.2">
      <c r="A376" s="26" t="s">
        <v>641</v>
      </c>
      <c r="B376" s="63" t="s">
        <v>642</v>
      </c>
      <c r="C376" s="64" t="s">
        <v>18</v>
      </c>
      <c r="D376" s="64" t="s">
        <v>706</v>
      </c>
      <c r="E376" s="65" t="s">
        <v>67</v>
      </c>
      <c r="F376" s="63">
        <v>11</v>
      </c>
      <c r="G376" s="66">
        <v>74.94</v>
      </c>
      <c r="H376" s="57">
        <f t="shared" si="44"/>
        <v>94.7</v>
      </c>
      <c r="I376" s="84">
        <f t="shared" si="45"/>
        <v>1041.7</v>
      </c>
    </row>
    <row r="377" spans="1:9" ht="24" customHeight="1" x14ac:dyDescent="0.2">
      <c r="A377" s="26" t="s">
        <v>643</v>
      </c>
      <c r="B377" s="63" t="s">
        <v>487</v>
      </c>
      <c r="C377" s="64" t="s">
        <v>158</v>
      </c>
      <c r="D377" s="64" t="s">
        <v>644</v>
      </c>
      <c r="E377" s="65" t="s">
        <v>160</v>
      </c>
      <c r="F377" s="63">
        <v>22</v>
      </c>
      <c r="G377" s="66">
        <v>27.77</v>
      </c>
      <c r="H377" s="57">
        <f t="shared" si="44"/>
        <v>35.090000000000003</v>
      </c>
      <c r="I377" s="84">
        <f t="shared" si="45"/>
        <v>771.98</v>
      </c>
    </row>
    <row r="378" spans="1:9" ht="24" customHeight="1" x14ac:dyDescent="0.2">
      <c r="A378" s="26" t="s">
        <v>645</v>
      </c>
      <c r="B378" s="63" t="s">
        <v>487</v>
      </c>
      <c r="C378" s="64" t="s">
        <v>158</v>
      </c>
      <c r="D378" s="64" t="s">
        <v>646</v>
      </c>
      <c r="E378" s="65" t="s">
        <v>160</v>
      </c>
      <c r="F378" s="63">
        <v>11</v>
      </c>
      <c r="G378" s="66">
        <v>27.77</v>
      </c>
      <c r="H378" s="57">
        <f t="shared" si="44"/>
        <v>35.090000000000003</v>
      </c>
      <c r="I378" s="84">
        <f t="shared" si="45"/>
        <v>385.99</v>
      </c>
    </row>
    <row r="379" spans="1:9" ht="24" customHeight="1" x14ac:dyDescent="0.2">
      <c r="A379" s="26" t="s">
        <v>647</v>
      </c>
      <c r="B379" s="63" t="s">
        <v>497</v>
      </c>
      <c r="C379" s="64" t="s">
        <v>18</v>
      </c>
      <c r="D379" s="64" t="s">
        <v>498</v>
      </c>
      <c r="E379" s="65" t="s">
        <v>67</v>
      </c>
      <c r="F379" s="63">
        <v>33</v>
      </c>
      <c r="G379" s="66">
        <v>30.73</v>
      </c>
      <c r="H379" s="57">
        <f t="shared" si="44"/>
        <v>38.83</v>
      </c>
      <c r="I379" s="84">
        <f t="shared" si="45"/>
        <v>1281.3900000000001</v>
      </c>
    </row>
    <row r="380" spans="1:9" ht="24" customHeight="1" x14ac:dyDescent="0.2">
      <c r="A380" s="26" t="s">
        <v>648</v>
      </c>
      <c r="B380" s="63" t="s">
        <v>500</v>
      </c>
      <c r="C380" s="64" t="s">
        <v>18</v>
      </c>
      <c r="D380" s="64" t="s">
        <v>501</v>
      </c>
      <c r="E380" s="65" t="s">
        <v>67</v>
      </c>
      <c r="F380" s="63">
        <v>33</v>
      </c>
      <c r="G380" s="66">
        <v>15.67</v>
      </c>
      <c r="H380" s="57">
        <f t="shared" si="44"/>
        <v>19.8</v>
      </c>
      <c r="I380" s="84">
        <f t="shared" si="45"/>
        <v>653.4</v>
      </c>
    </row>
    <row r="381" spans="1:9" ht="24" customHeight="1" x14ac:dyDescent="0.2">
      <c r="A381" s="26" t="s">
        <v>649</v>
      </c>
      <c r="B381" s="63" t="s">
        <v>503</v>
      </c>
      <c r="C381" s="64" t="s">
        <v>18</v>
      </c>
      <c r="D381" s="64" t="s">
        <v>650</v>
      </c>
      <c r="E381" s="65" t="s">
        <v>67</v>
      </c>
      <c r="F381" s="63">
        <v>41</v>
      </c>
      <c r="G381" s="66">
        <v>24.61</v>
      </c>
      <c r="H381" s="57">
        <f t="shared" si="44"/>
        <v>31.1</v>
      </c>
      <c r="I381" s="84">
        <f t="shared" si="45"/>
        <v>1275.0999999999999</v>
      </c>
    </row>
    <row r="382" spans="1:9" ht="24" customHeight="1" x14ac:dyDescent="0.2">
      <c r="A382" s="26" t="s">
        <v>651</v>
      </c>
      <c r="B382" s="63" t="s">
        <v>416</v>
      </c>
      <c r="C382" s="64" t="s">
        <v>18</v>
      </c>
      <c r="D382" s="64" t="s">
        <v>417</v>
      </c>
      <c r="E382" s="65" t="s">
        <v>28</v>
      </c>
      <c r="F382" s="63">
        <v>1305</v>
      </c>
      <c r="G382" s="66">
        <v>4.62</v>
      </c>
      <c r="H382" s="57">
        <f t="shared" si="44"/>
        <v>5.83</v>
      </c>
      <c r="I382" s="84">
        <f t="shared" si="45"/>
        <v>7608.15</v>
      </c>
    </row>
    <row r="383" spans="1:9" ht="24" customHeight="1" x14ac:dyDescent="0.2">
      <c r="A383" s="26" t="s">
        <v>652</v>
      </c>
      <c r="B383" s="63" t="s">
        <v>506</v>
      </c>
      <c r="C383" s="64" t="s">
        <v>18</v>
      </c>
      <c r="D383" s="64" t="s">
        <v>507</v>
      </c>
      <c r="E383" s="65" t="s">
        <v>67</v>
      </c>
      <c r="F383" s="63">
        <v>11</v>
      </c>
      <c r="G383" s="66">
        <v>21.5</v>
      </c>
      <c r="H383" s="57">
        <f t="shared" si="44"/>
        <v>27.17</v>
      </c>
      <c r="I383" s="84">
        <f t="shared" si="45"/>
        <v>298.87</v>
      </c>
    </row>
    <row r="384" spans="1:9" ht="24" customHeight="1" x14ac:dyDescent="0.2">
      <c r="A384" s="26" t="s">
        <v>653</v>
      </c>
      <c r="B384" s="63" t="s">
        <v>509</v>
      </c>
      <c r="C384" s="64" t="s">
        <v>18</v>
      </c>
      <c r="D384" s="64" t="s">
        <v>510</v>
      </c>
      <c r="E384" s="65" t="s">
        <v>67</v>
      </c>
      <c r="F384" s="63">
        <v>11</v>
      </c>
      <c r="G384" s="66">
        <v>11.38</v>
      </c>
      <c r="H384" s="57">
        <f t="shared" si="44"/>
        <v>14.38</v>
      </c>
      <c r="I384" s="84">
        <f t="shared" si="45"/>
        <v>158.18</v>
      </c>
    </row>
    <row r="385" spans="1:10" ht="24" customHeight="1" x14ac:dyDescent="0.2">
      <c r="A385" s="26" t="s">
        <v>654</v>
      </c>
      <c r="B385" s="63" t="s">
        <v>512</v>
      </c>
      <c r="C385" s="64" t="s">
        <v>18</v>
      </c>
      <c r="D385" s="64" t="s">
        <v>625</v>
      </c>
      <c r="E385" s="65" t="s">
        <v>67</v>
      </c>
      <c r="F385" s="63">
        <v>33</v>
      </c>
      <c r="G385" s="66">
        <v>25.53</v>
      </c>
      <c r="H385" s="57">
        <f t="shared" si="44"/>
        <v>32.26</v>
      </c>
      <c r="I385" s="84">
        <f t="shared" si="45"/>
        <v>1064.58</v>
      </c>
    </row>
    <row r="386" spans="1:10" ht="39" customHeight="1" x14ac:dyDescent="0.25">
      <c r="A386" s="142" t="s">
        <v>834</v>
      </c>
      <c r="B386" s="142"/>
      <c r="C386" s="142"/>
      <c r="D386" s="143">
        <f>I5+I7+I157+I159+I191</f>
        <v>497697.39</v>
      </c>
      <c r="E386" s="143"/>
      <c r="F386" s="143"/>
      <c r="G386" s="143"/>
      <c r="H386" s="143"/>
      <c r="I386" s="143"/>
    </row>
    <row r="387" spans="1:10" x14ac:dyDescent="0.2">
      <c r="A387" s="27"/>
      <c r="B387" s="27"/>
      <c r="C387" s="27"/>
      <c r="D387" s="27"/>
      <c r="E387" s="27"/>
      <c r="F387" s="27"/>
      <c r="G387" s="27"/>
      <c r="I387" s="85"/>
    </row>
    <row r="388" spans="1:10" ht="13.5" customHeight="1" x14ac:dyDescent="0.2">
      <c r="A388" s="144"/>
      <c r="B388" s="144"/>
      <c r="C388" s="144"/>
      <c r="D388" s="28"/>
      <c r="E388" s="137"/>
      <c r="F388" s="137"/>
      <c r="G388" s="29"/>
      <c r="I388" s="73"/>
      <c r="J388" s="1"/>
    </row>
    <row r="389" spans="1:10" ht="13.5" customHeight="1" x14ac:dyDescent="0.2">
      <c r="A389" s="144"/>
      <c r="B389" s="144"/>
      <c r="C389" s="144"/>
      <c r="D389" s="30"/>
      <c r="E389" s="137"/>
      <c r="F389" s="137"/>
      <c r="G389" s="29"/>
      <c r="I389" s="73"/>
      <c r="J389" s="1"/>
    </row>
    <row r="390" spans="1:10" ht="13.5" customHeight="1" x14ac:dyDescent="0.2">
      <c r="D390" s="30"/>
      <c r="E390" s="137"/>
      <c r="F390" s="137"/>
      <c r="G390" s="29"/>
      <c r="I390" s="73"/>
      <c r="J390" s="1"/>
    </row>
    <row r="392" spans="1:10" ht="13.5" customHeight="1" x14ac:dyDescent="0.2">
      <c r="D392" s="31"/>
      <c r="E392" s="145"/>
      <c r="F392" s="145"/>
    </row>
    <row r="393" spans="1:10" ht="13.5" customHeight="1" x14ac:dyDescent="0.2">
      <c r="E393" s="145"/>
      <c r="F393" s="145"/>
    </row>
    <row r="394" spans="1:10" ht="13.5" customHeight="1" x14ac:dyDescent="0.2">
      <c r="E394" s="145"/>
      <c r="F394" s="145"/>
    </row>
    <row r="395" spans="1:10" x14ac:dyDescent="0.2">
      <c r="F395" s="4"/>
    </row>
    <row r="397" spans="1:10" ht="13.5" customHeight="1" x14ac:dyDescent="0.2">
      <c r="D397" s="31"/>
      <c r="E397" s="146"/>
      <c r="F397" s="146"/>
      <c r="G397" s="32"/>
      <c r="I397" s="87"/>
    </row>
    <row r="398" spans="1:10" ht="13.5" customHeight="1" x14ac:dyDescent="0.2">
      <c r="E398" s="146"/>
      <c r="F398" s="146"/>
      <c r="G398" s="32"/>
      <c r="I398" s="87"/>
    </row>
    <row r="399" spans="1:10" ht="13.5" customHeight="1" x14ac:dyDescent="0.2">
      <c r="E399" s="146"/>
      <c r="F399" s="146"/>
      <c r="G399" s="32"/>
      <c r="I399" s="87"/>
    </row>
    <row r="400" spans="1:10" x14ac:dyDescent="0.2">
      <c r="E400" s="146"/>
      <c r="F400" s="146"/>
      <c r="G400" s="147"/>
      <c r="H400" s="147"/>
      <c r="I400" s="148"/>
    </row>
  </sheetData>
  <mergeCells count="65">
    <mergeCell ref="E397:F399"/>
    <mergeCell ref="E400:F400"/>
    <mergeCell ref="G400:I400"/>
    <mergeCell ref="A389:C389"/>
    <mergeCell ref="E390:F390"/>
    <mergeCell ref="E392:F392"/>
    <mergeCell ref="E393:F393"/>
    <mergeCell ref="E394:F394"/>
    <mergeCell ref="A386:C386"/>
    <mergeCell ref="D386:I386"/>
    <mergeCell ref="A388:C388"/>
    <mergeCell ref="E388:F388"/>
    <mergeCell ref="E389:F389"/>
    <mergeCell ref="B5:H5"/>
    <mergeCell ref="B7:H7"/>
    <mergeCell ref="B157:H157"/>
    <mergeCell ref="B159:H159"/>
    <mergeCell ref="B19:H19"/>
    <mergeCell ref="B8:H8"/>
    <mergeCell ref="B11:H11"/>
    <mergeCell ref="B25:H25"/>
    <mergeCell ref="B29:H29"/>
    <mergeCell ref="B38:H38"/>
    <mergeCell ref="B45:H45"/>
    <mergeCell ref="B55:H55"/>
    <mergeCell ref="B57:H57"/>
    <mergeCell ref="E1:F1"/>
    <mergeCell ref="G1:H1"/>
    <mergeCell ref="E2:F2"/>
    <mergeCell ref="G2:H2"/>
    <mergeCell ref="A3:I3"/>
    <mergeCell ref="B58:H58"/>
    <mergeCell ref="B68:H68"/>
    <mergeCell ref="B73:H73"/>
    <mergeCell ref="B79:H79"/>
    <mergeCell ref="B84:H84"/>
    <mergeCell ref="B85:H85"/>
    <mergeCell ref="B95:H95"/>
    <mergeCell ref="B100:H100"/>
    <mergeCell ref="B105:H105"/>
    <mergeCell ref="B106:H106"/>
    <mergeCell ref="B119:H119"/>
    <mergeCell ref="B128:H128"/>
    <mergeCell ref="B137:H137"/>
    <mergeCell ref="B147:H147"/>
    <mergeCell ref="B154:H154"/>
    <mergeCell ref="B160:H160"/>
    <mergeCell ref="B162:H162"/>
    <mergeCell ref="B170:H170"/>
    <mergeCell ref="B179:H179"/>
    <mergeCell ref="B184:H184"/>
    <mergeCell ref="B217:H217"/>
    <mergeCell ref="B218:H218"/>
    <mergeCell ref="B253:H253"/>
    <mergeCell ref="B186:H186"/>
    <mergeCell ref="B189:H189"/>
    <mergeCell ref="B191:H191"/>
    <mergeCell ref="B192:H192"/>
    <mergeCell ref="B193:H193"/>
    <mergeCell ref="B365:G365"/>
    <mergeCell ref="B277:H277"/>
    <mergeCell ref="B278:H278"/>
    <mergeCell ref="B302:H302"/>
    <mergeCell ref="B303:H303"/>
    <mergeCell ref="B340:H340"/>
  </mergeCells>
  <phoneticPr fontId="14" type="noConversion"/>
  <hyperlinks>
    <hyperlink ref="B12" r:id="rId1" display="https://app.orcafascio.com/banco/sinapi/composicoes/689cd5c3cee2be6965244741?estado_sinapi=RS" xr:uid="{00000000-0004-0000-0000-000000000000}"/>
  </hyperlinks>
  <pageMargins left="0.5" right="0.5" top="1" bottom="1" header="0.5" footer="0.5"/>
  <pageSetup paperSize="9" scale="44" fitToHeight="0" orientation="portrait" r:id="rId2"/>
  <headerFooter>
    <oddHeader>&amp;L</oddHeader>
    <oddFooter>&amp;L</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D5D663-FF6B-4643-9DD0-1553FFE81D80}">
  <sheetPr>
    <pageSetUpPr fitToPage="1"/>
  </sheetPr>
  <dimension ref="A1:K20"/>
  <sheetViews>
    <sheetView workbookViewId="0">
      <selection activeCell="H18" sqref="A1:H18"/>
    </sheetView>
  </sheetViews>
  <sheetFormatPr defaultRowHeight="14.25" x14ac:dyDescent="0.2"/>
  <cols>
    <col min="1" max="1" width="20" bestFit="1" customWidth="1"/>
    <col min="2" max="2" width="60" bestFit="1" customWidth="1"/>
    <col min="3" max="3" width="20" bestFit="1" customWidth="1"/>
    <col min="4" max="8" width="12.5" bestFit="1" customWidth="1"/>
    <col min="9" max="30" width="12" bestFit="1" customWidth="1"/>
  </cols>
  <sheetData>
    <row r="1" spans="1:11" ht="15" x14ac:dyDescent="0.2">
      <c r="A1" s="89"/>
      <c r="B1" s="89" t="s">
        <v>0</v>
      </c>
      <c r="C1" s="89" t="s">
        <v>1</v>
      </c>
      <c r="D1" s="154" t="s">
        <v>2</v>
      </c>
      <c r="E1" s="154"/>
      <c r="F1" s="154" t="s">
        <v>3</v>
      </c>
      <c r="G1" s="154"/>
    </row>
    <row r="2" spans="1:11" ht="15" x14ac:dyDescent="0.25">
      <c r="A2" s="155" t="s">
        <v>836</v>
      </c>
      <c r="B2" s="148"/>
      <c r="C2" s="148"/>
      <c r="D2" s="148"/>
      <c r="E2" s="148"/>
      <c r="F2" s="148"/>
      <c r="G2" s="148"/>
    </row>
    <row r="3" spans="1:11" ht="15" x14ac:dyDescent="0.2">
      <c r="A3" s="100" t="s">
        <v>6</v>
      </c>
      <c r="B3" s="100" t="s">
        <v>9</v>
      </c>
      <c r="C3" s="101" t="s">
        <v>837</v>
      </c>
      <c r="D3" s="101" t="s">
        <v>838</v>
      </c>
      <c r="E3" s="101" t="s">
        <v>839</v>
      </c>
      <c r="F3" s="101" t="s">
        <v>840</v>
      </c>
      <c r="G3" s="101" t="s">
        <v>841</v>
      </c>
      <c r="H3" s="101" t="s">
        <v>842</v>
      </c>
    </row>
    <row r="4" spans="1:11" ht="25.5" x14ac:dyDescent="0.2">
      <c r="A4" s="151" t="s">
        <v>15</v>
      </c>
      <c r="B4" s="152" t="s">
        <v>16</v>
      </c>
      <c r="C4" s="95" t="s">
        <v>854</v>
      </c>
      <c r="D4" s="102">
        <v>1</v>
      </c>
      <c r="E4" s="94" t="s">
        <v>843</v>
      </c>
      <c r="F4" s="94" t="s">
        <v>843</v>
      </c>
      <c r="G4" s="94" t="s">
        <v>843</v>
      </c>
      <c r="H4" s="94" t="s">
        <v>843</v>
      </c>
      <c r="J4" s="70">
        <v>1165.77</v>
      </c>
    </row>
    <row r="5" spans="1:11" x14ac:dyDescent="0.2">
      <c r="A5" s="151"/>
      <c r="B5" s="152"/>
      <c r="C5" s="103">
        <f>J4</f>
        <v>1165.77</v>
      </c>
      <c r="D5" s="104">
        <v>1165.77</v>
      </c>
      <c r="E5" s="106"/>
      <c r="F5" s="106"/>
      <c r="G5" s="106"/>
      <c r="H5" s="106"/>
      <c r="J5" s="93"/>
    </row>
    <row r="6" spans="1:11" ht="25.5" x14ac:dyDescent="0.2">
      <c r="A6" s="151" t="s">
        <v>21</v>
      </c>
      <c r="B6" s="152" t="s">
        <v>22</v>
      </c>
      <c r="C6" s="95" t="s">
        <v>854</v>
      </c>
      <c r="D6" s="102">
        <v>0.2</v>
      </c>
      <c r="E6" s="102">
        <v>0.2</v>
      </c>
      <c r="F6" s="102">
        <v>0.2</v>
      </c>
      <c r="G6" s="102">
        <v>0.2</v>
      </c>
      <c r="H6" s="102">
        <v>0.2</v>
      </c>
      <c r="J6">
        <f>'Orçamento Sintético'!I7</f>
        <v>221464.10000000003</v>
      </c>
      <c r="K6">
        <f>J6/5</f>
        <v>44292.820000000007</v>
      </c>
    </row>
    <row r="7" spans="1:11" x14ac:dyDescent="0.2">
      <c r="A7" s="151"/>
      <c r="B7" s="152"/>
      <c r="C7" s="103">
        <f>J6</f>
        <v>221464.10000000003</v>
      </c>
      <c r="D7" s="105">
        <v>44292.820000000007</v>
      </c>
      <c r="E7" s="105">
        <v>44292.820000000007</v>
      </c>
      <c r="F7" s="105">
        <v>44292.820000000007</v>
      </c>
      <c r="G7" s="105">
        <v>44292.820000000007</v>
      </c>
      <c r="H7" s="105">
        <v>44292.820000000007</v>
      </c>
      <c r="K7">
        <f>K6*5</f>
        <v>221464.10000000003</v>
      </c>
    </row>
    <row r="8" spans="1:11" ht="25.5" x14ac:dyDescent="0.2">
      <c r="A8" s="151" t="s">
        <v>844</v>
      </c>
      <c r="B8" s="152" t="s">
        <v>195</v>
      </c>
      <c r="C8" s="95" t="s">
        <v>854</v>
      </c>
      <c r="D8" s="94"/>
      <c r="E8" s="94"/>
      <c r="F8" s="102">
        <v>0.5</v>
      </c>
      <c r="G8" s="102">
        <v>0.5</v>
      </c>
      <c r="H8" s="94"/>
      <c r="J8">
        <f>'Orçamento Sintético'!I157</f>
        <v>90045.75</v>
      </c>
      <c r="K8">
        <f>J8/2</f>
        <v>45022.875</v>
      </c>
    </row>
    <row r="9" spans="1:11" x14ac:dyDescent="0.2">
      <c r="A9" s="151"/>
      <c r="B9" s="152"/>
      <c r="C9" s="103">
        <v>90045.75</v>
      </c>
      <c r="D9" s="106"/>
      <c r="E9" s="106"/>
      <c r="F9" s="104">
        <v>45022.875</v>
      </c>
      <c r="G9" s="104">
        <v>45022.875</v>
      </c>
      <c r="H9" s="106"/>
    </row>
    <row r="10" spans="1:11" ht="25.5" x14ac:dyDescent="0.2">
      <c r="A10" s="151" t="s">
        <v>845</v>
      </c>
      <c r="B10" s="153" t="s">
        <v>852</v>
      </c>
      <c r="C10" s="95" t="s">
        <v>854</v>
      </c>
      <c r="D10" s="107">
        <v>0.5</v>
      </c>
      <c r="E10" s="107">
        <v>0.5</v>
      </c>
      <c r="F10" s="108"/>
      <c r="G10" s="109"/>
      <c r="H10" s="108" t="s">
        <v>843</v>
      </c>
      <c r="J10">
        <f>'Orçamento Sintético'!I159</f>
        <v>48888.489999999991</v>
      </c>
      <c r="K10">
        <f>J10/2</f>
        <v>24444.244999999995</v>
      </c>
    </row>
    <row r="11" spans="1:11" x14ac:dyDescent="0.2">
      <c r="A11" s="151"/>
      <c r="B11" s="153"/>
      <c r="C11" s="103">
        <v>48888.489999999991</v>
      </c>
      <c r="D11" s="110">
        <v>24444.244999999995</v>
      </c>
      <c r="E11" s="110">
        <v>24444.244999999995</v>
      </c>
      <c r="F11" s="111"/>
      <c r="G11" s="109"/>
      <c r="H11" s="111"/>
    </row>
    <row r="12" spans="1:11" x14ac:dyDescent="0.2">
      <c r="A12" s="151" t="s">
        <v>846</v>
      </c>
      <c r="B12" s="152" t="s">
        <v>853</v>
      </c>
      <c r="C12" s="99">
        <v>1</v>
      </c>
      <c r="D12" s="107">
        <v>0.2</v>
      </c>
      <c r="E12" s="107">
        <v>0.2</v>
      </c>
      <c r="F12" s="107">
        <v>0.2</v>
      </c>
      <c r="G12" s="107">
        <v>0.2</v>
      </c>
      <c r="H12" s="107">
        <v>0.2</v>
      </c>
      <c r="J12">
        <f>'Orçamento Sintético'!I191</f>
        <v>136133.28</v>
      </c>
      <c r="K12">
        <f>J12/5</f>
        <v>27226.655999999999</v>
      </c>
    </row>
    <row r="13" spans="1:11" ht="18.75" customHeight="1" x14ac:dyDescent="0.2">
      <c r="A13" s="151"/>
      <c r="B13" s="152"/>
      <c r="C13" s="103">
        <v>136133.28</v>
      </c>
      <c r="D13" s="110">
        <v>27226.655999999999</v>
      </c>
      <c r="E13" s="110">
        <v>27226.655999999999</v>
      </c>
      <c r="F13" s="110">
        <v>27226.655999999999</v>
      </c>
      <c r="G13" s="110">
        <v>27226.655999999999</v>
      </c>
      <c r="H13" s="110">
        <v>27226.655999999999</v>
      </c>
    </row>
    <row r="14" spans="1:11" x14ac:dyDescent="0.2">
      <c r="A14" s="149" t="s">
        <v>847</v>
      </c>
      <c r="B14" s="149"/>
      <c r="C14" s="90"/>
      <c r="D14" s="96">
        <f>D15/$H$17</f>
        <v>0.19515772626414613</v>
      </c>
      <c r="E14" s="96">
        <f t="shared" ref="E14:H14" si="0">E15/$H$17</f>
        <v>0.19281539933331776</v>
      </c>
      <c r="F14" s="96">
        <f t="shared" si="0"/>
        <v>0.23416307447382834</v>
      </c>
      <c r="G14" s="96">
        <f t="shared" si="0"/>
        <v>0.23416307447382834</v>
      </c>
      <c r="H14" s="96">
        <f t="shared" si="0"/>
        <v>0.14370072545487933</v>
      </c>
    </row>
    <row r="15" spans="1:11" x14ac:dyDescent="0.2">
      <c r="A15" s="149" t="s">
        <v>848</v>
      </c>
      <c r="B15" s="149"/>
      <c r="C15" s="90"/>
      <c r="D15" s="97">
        <f>D5+D7+D11+D13</f>
        <v>97129.490999999995</v>
      </c>
      <c r="E15" s="97">
        <f>E5+E7+E9+E11+E13</f>
        <v>95963.721000000005</v>
      </c>
      <c r="F15" s="97">
        <f>F5+F7+F9+F11+F13</f>
        <v>116542.35100000001</v>
      </c>
      <c r="G15" s="98">
        <f>G5+G7+G9+G11+G13</f>
        <v>116542.35100000001</v>
      </c>
      <c r="H15" s="98">
        <f>H5+H7+H9+H11+H13</f>
        <v>71519.47600000001</v>
      </c>
    </row>
    <row r="16" spans="1:11" x14ac:dyDescent="0.2">
      <c r="A16" s="149" t="s">
        <v>849</v>
      </c>
      <c r="B16" s="149"/>
      <c r="C16" s="90"/>
      <c r="D16" s="96">
        <f>D14</f>
        <v>0.19515772626414613</v>
      </c>
      <c r="E16" s="96">
        <f>D16+E14</f>
        <v>0.38797312559746389</v>
      </c>
      <c r="F16" s="96">
        <f t="shared" ref="F16:H16" si="1">E16+F14</f>
        <v>0.62213620007129222</v>
      </c>
      <c r="G16" s="96">
        <f t="shared" si="1"/>
        <v>0.85629927454512056</v>
      </c>
      <c r="H16" s="96">
        <f t="shared" si="1"/>
        <v>0.99999999999999989</v>
      </c>
    </row>
    <row r="17" spans="1:8" x14ac:dyDescent="0.2">
      <c r="A17" s="149" t="s">
        <v>850</v>
      </c>
      <c r="B17" s="149"/>
      <c r="C17" s="90"/>
      <c r="D17" s="97">
        <f>D15</f>
        <v>97129.490999999995</v>
      </c>
      <c r="E17" s="97">
        <f>E15+D17</f>
        <v>193093.212</v>
      </c>
      <c r="F17" s="97">
        <f t="shared" ref="F17:H17" si="2">F15+E17</f>
        <v>309635.56300000002</v>
      </c>
      <c r="G17" s="97">
        <f t="shared" si="2"/>
        <v>426177.91400000005</v>
      </c>
      <c r="H17" s="97">
        <f t="shared" si="2"/>
        <v>497697.39000000007</v>
      </c>
    </row>
    <row r="18" spans="1:8" x14ac:dyDescent="0.2">
      <c r="A18" s="91"/>
      <c r="B18" s="91"/>
      <c r="C18" s="91"/>
      <c r="D18" s="91"/>
      <c r="E18" s="91"/>
      <c r="F18" s="91"/>
      <c r="G18" s="91"/>
    </row>
    <row r="19" spans="1:8" ht="60" customHeight="1" x14ac:dyDescent="0.2">
      <c r="A19" s="92"/>
      <c r="B19" s="92"/>
      <c r="C19" s="92"/>
      <c r="D19" s="92"/>
      <c r="E19" s="92"/>
      <c r="F19" s="92"/>
      <c r="G19" s="92"/>
    </row>
    <row r="20" spans="1:8" ht="70.150000000000006" customHeight="1" x14ac:dyDescent="0.2">
      <c r="A20" s="150" t="s">
        <v>851</v>
      </c>
      <c r="B20" s="148"/>
      <c r="C20" s="148"/>
      <c r="D20" s="148"/>
      <c r="E20" s="148"/>
      <c r="F20" s="148"/>
      <c r="G20" s="148"/>
    </row>
  </sheetData>
  <mergeCells count="18">
    <mergeCell ref="D1:E1"/>
    <mergeCell ref="F1:G1"/>
    <mergeCell ref="A2:G2"/>
    <mergeCell ref="A14:B14"/>
    <mergeCell ref="A6:A7"/>
    <mergeCell ref="A8:A9"/>
    <mergeCell ref="A10:A11"/>
    <mergeCell ref="A12:A13"/>
    <mergeCell ref="A15:B15"/>
    <mergeCell ref="A16:B16"/>
    <mergeCell ref="A17:B17"/>
    <mergeCell ref="A20:G20"/>
    <mergeCell ref="A4:A5"/>
    <mergeCell ref="B4:B5"/>
    <mergeCell ref="B6:B7"/>
    <mergeCell ref="B8:B9"/>
    <mergeCell ref="B10:B11"/>
    <mergeCell ref="B12:B13"/>
  </mergeCells>
  <pageMargins left="0.511811024" right="0.511811024" top="0.78740157499999996" bottom="0.78740157499999996" header="0.31496062000000002" footer="0.31496062000000002"/>
  <pageSetup paperSize="9" scale="7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8"/>
  <sheetViews>
    <sheetView showOutlineSymbols="0" zoomScaleNormal="100" workbookViewId="0">
      <selection activeCell="H8" sqref="H8"/>
    </sheetView>
  </sheetViews>
  <sheetFormatPr defaultColWidth="8.625" defaultRowHeight="14.25" x14ac:dyDescent="0.2"/>
  <cols>
    <col min="3" max="3" width="59" customWidth="1"/>
    <col min="4" max="4" width="31.25" bestFit="1" customWidth="1"/>
    <col min="6" max="6" width="10.875" customWidth="1"/>
    <col min="7" max="7" width="10" customWidth="1"/>
    <col min="8" max="8" width="10.75" customWidth="1"/>
  </cols>
  <sheetData>
    <row r="1" spans="1:8" ht="15" x14ac:dyDescent="0.25">
      <c r="C1" s="156" t="s">
        <v>655</v>
      </c>
      <c r="D1" s="156"/>
      <c r="E1" s="156"/>
      <c r="F1" s="156"/>
      <c r="G1" s="156"/>
      <c r="H1" s="156"/>
    </row>
    <row r="2" spans="1:8" ht="42.75" x14ac:dyDescent="0.2">
      <c r="C2" s="33" t="s">
        <v>656</v>
      </c>
      <c r="D2" s="34"/>
      <c r="E2" s="34" t="s">
        <v>657</v>
      </c>
      <c r="F2" s="13" t="s">
        <v>658</v>
      </c>
      <c r="G2" s="34" t="s">
        <v>659</v>
      </c>
      <c r="H2" s="13" t="s">
        <v>660</v>
      </c>
    </row>
    <row r="3" spans="1:8" x14ac:dyDescent="0.2">
      <c r="A3" t="s">
        <v>661</v>
      </c>
      <c r="B3">
        <v>88309</v>
      </c>
      <c r="C3" s="13" t="s">
        <v>662</v>
      </c>
      <c r="D3" s="34" t="s">
        <v>663</v>
      </c>
      <c r="E3" s="34" t="s">
        <v>664</v>
      </c>
      <c r="F3" s="37">
        <v>28.14</v>
      </c>
      <c r="G3" s="34">
        <v>1.0104139000000001</v>
      </c>
      <c r="H3" s="34">
        <f>TRUNC(F3*G3,2)</f>
        <v>28.43</v>
      </c>
    </row>
    <row r="4" spans="1:8" x14ac:dyDescent="0.2">
      <c r="A4" t="s">
        <v>661</v>
      </c>
      <c r="B4">
        <v>88316</v>
      </c>
      <c r="C4" s="13" t="s">
        <v>665</v>
      </c>
      <c r="D4" s="34" t="s">
        <v>663</v>
      </c>
      <c r="E4" s="34" t="s">
        <v>664</v>
      </c>
      <c r="F4" s="37">
        <v>23.48</v>
      </c>
      <c r="G4" s="34">
        <v>0.50520690000000001</v>
      </c>
      <c r="H4" s="34">
        <f>TRUNC(F4*G4,2)</f>
        <v>11.86</v>
      </c>
    </row>
    <row r="5" spans="1:8" ht="28.5" x14ac:dyDescent="0.2">
      <c r="A5" t="s">
        <v>666</v>
      </c>
      <c r="B5" t="s">
        <v>196</v>
      </c>
      <c r="C5" s="13" t="s">
        <v>667</v>
      </c>
      <c r="D5" s="34" t="s">
        <v>668</v>
      </c>
      <c r="E5" s="34" t="s">
        <v>67</v>
      </c>
      <c r="F5" s="34"/>
      <c r="G5" s="34"/>
      <c r="H5" s="34">
        <v>124.9</v>
      </c>
    </row>
    <row r="6" spans="1:8" ht="42.75" x14ac:dyDescent="0.2">
      <c r="A6" t="s">
        <v>666</v>
      </c>
      <c r="B6">
        <v>4377</v>
      </c>
      <c r="C6" s="13" t="s">
        <v>669</v>
      </c>
      <c r="D6" s="34" t="s">
        <v>668</v>
      </c>
      <c r="E6" s="34" t="s">
        <v>67</v>
      </c>
      <c r="F6" s="38">
        <v>0.16</v>
      </c>
      <c r="G6" s="34">
        <v>24.4</v>
      </c>
      <c r="H6" s="34">
        <f>TRUNC(F6*G6,2)</f>
        <v>3.9</v>
      </c>
    </row>
    <row r="7" spans="1:8" x14ac:dyDescent="0.2">
      <c r="A7" t="s">
        <v>666</v>
      </c>
      <c r="B7">
        <v>39961</v>
      </c>
      <c r="C7" s="13" t="s">
        <v>670</v>
      </c>
      <c r="D7" s="34" t="s">
        <v>668</v>
      </c>
      <c r="E7" s="34" t="s">
        <v>67</v>
      </c>
      <c r="F7" s="38">
        <v>23.23</v>
      </c>
      <c r="G7" s="34">
        <v>1.16875</v>
      </c>
      <c r="H7" s="34">
        <f>TRUNC(F7*G7,2)</f>
        <v>27.15</v>
      </c>
    </row>
    <row r="8" spans="1:8" ht="15" x14ac:dyDescent="0.2">
      <c r="C8" s="35"/>
      <c r="D8" s="35"/>
      <c r="E8" s="35"/>
      <c r="F8" s="35"/>
      <c r="G8" s="34" t="s">
        <v>671</v>
      </c>
      <c r="H8" s="36">
        <f>SUM(H3:H7)</f>
        <v>196.24</v>
      </c>
    </row>
  </sheetData>
  <mergeCells count="1">
    <mergeCell ref="C1:H1"/>
  </mergeCells>
  <pageMargins left="0.51180555555555596" right="0.51180555555555596" top="0.78749999999999998" bottom="0.78749999999999998" header="0.511811023622047" footer="0.511811023622047"/>
  <pageSetup paperSize="9" orientation="portrait" horizontalDpi="300" verticalDpi="300"/>
  <drawing r:id="rId1"/>
</worksheet>
</file>

<file path=docProps/app.xml><?xml version="1.0" encoding="utf-8"?>
<Properties xmlns="http://schemas.openxmlformats.org/officeDocument/2006/extended-properties" xmlns:vt="http://schemas.openxmlformats.org/officeDocument/2006/docPropsVTypes">
  <Template/>
  <TotalTime>16</TotalTime>
  <Application>Microsoft Excel</Application>
  <DocSecurity>0</DocSecurity>
  <ScaleCrop>false</ScaleCrop>
  <HeadingPairs>
    <vt:vector size="4" baseType="variant">
      <vt:variant>
        <vt:lpstr>Planilhas</vt:lpstr>
      </vt:variant>
      <vt:variant>
        <vt:i4>3</vt:i4>
      </vt:variant>
      <vt:variant>
        <vt:lpstr>Intervalos Nomeados</vt:lpstr>
      </vt:variant>
      <vt:variant>
        <vt:i4>2</vt:i4>
      </vt:variant>
    </vt:vector>
  </HeadingPairs>
  <TitlesOfParts>
    <vt:vector size="5" baseType="lpstr">
      <vt:lpstr>Orçamento Sintético</vt:lpstr>
      <vt:lpstr>Planilha2</vt:lpstr>
      <vt:lpstr>Planilha1</vt:lpstr>
      <vt:lpstr>'Orçamento Sintético'!Area_de_impressao</vt:lpstr>
      <vt:lpstr>Planilha2!Area_de_impressao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axlsx</dc:creator>
  <dc:description/>
  <cp:lastModifiedBy>Caroline Aveiro Quadrado</cp:lastModifiedBy>
  <cp:revision>3</cp:revision>
  <cp:lastPrinted>2026-03-18T15:43:16Z</cp:lastPrinted>
  <dcterms:created xsi:type="dcterms:W3CDTF">2023-05-17T15:14:19Z</dcterms:created>
  <dcterms:modified xsi:type="dcterms:W3CDTF">2026-03-18T16:11:08Z</dcterms:modified>
  <dc:language>pt-BR</dc:language>
</cp:coreProperties>
</file>