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/>
  <xr:revisionPtr revIDLastSave="0" documentId="13_ncr:1_{890007FC-1AEB-48CA-8835-0B3D1D0E4580}" xr6:coauthVersionLast="47" xr6:coauthVersionMax="47" xr10:uidLastSave="{00000000-0000-0000-0000-000000000000}"/>
  <bookViews>
    <workbookView minimized="1" xWindow="5685" yWindow="2775" windowWidth="21600" windowHeight="11295" xr2:uid="{00000000-000D-0000-FFFF-FFFF00000000}"/>
  </bookViews>
  <sheets>
    <sheet name="orcamento" sheetId="1" r:id="rId1"/>
    <sheet name="cronograma" sheetId="2" r:id="rId2"/>
  </sheets>
  <definedNames>
    <definedName name="_xlnm.Print_Area" localSheetId="1">cronograma!$A$1:$G$27</definedName>
    <definedName name="_xlnm.Print_Area" localSheetId="0">orcamento!$A$1:$P$74</definedName>
    <definedName name="JR_PAGE_ANCHOR_0_1">orcamento!#REF!</definedName>
    <definedName name="_xlnm.Print_Titles" localSheetId="0">orcamento!$4:$5</definedName>
    <definedName name="VALOR_TOTAL">orcamento!$O$72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62" i="1" l="1"/>
  <c r="I52" i="1"/>
  <c r="K52" i="1" s="1"/>
  <c r="J52" i="1"/>
  <c r="N52" i="1"/>
  <c r="I41" i="1"/>
  <c r="M41" i="1" s="1"/>
  <c r="J41" i="1"/>
  <c r="N41" i="1" s="1"/>
  <c r="J44" i="1"/>
  <c r="N44" i="1" s="1"/>
  <c r="I44" i="1"/>
  <c r="E63" i="1"/>
  <c r="E62" i="1"/>
  <c r="E61" i="1"/>
  <c r="M52" i="1" l="1"/>
  <c r="O52" i="1" s="1"/>
  <c r="K44" i="1"/>
  <c r="O41" i="1"/>
  <c r="K41" i="1"/>
  <c r="M44" i="1"/>
  <c r="O44" i="1" s="1"/>
  <c r="E35" i="1" l="1"/>
  <c r="J40" i="1"/>
  <c r="N40" i="1" s="1"/>
  <c r="I40" i="1"/>
  <c r="M40" i="1" s="1"/>
  <c r="O40" i="1" l="1"/>
  <c r="K40" i="1"/>
  <c r="J58" i="1"/>
  <c r="N58" i="1" s="1"/>
  <c r="J57" i="1"/>
  <c r="N57" i="1" s="1"/>
  <c r="I58" i="1"/>
  <c r="I57" i="1"/>
  <c r="M57" i="1" s="1"/>
  <c r="J17" i="1"/>
  <c r="N17" i="1" s="1"/>
  <c r="J18" i="1"/>
  <c r="N18" i="1" s="1"/>
  <c r="J19" i="1"/>
  <c r="N19" i="1" s="1"/>
  <c r="J20" i="1"/>
  <c r="N20" i="1" s="1"/>
  <c r="J21" i="1"/>
  <c r="N21" i="1" s="1"/>
  <c r="J22" i="1"/>
  <c r="N22" i="1" s="1"/>
  <c r="I17" i="1"/>
  <c r="M17" i="1" s="1"/>
  <c r="I18" i="1"/>
  <c r="M18" i="1" s="1"/>
  <c r="I19" i="1"/>
  <c r="M19" i="1" s="1"/>
  <c r="I20" i="1"/>
  <c r="M20" i="1" s="1"/>
  <c r="I21" i="1"/>
  <c r="M21" i="1" s="1"/>
  <c r="I22" i="1"/>
  <c r="M22" i="1" s="1"/>
  <c r="E20" i="2"/>
  <c r="D20" i="2"/>
  <c r="G19" i="2"/>
  <c r="G17" i="2"/>
  <c r="D16" i="2"/>
  <c r="G15" i="2"/>
  <c r="G13" i="2"/>
  <c r="G11" i="2"/>
  <c r="F10" i="2"/>
  <c r="G9" i="2"/>
  <c r="E8" i="2"/>
  <c r="D8" i="2"/>
  <c r="G7" i="2"/>
  <c r="F6" i="2"/>
  <c r="E6" i="2"/>
  <c r="G5" i="2"/>
  <c r="M58" i="1" l="1"/>
  <c r="O58" i="1" s="1"/>
  <c r="O21" i="1"/>
  <c r="K17" i="1"/>
  <c r="K20" i="1"/>
  <c r="O22" i="1"/>
  <c r="O19" i="1"/>
  <c r="O17" i="1"/>
  <c r="K22" i="1"/>
  <c r="K57" i="1"/>
  <c r="K58" i="1"/>
  <c r="O20" i="1"/>
  <c r="K21" i="1"/>
  <c r="K19" i="1"/>
  <c r="O18" i="1"/>
  <c r="K18" i="1"/>
  <c r="O57" i="1"/>
  <c r="J67" i="1"/>
  <c r="N67" i="1" s="1"/>
  <c r="I67" i="1"/>
  <c r="M67" i="1" s="1"/>
  <c r="J61" i="1"/>
  <c r="N61" i="1" s="1"/>
  <c r="J62" i="1"/>
  <c r="N62" i="1" s="1"/>
  <c r="J63" i="1"/>
  <c r="N63" i="1" s="1"/>
  <c r="J64" i="1"/>
  <c r="N64" i="1" s="1"/>
  <c r="J65" i="1"/>
  <c r="N65" i="1" s="1"/>
  <c r="I61" i="1"/>
  <c r="M61" i="1" s="1"/>
  <c r="I62" i="1"/>
  <c r="M62" i="1" s="1"/>
  <c r="I63" i="1"/>
  <c r="M63" i="1" s="1"/>
  <c r="I64" i="1"/>
  <c r="M64" i="1" s="1"/>
  <c r="I65" i="1"/>
  <c r="M65" i="1" s="1"/>
  <c r="J60" i="1"/>
  <c r="N60" i="1" s="1"/>
  <c r="I60" i="1"/>
  <c r="M60" i="1" s="1"/>
  <c r="J55" i="1"/>
  <c r="N55" i="1" s="1"/>
  <c r="J56" i="1"/>
  <c r="N56" i="1" s="1"/>
  <c r="I55" i="1"/>
  <c r="M55" i="1" s="1"/>
  <c r="I56" i="1"/>
  <c r="M56" i="1" s="1"/>
  <c r="J54" i="1"/>
  <c r="N54" i="1" s="1"/>
  <c r="I54" i="1"/>
  <c r="M54" i="1" s="1"/>
  <c r="J49" i="1"/>
  <c r="N49" i="1" s="1"/>
  <c r="J50" i="1"/>
  <c r="N50" i="1" s="1"/>
  <c r="J51" i="1"/>
  <c r="N51" i="1" s="1"/>
  <c r="I49" i="1"/>
  <c r="M49" i="1" s="1"/>
  <c r="I50" i="1"/>
  <c r="M50" i="1" s="1"/>
  <c r="I51" i="1"/>
  <c r="M51" i="1" s="1"/>
  <c r="J48" i="1"/>
  <c r="N48" i="1" s="1"/>
  <c r="I48" i="1"/>
  <c r="M48" i="1" s="1"/>
  <c r="J45" i="1"/>
  <c r="N45" i="1" s="1"/>
  <c r="J46" i="1"/>
  <c r="N46" i="1" s="1"/>
  <c r="I45" i="1"/>
  <c r="M45" i="1" s="1"/>
  <c r="I46" i="1"/>
  <c r="M46" i="1" s="1"/>
  <c r="O46" i="1" s="1"/>
  <c r="J43" i="1"/>
  <c r="N43" i="1" s="1"/>
  <c r="I43" i="1"/>
  <c r="M43" i="1" s="1"/>
  <c r="J35" i="1"/>
  <c r="N35" i="1" s="1"/>
  <c r="J36" i="1"/>
  <c r="N36" i="1" s="1"/>
  <c r="J37" i="1"/>
  <c r="N37" i="1" s="1"/>
  <c r="J38" i="1"/>
  <c r="N38" i="1" s="1"/>
  <c r="J39" i="1"/>
  <c r="N39" i="1" s="1"/>
  <c r="I35" i="1"/>
  <c r="M35" i="1" s="1"/>
  <c r="I36" i="1"/>
  <c r="M36" i="1" s="1"/>
  <c r="I37" i="1"/>
  <c r="M37" i="1" s="1"/>
  <c r="I38" i="1"/>
  <c r="M38" i="1" s="1"/>
  <c r="I39" i="1"/>
  <c r="M39" i="1" s="1"/>
  <c r="J25" i="1"/>
  <c r="N25" i="1" s="1"/>
  <c r="J26" i="1"/>
  <c r="N26" i="1" s="1"/>
  <c r="J27" i="1"/>
  <c r="N27" i="1" s="1"/>
  <c r="J28" i="1"/>
  <c r="N28" i="1" s="1"/>
  <c r="J29" i="1"/>
  <c r="N29" i="1" s="1"/>
  <c r="J30" i="1"/>
  <c r="N30" i="1" s="1"/>
  <c r="J31" i="1"/>
  <c r="N31" i="1" s="1"/>
  <c r="J32" i="1"/>
  <c r="N32" i="1" s="1"/>
  <c r="I25" i="1"/>
  <c r="M25" i="1" s="1"/>
  <c r="I26" i="1"/>
  <c r="M26" i="1" s="1"/>
  <c r="I27" i="1"/>
  <c r="M27" i="1" s="1"/>
  <c r="I28" i="1"/>
  <c r="M28" i="1" s="1"/>
  <c r="I29" i="1"/>
  <c r="M29" i="1" s="1"/>
  <c r="I30" i="1"/>
  <c r="M30" i="1" s="1"/>
  <c r="I31" i="1"/>
  <c r="M31" i="1" s="1"/>
  <c r="I32" i="1"/>
  <c r="M32" i="1" s="1"/>
  <c r="J24" i="1"/>
  <c r="N24" i="1" s="1"/>
  <c r="I24" i="1"/>
  <c r="M24" i="1" s="1"/>
  <c r="I16" i="1"/>
  <c r="M16" i="1" s="1"/>
  <c r="J16" i="1"/>
  <c r="N16" i="1" s="1"/>
  <c r="J14" i="1"/>
  <c r="N14" i="1" s="1"/>
  <c r="I14" i="1"/>
  <c r="M14" i="1" s="1"/>
  <c r="J12" i="1"/>
  <c r="N12" i="1" s="1"/>
  <c r="I12" i="1"/>
  <c r="M12" i="1" s="1"/>
  <c r="J8" i="1"/>
  <c r="N8" i="1" s="1"/>
  <c r="J9" i="1"/>
  <c r="N9" i="1" s="1"/>
  <c r="I8" i="1"/>
  <c r="M8" i="1" s="1"/>
  <c r="I9" i="1"/>
  <c r="M9" i="1" s="1"/>
  <c r="J7" i="1"/>
  <c r="N7" i="1" s="1"/>
  <c r="I7" i="1"/>
  <c r="M7" i="1" s="1"/>
  <c r="O51" i="1" l="1"/>
  <c r="O50" i="1"/>
  <c r="O49" i="1"/>
  <c r="O45" i="1"/>
  <c r="O38" i="1"/>
  <c r="O37" i="1"/>
  <c r="O64" i="1"/>
  <c r="O14" i="1"/>
  <c r="O13" i="1" s="1"/>
  <c r="O63" i="1"/>
  <c r="O48" i="1"/>
  <c r="O47" i="1" s="1"/>
  <c r="O60" i="1"/>
  <c r="O59" i="1" s="1"/>
  <c r="O67" i="1"/>
  <c r="O66" i="1" s="1"/>
  <c r="O39" i="1"/>
  <c r="O43" i="1"/>
  <c r="K8" i="1"/>
  <c r="O8" i="1"/>
  <c r="K61" i="1"/>
  <c r="O61" i="1"/>
  <c r="O7" i="1"/>
  <c r="K65" i="1"/>
  <c r="O65" i="1"/>
  <c r="K51" i="1"/>
  <c r="K9" i="1"/>
  <c r="O9" i="1"/>
  <c r="K36" i="1"/>
  <c r="O36" i="1"/>
  <c r="K54" i="1"/>
  <c r="O54" i="1"/>
  <c r="O32" i="1"/>
  <c r="K55" i="1"/>
  <c r="O55" i="1"/>
  <c r="K26" i="1"/>
  <c r="O26" i="1"/>
  <c r="N69" i="1"/>
  <c r="K25" i="1"/>
  <c r="O25" i="1"/>
  <c r="K46" i="1"/>
  <c r="K62" i="1"/>
  <c r="O24" i="1"/>
  <c r="K35" i="1"/>
  <c r="O35" i="1"/>
  <c r="O34" i="1" s="1"/>
  <c r="K12" i="1"/>
  <c r="K11" i="1" s="1"/>
  <c r="K10" i="1" s="1"/>
  <c r="O12" i="1"/>
  <c r="O11" i="1" s="1"/>
  <c r="O10" i="1" s="1"/>
  <c r="K56" i="1"/>
  <c r="O56" i="1"/>
  <c r="O31" i="1"/>
  <c r="O30" i="1"/>
  <c r="O29" i="1"/>
  <c r="O28" i="1"/>
  <c r="O16" i="1"/>
  <c r="O15" i="1" s="1"/>
  <c r="O27" i="1"/>
  <c r="K27" i="1"/>
  <c r="K67" i="1"/>
  <c r="K66" i="1" s="1"/>
  <c r="K30" i="1"/>
  <c r="K29" i="1"/>
  <c r="K50" i="1"/>
  <c r="K31" i="1"/>
  <c r="K28" i="1"/>
  <c r="K60" i="1"/>
  <c r="K59" i="1" s="1"/>
  <c r="K45" i="1"/>
  <c r="K16" i="1"/>
  <c r="K15" i="1" s="1"/>
  <c r="K64" i="1"/>
  <c r="K39" i="1"/>
  <c r="K63" i="1"/>
  <c r="K48" i="1"/>
  <c r="K32" i="1"/>
  <c r="K38" i="1"/>
  <c r="K7" i="1"/>
  <c r="K37" i="1"/>
  <c r="K24" i="1"/>
  <c r="K23" i="1" s="1"/>
  <c r="K43" i="1"/>
  <c r="K42" i="1" s="1"/>
  <c r="K49" i="1"/>
  <c r="K14" i="1"/>
  <c r="K13" i="1" s="1"/>
  <c r="O53" i="1" l="1"/>
  <c r="K47" i="1"/>
  <c r="K34" i="1"/>
  <c r="K33" i="1" s="1"/>
  <c r="O23" i="1"/>
  <c r="K53" i="1"/>
  <c r="O6" i="1"/>
  <c r="K6" i="1"/>
  <c r="O70" i="1" s="1"/>
  <c r="O42" i="1"/>
  <c r="O33" i="1" s="1"/>
  <c r="C15" i="2"/>
  <c r="M69" i="1"/>
  <c r="O69" i="1" s="1"/>
  <c r="C17" i="2"/>
  <c r="D18" i="2" s="1"/>
  <c r="C19" i="2"/>
  <c r="F20" i="2" s="1"/>
  <c r="G20" i="2" s="1"/>
  <c r="C9" i="2"/>
  <c r="O72" i="1" l="1"/>
  <c r="C5" i="2"/>
  <c r="F18" i="2"/>
  <c r="E18" i="2"/>
  <c r="E16" i="2"/>
  <c r="F16" i="2"/>
  <c r="E10" i="2"/>
  <c r="D10" i="2"/>
  <c r="D6" i="2"/>
  <c r="G6" i="2" s="1"/>
  <c r="C11" i="2"/>
  <c r="C7" i="2"/>
  <c r="F8" i="2" s="1"/>
  <c r="G18" i="2" l="1"/>
  <c r="G16" i="2"/>
  <c r="G10" i="2"/>
  <c r="D12" i="2"/>
  <c r="E12" i="2"/>
  <c r="F12" i="2"/>
  <c r="G8" i="2"/>
  <c r="C13" i="2" l="1"/>
  <c r="F14" i="2" s="1"/>
  <c r="F21" i="2" s="1"/>
  <c r="G12" i="2"/>
  <c r="P41" i="1" l="1"/>
  <c r="P52" i="1"/>
  <c r="C21" i="2"/>
  <c r="P44" i="1"/>
  <c r="D14" i="2"/>
  <c r="D21" i="2" s="1"/>
  <c r="D22" i="2" s="1"/>
  <c r="E14" i="2"/>
  <c r="E21" i="2" s="1"/>
  <c r="O71" i="1"/>
  <c r="P37" i="1"/>
  <c r="P39" i="1"/>
  <c r="P49" i="1"/>
  <c r="P51" i="1"/>
  <c r="P40" i="1"/>
  <c r="P36" i="1"/>
  <c r="P50" i="1"/>
  <c r="P38" i="1"/>
  <c r="P57" i="1"/>
  <c r="P58" i="1"/>
  <c r="P22" i="1"/>
  <c r="P21" i="1"/>
  <c r="P46" i="1"/>
  <c r="P27" i="1"/>
  <c r="P35" i="1"/>
  <c r="P28" i="1"/>
  <c r="P56" i="1"/>
  <c r="P25" i="1"/>
  <c r="P31" i="1"/>
  <c r="P18" i="1"/>
  <c r="P30" i="1"/>
  <c r="P17" i="1"/>
  <c r="P29" i="1"/>
  <c r="P62" i="1"/>
  <c r="P8" i="1"/>
  <c r="P20" i="1"/>
  <c r="P55" i="1"/>
  <c r="P26" i="1"/>
  <c r="P19" i="1"/>
  <c r="P61" i="1"/>
  <c r="P9" i="1"/>
  <c r="P65" i="1"/>
  <c r="P67" i="1"/>
  <c r="P66" i="1" s="1"/>
  <c r="P12" i="1"/>
  <c r="P11" i="1" s="1"/>
  <c r="P16" i="1"/>
  <c r="P64" i="1"/>
  <c r="P60" i="1"/>
  <c r="P59" i="1" s="1"/>
  <c r="P7" i="1"/>
  <c r="P54" i="1"/>
  <c r="P32" i="1"/>
  <c r="P48" i="1"/>
  <c r="P45" i="1"/>
  <c r="P63" i="1"/>
  <c r="P14" i="1"/>
  <c r="P13" i="1" s="1"/>
  <c r="P43" i="1"/>
  <c r="P24" i="1"/>
  <c r="P53" i="1" l="1"/>
  <c r="P34" i="1"/>
  <c r="P47" i="1"/>
  <c r="P42" i="1"/>
  <c r="P23" i="1"/>
  <c r="P15" i="1"/>
  <c r="G14" i="2"/>
  <c r="G21" i="2" s="1"/>
  <c r="E22" i="2"/>
  <c r="F22" i="2" s="1"/>
  <c r="P10" i="1"/>
  <c r="P6" i="1"/>
  <c r="P33" i="1" l="1"/>
  <c r="P69" i="1" s="1"/>
  <c r="M68" i="1" l="1"/>
  <c r="N68" i="1"/>
  <c r="O68" i="1" l="1"/>
</calcChain>
</file>

<file path=xl/sharedStrings.xml><?xml version="1.0" encoding="utf-8"?>
<sst xmlns="http://schemas.openxmlformats.org/spreadsheetml/2006/main" count="338" uniqueCount="205">
  <si>
    <t>ITEM</t>
  </si>
  <si>
    <t>CÓDIGO</t>
  </si>
  <si>
    <t>DESCRIÇÃO</t>
  </si>
  <si>
    <t>FONTE</t>
  </si>
  <si>
    <t>QTD</t>
  </si>
  <si>
    <t>UND</t>
  </si>
  <si>
    <t>CUSTO UNITÁRIO</t>
  </si>
  <si>
    <t>BDI
%</t>
  </si>
  <si>
    <t>PESO
 %</t>
  </si>
  <si>
    <t>1</t>
  </si>
  <si>
    <t>SERVIÇOS INICIAIS</t>
  </si>
  <si>
    <t>1.1</t>
  </si>
  <si>
    <t>103689</t>
  </si>
  <si>
    <t>FORNECIMENTO E INSTALAÇÃO DE PLACA DE OBRA COM CHAPA GALVANIZADA E ESTRUTURA DE MADEIRA. AF_03/2022_PS</t>
  </si>
  <si>
    <t>SINAPI</t>
  </si>
  <si>
    <t>M2</t>
  </si>
  <si>
    <t>1.2</t>
  </si>
  <si>
    <t>S12375</t>
  </si>
  <si>
    <t>REMOÇÃO E REINSTALAÇÃO DE AR CONDICIONADO TIPO SPLIT</t>
  </si>
  <si>
    <t>ORSE</t>
  </si>
  <si>
    <t>UN</t>
  </si>
  <si>
    <t>1.3</t>
  </si>
  <si>
    <t>S13334</t>
  </si>
  <si>
    <t>RETIRADA MANUAL DE GRAMA COM REAPROVEITAMENTO</t>
  </si>
  <si>
    <t>2</t>
  </si>
  <si>
    <t>ESQUADRIAS PVC</t>
  </si>
  <si>
    <t>2.1</t>
  </si>
  <si>
    <t>ESQUADRIA DA DESPENSA</t>
  </si>
  <si>
    <t>2.1.1</t>
  </si>
  <si>
    <t>14.003.0400-A</t>
  </si>
  <si>
    <t>TELA TIPO MOSQUITEIRO, EM POLIETILENO, COM MOLDURA EM PERFIL DE ALUMINIO ANODIZADO.FORNECIMENTO E COLOCACAO</t>
  </si>
  <si>
    <t>EMOP</t>
  </si>
  <si>
    <t>2.2</t>
  </si>
  <si>
    <t>ESQUADRIA PVC DO BERÇÁRIO</t>
  </si>
  <si>
    <t>2.2.1</t>
  </si>
  <si>
    <t>ESQUADRIA EM PVC, 1 FOLHA PORTA DE ABRIR 90CM, 1 FOLHA ABERTURA MÁXIMO AR, 1 BANDEIRA INFERIOR FIXA E 2 BANDEIRAS SUPERIORES FIXAS - VÃO 2,00X3,13M - FORNECIMENTO E INSTALAÇÃO</t>
  </si>
  <si>
    <t>PRÓPRIO</t>
  </si>
  <si>
    <t>UN.</t>
  </si>
  <si>
    <t>3</t>
  </si>
  <si>
    <t>PAVIMENTAÇÃO</t>
  </si>
  <si>
    <t>3.1</t>
  </si>
  <si>
    <t>13.02.019</t>
  </si>
  <si>
    <t>LADRILHO HIDRAULICO 25X25 E=2CM - PISO TATIL DE ALERTA</t>
  </si>
  <si>
    <t>SP EDUCAÇÃO</t>
  </si>
  <si>
    <t>3.2</t>
  </si>
  <si>
    <t>13.02.020</t>
  </si>
  <si>
    <t>LADRILHO HIDRAULICO 25X25 E=2CM - PISO TATIL DIRECIONAL</t>
  </si>
  <si>
    <t>3.3</t>
  </si>
  <si>
    <t>3.4</t>
  </si>
  <si>
    <t>S04639</t>
  </si>
  <si>
    <t>SOLEIRA EM GRANITO CINZA ANDORINHA, L = 22 CM, E = 2 CM</t>
  </si>
  <si>
    <t>M</t>
  </si>
  <si>
    <t>3.5</t>
  </si>
  <si>
    <t>S92392S</t>
  </si>
  <si>
    <t>EXECUÇÃO DE PAVIMENTO EM PISO INTERTRAVADO, COM BLOCO PISOGRAMA DE 35 X 15 CM, ESPESSURA 8 CM. AF_10/2022</t>
  </si>
  <si>
    <t>4</t>
  </si>
  <si>
    <t>COBERTURA ENTRADA</t>
  </si>
  <si>
    <t>4.1</t>
  </si>
  <si>
    <t>S13948</t>
  </si>
  <si>
    <t>REVESTIMENTO EM ACM, COR AÇO CORTEN, CINZA ESCURO E PRATA, COM ESPESSURA DE 4MM, COM ESTRUTURA AUXILIAR DE ALUMÍNIO, COM JUNTA SECA, CONFORME PROJETO. OBRA - REFORMA TCE-SE</t>
  </si>
  <si>
    <t>4.2</t>
  </si>
  <si>
    <t>08.12.034</t>
  </si>
  <si>
    <t>RUFO EM CHAPA GALVANIZADA N 24 - CORTE 0,50 M</t>
  </si>
  <si>
    <t>4.3</t>
  </si>
  <si>
    <t>96523</t>
  </si>
  <si>
    <t>ESCAVAÇÃO MANUAL PARA BLOCO DE COROAMENTO OU SAPATA (INCLUINDO ESCAVAÇÃO PARA COLOCAÇÃO DE FÔRMAS). AF_01/2024</t>
  </si>
  <si>
    <t>M3</t>
  </si>
  <si>
    <t>4.4</t>
  </si>
  <si>
    <t>101174</t>
  </si>
  <si>
    <t>ESTACA BROCA DE CONCRETO, DIÂMETRO DE 25CM, ESCAVAÇÃO MANUAL COM TRADO CONCHA, COM ARMADURA DE ARRANQUE. AF_05/2020</t>
  </si>
  <si>
    <t>4.5</t>
  </si>
  <si>
    <t>104919</t>
  </si>
  <si>
    <t>ARMAÇÃO DE SAPATA ISOLADA, VIGA BALDRAME E SAPATA CORRIDA UTILIZANDO AÇO CA-50 DE 10 MM - MONTAGEM. AF_01/2024</t>
  </si>
  <si>
    <t>KG</t>
  </si>
  <si>
    <t>4.6</t>
  </si>
  <si>
    <t>S13753</t>
  </si>
  <si>
    <t>CALHA EM CHAPA DE ALUMINIO, DESENVOLVIMENTO 80CM, ESP. = 0,7MM</t>
  </si>
  <si>
    <t>4.7</t>
  </si>
  <si>
    <t>89578</t>
  </si>
  <si>
    <t>TUBO PVC, SÉRIE R, ÁGUA PLUVIAL, DN 100 MM, FORNECIDO E INSTALADO EM CONDUTORES VERTICAIS DE ÁGUAS PLUVIAIS. AF_06/2022</t>
  </si>
  <si>
    <t>4.8</t>
  </si>
  <si>
    <t>S09961</t>
  </si>
  <si>
    <t>TELHAMENTO COM TELHA METÁLICA EM CHAPA DE AÇO GALVANIZADO NATURAL ONDULADA E=0,5MM</t>
  </si>
  <si>
    <t>M²</t>
  </si>
  <si>
    <t>4.9</t>
  </si>
  <si>
    <t>S12509</t>
  </si>
  <si>
    <t>ESTRUTURA METÁLICA P/ COBERTURA C/VIGAS-TRELIÇA PRATT E TERÇAS EM UDC 127, 2 ÁGUAS, SEM LANTERNIN, VÃOS 10,01 A 20,0M, PINTADA 1 D OXIDO FERRO + 2 D ESMALTE EPÓXI BRANCO, EXCETO FORN. TELHAS - EXECUTADA</t>
  </si>
  <si>
    <t>5</t>
  </si>
  <si>
    <t>ESTRUTURAS CERCAS/GRADES</t>
  </si>
  <si>
    <t>5.1</t>
  </si>
  <si>
    <t>BASE CERCA/GRADIL H = 2,50M</t>
  </si>
  <si>
    <t>96527</t>
  </si>
  <si>
    <t>ESCAVAÇÃO MANUAL PARA VIGA BALDRAME OU SAPATA CORRIDA (INCLUINDO ESCAVAÇÃO PARA COLOCAÇÃO DE FÔRMAS). AF_01/2024</t>
  </si>
  <si>
    <t>5.1.3</t>
  </si>
  <si>
    <t>5.1.4</t>
  </si>
  <si>
    <t>96533</t>
  </si>
  <si>
    <t>FABRICAÇÃO, MONTAGEM E DESMONTAGEM DE FÔRMA PARA VIGA BALDRAME, EM MADEIRA SERRADA, E=25 MM, 2 UTILIZAÇÕES. AF_01/2024</t>
  </si>
  <si>
    <t>5.1.5</t>
  </si>
  <si>
    <t>5.1.6</t>
  </si>
  <si>
    <t>96555</t>
  </si>
  <si>
    <t>CONCRETAGEM DE BLOCO DE COROAMENTO OU VIGA BALDRAME, FCK 30 MPA, COM USO DE JERICA - LANÇAMENTO, ADENSAMENTO E ACABAMENTO. AF_01/2024</t>
  </si>
  <si>
    <t>5.1.7</t>
  </si>
  <si>
    <t>94263</t>
  </si>
  <si>
    <t>GUIA (MEIO-FIO) CONCRETO, MOLDADA IN LOCO EM TRECHO RETO COM EXTRUSORA, 13 CM BASE X 22 CM ALTURA. AF_01/2024</t>
  </si>
  <si>
    <t>5.2</t>
  </si>
  <si>
    <t>BASE CERGA/GRADIL H = 1,05M</t>
  </si>
  <si>
    <t>5.2.1</t>
  </si>
  <si>
    <t>5.2.2</t>
  </si>
  <si>
    <t>5.2.3</t>
  </si>
  <si>
    <t>5.2.4</t>
  </si>
  <si>
    <t>5.3</t>
  </si>
  <si>
    <t>BASE GRADE DE AÇO H = 2,50M</t>
  </si>
  <si>
    <t>5.3.1</t>
  </si>
  <si>
    <t>5.3.2</t>
  </si>
  <si>
    <t>5.3.3</t>
  </si>
  <si>
    <t>5.3.4</t>
  </si>
  <si>
    <t>6</t>
  </si>
  <si>
    <t>INSTALAÇÕES</t>
  </si>
  <si>
    <t>6.1</t>
  </si>
  <si>
    <t>91855</t>
  </si>
  <si>
    <t>ELETRODUTO FLEXÍVEL CORRUGADO REFORÇADO, PVC, DN 25 MM (3/4"), PARA CIRCUITOS TERMINAIS, INSTALADO EM PAREDE - FORNECIMENTO E INSTALAÇÃO. AF_03/2023</t>
  </si>
  <si>
    <t>6.2</t>
  </si>
  <si>
    <t>S11957</t>
  </si>
  <si>
    <t>PORTEIRO ELETRÔNICO - KIT VÍDEO FONE INT/EXT BIVOLT 5804 FOXLUX OU SIMINAR</t>
  </si>
  <si>
    <t>6.3</t>
  </si>
  <si>
    <t>15.008.0200-0</t>
  </si>
  <si>
    <t>CABO DE COBRE FLEXIVEL COM ISOLAMENTO TERMOPLASTICO, COMPREENDENDO:PREPARO, CORTE E ENFIACAO EM ELETRODUTOS, NA BITOLA DE 1, 5MM2, 0, 6/1KV.FORNECIMENTO E COLOCACAO</t>
  </si>
  <si>
    <t>7</t>
  </si>
  <si>
    <t>CERCAMENTO</t>
  </si>
  <si>
    <t>7.1</t>
  </si>
  <si>
    <t>14.002.0132-0</t>
  </si>
  <si>
    <t>GRADE DE FERRO COM MONTANTES DE BARRAS CHATAS DE 2"X3/8" ACADA 2, 00M E BARRAS CHATAS DE 1.1/2"X3/8" A CADA 10CM, INTERCALADAS POR PEQUENAS BARRAS CHATAS DE 1.1/2"X3/8" A CADA 5CM, EXCLUSIVE BALDRAME DE CONCRETO.FORNECIMENTO E COLOCACAO</t>
  </si>
  <si>
    <t>7.2</t>
  </si>
  <si>
    <t>S13778</t>
  </si>
  <si>
    <t>CERCA/GRADIL NYLOFOR H=1,03M, MALHA 5X20CM - FIO 5 MM, REVESTIDOS EM POLIESTER POR PROCESSO DE PINTURA ELETROSTÁTICA NAS CORES VERDE OU BRANCA. FORNECIMENTO E INSTALAÇÃO. INCLUSIVE POSTE E ACESSÓRIOS.</t>
  </si>
  <si>
    <t>7.3</t>
  </si>
  <si>
    <t>7.4</t>
  </si>
  <si>
    <t>S13764</t>
  </si>
  <si>
    <t>PORTÃO EM FERRO DE ABRIR, EM GRADIL NYLOFOR 3D, PINTADO NAS CORES VERDE OU BRANCO OU AZUL, PADRÃO BELGO OU SIMILAR</t>
  </si>
  <si>
    <t>7.5</t>
  </si>
  <si>
    <t>S12104</t>
  </si>
  <si>
    <t>PORTA DE FERRO DE ABRIR, C/ GRADIL EM BARRA CHATA 3/4" X 1/8", INCLUSIVE REQUADRO, FERROLHO E DOBRADIÇAS E FECHADURA, CONFORME DESENHO</t>
  </si>
  <si>
    <t>7.6</t>
  </si>
  <si>
    <t>14.002.0102-0</t>
  </si>
  <si>
    <t>PORTAO CORRER UMA OU DUAS FLS., EM GRADIL METAL., EXECUT.PAINEL ACO GALV.(GRAMATURA MIN.40G/M2), MALHA RETANG.(200X50)MM EFIO ACO BITOLA MIN.4, 3MM, MONT.INTERMED.ACO GALV.(60X40)MM, EXTREMIDADES MONT.DIM.MIN.(80X80)MM ENGASTADOS BASE CONCR.(EXCL.ESTA), PINT.ELETROSTATICA, ESP.MIN.100 MICRAS, NAS CORES VERDE OU BRANCA, INCL.TRINCO, TRILHO E ROLDANAS.FORN.E COLOC.</t>
  </si>
  <si>
    <t>8</t>
  </si>
  <si>
    <t>LIMPEZA GERAL</t>
  </si>
  <si>
    <t>8.1</t>
  </si>
  <si>
    <t>S00026</t>
  </si>
  <si>
    <t>COLETA E CARGA MANUAIS DE ENTULHO</t>
  </si>
  <si>
    <t>Obra</t>
  </si>
  <si>
    <t>Encargos Sociais</t>
  </si>
  <si>
    <t>Não Desonerado: embutido nos preços unitário dos insumos de mão de obra, de acordo com as bases.</t>
  </si>
  <si>
    <t>VALOR TOTAL DE BDI:</t>
  </si>
  <si>
    <t>VALOR TOTAL COM BDI:</t>
  </si>
  <si>
    <t>VALOR TOTAL SEM BDI:</t>
  </si>
  <si>
    <t>Bancos:</t>
  </si>
  <si>
    <t>B.D.I:</t>
  </si>
  <si>
    <t>CERCAMENTO - EMEI ÊNIO SPIER
Rua Antônio Schoeler, 2036 - Linha Imperial</t>
  </si>
  <si>
    <t>Encargos Sociais:</t>
  </si>
  <si>
    <t>VALOR (R$)</t>
  </si>
  <si>
    <t>MÊS 1</t>
  </si>
  <si>
    <t>MÊS 2</t>
  </si>
  <si>
    <t>MÊS 3</t>
  </si>
  <si>
    <t>Total parcela</t>
  </si>
  <si>
    <t>TOTAIS</t>
  </si>
  <si>
    <t>Total Acumulado</t>
  </si>
  <si>
    <t>Cronograma físico-financeiro</t>
  </si>
  <si>
    <t>Material 
R$</t>
  </si>
  <si>
    <t>Mao de Obra 
R$</t>
  </si>
  <si>
    <t>Mão de Obra 
R$</t>
  </si>
  <si>
    <t>PORCENTAGEM DE MATERIAL E MÃO DE OBRA</t>
  </si>
  <si>
    <t>Total 
(R$)</t>
  </si>
  <si>
    <t>CUSTO TOTAL SEM BDI</t>
  </si>
  <si>
    <t>TOTAL
(R$)</t>
  </si>
  <si>
    <t>CUSTO TOTAL COM BDI</t>
  </si>
  <si>
    <t>S87644S</t>
  </si>
  <si>
    <t>Contrapiso em argamassa pronta, preparo manual, aplicado em áreas secas sobre laje, aderido, acabamento não reforçado, espessura 4cm. af_07/2021</t>
  </si>
  <si>
    <t>13.80.032</t>
  </si>
  <si>
    <t>Tela q-92 para piso de concreto - BDI = 23,00</t>
  </si>
  <si>
    <t>SP Educação</t>
  </si>
  <si>
    <t>I09699</t>
  </si>
  <si>
    <t>Tubo pvc rigido série reforçada p/esgoto predial e aguas pluviais, d= 50mm</t>
  </si>
  <si>
    <t>15.003.0194-A</t>
  </si>
  <si>
    <t>RALO SECO DE FERRO FUNDIDO PARA BOX, COM SAIDA HORIZONTAL, COMPOSTO DE ENTRADA SUPERIOR DN=100MM E SAIDA HORIZONTAL DN=50MM, CONFORME ABNT NBR 15579, REVESTIDO INTERNA E EXTERNAMENTE COM EPOXI NA COR VERMELHA, APLICADO PELO SISTEMA ELETROSTATICO.FORNECIMENTO E ASSENTAMENTO</t>
  </si>
  <si>
    <t>-</t>
  </si>
  <si>
    <t>PAVIMENTO EM PLACAS EMBORRACHADAS DRENANTE, ANTIDERRAPANTE, PROTEÇÃO UV, NÃO QUEIMA DURANTE A QUEDA</t>
  </si>
  <si>
    <t>3.6</t>
  </si>
  <si>
    <t>3.7</t>
  </si>
  <si>
    <t>6.4</t>
  </si>
  <si>
    <t>6.5</t>
  </si>
  <si>
    <t>Orçamento Sintético com Material e Mão de Obra</t>
  </si>
  <si>
    <t xml:space="preserve">                              Obra:</t>
  </si>
  <si>
    <t xml:space="preserve">                              CERCAMENTO EMEI ÊNIO SPIER
                              Rua Antônio Schoeler, 2036 
                              Linha Imperial</t>
  </si>
  <si>
    <t>CERCA/GRADIL NYLOFOR H=2,43M, MALHA 5X20CM - FIO 5 MM, REVESTIDOS EM POLIESTER POR PROCESSO DE PINTURA ELETROSTÁTICA NAS CORES VERDE OU BRANCA. FORNECIMENTO E INSTALAÇÃO. INCLUSIVE POSTE E ACESSÓRIOS.</t>
  </si>
  <si>
    <t>95577</t>
  </si>
  <si>
    <t>MONTAGEM DE ARMADURA DE ESTACAS, DIÂMETRO = 10,0 MM. AF_09/2021_PS</t>
  </si>
  <si>
    <t>S13780</t>
  </si>
  <si>
    <r>
      <rPr>
        <sz val="10"/>
        <rFont val="Arial"/>
        <family val="2"/>
      </rPr>
      <t xml:space="preserve">SINAPI - 08/2025 - RS
SP Educação - 07/2025 - SP
ORSE - 07/2025 - Sergipe
EMOP - 06/2025 - RJ
</t>
    </r>
    <r>
      <rPr>
        <b/>
        <sz val="10"/>
        <rFont val="Arial"/>
        <family val="1"/>
      </rPr>
      <t xml:space="preserve">
</t>
    </r>
  </si>
  <si>
    <r>
      <t xml:space="preserve">______________________________________________________________
Cristina Alves Tavares
</t>
    </r>
    <r>
      <rPr>
        <sz val="10"/>
        <color theme="1"/>
        <rFont val="Calibri"/>
        <family val="2"/>
        <scheme val="minor"/>
      </rPr>
      <t>Arquiteta e Urbanista - CAU A339679
Secretaria de Planejamento, Coordenação, Trânsito e Habitação</t>
    </r>
  </si>
  <si>
    <t>5.1.1</t>
  </si>
  <si>
    <t>5.1.2</t>
  </si>
  <si>
    <t>5.3.5</t>
  </si>
  <si>
    <t>SINAPI - 08/2025 - RS
SP Educação - 07/2025 - SP
ORSE - 07/2025 - Sergipe
EMOP - 06/2025 - RJ</t>
  </si>
  <si>
    <t>Nova Petrópolis, 29 de setembro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</si>
</sst>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R\$\ #,##0.00"/>
    <numFmt numFmtId="165" formatCode="\R\$\ ###,###,##0.00"/>
    <numFmt numFmtId="166" formatCode="#,##0.00%"/>
    <numFmt numFmtId="167" formatCode="&quot;R$&quot;\ #,##0.00;[Red]&quot;R$&quot;\ #,##0.00"/>
  </numFmts>
  <fonts count="21" x14ac:knownFonts="1">
    <font>
      <sz val="11"/>
      <color theme="1"/>
      <name val="Calibri"/>
      <family val="2"/>
      <scheme val="minor"/>
    </font>
    <font>
      <b/>
      <sz val="5"/>
      <color rgb="FF000000"/>
      <name val="Arial"/>
      <family val="2"/>
    </font>
    <font>
      <b/>
      <sz val="6"/>
      <color rgb="FF000000"/>
      <name val="Arial"/>
      <family val="2"/>
    </font>
    <font>
      <sz val="5"/>
      <color rgb="FF000000"/>
      <name val="Arial"/>
      <family val="2"/>
    </font>
    <font>
      <sz val="6"/>
      <color rgb="FF000000"/>
      <name val="Arial"/>
      <family val="2"/>
    </font>
    <font>
      <b/>
      <sz val="11"/>
      <name val="Arial"/>
      <family val="1"/>
    </font>
    <font>
      <b/>
      <sz val="10"/>
      <name val="Arial"/>
      <family val="1"/>
    </font>
    <font>
      <sz val="6"/>
      <color theme="1"/>
      <name val="Calibri"/>
      <family val="2"/>
      <scheme val="minor"/>
    </font>
    <font>
      <b/>
      <sz val="9"/>
      <name val="Arial"/>
      <family val="1"/>
    </font>
    <font>
      <b/>
      <sz val="8"/>
      <name val="Arial"/>
      <family val="1"/>
    </font>
    <font>
      <sz val="7"/>
      <color rgb="FF000000"/>
      <name val="Arial"/>
      <family val="2"/>
    </font>
    <font>
      <b/>
      <sz val="7"/>
      <color rgb="FF000000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sz val="8"/>
      <color rgb="FF000000"/>
      <name val="Arial"/>
      <family val="2"/>
    </font>
    <font>
      <b/>
      <sz val="8"/>
      <color theme="1"/>
      <name val="Arial"/>
      <family val="2"/>
    </font>
    <font>
      <b/>
      <sz val="9"/>
      <color rgb="FF000000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DFDFD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5" fillId="11" borderId="1" xfId="0" applyFont="1" applyFill="1" applyBorder="1" applyAlignment="1">
      <alignment horizontal="left" vertical="top" wrapText="1"/>
    </xf>
    <xf numFmtId="0" fontId="2" fillId="12" borderId="2" xfId="0" applyFont="1" applyFill="1" applyBorder="1" applyAlignment="1">
      <alignment horizontal="left" vertical="center" wrapText="1"/>
    </xf>
    <xf numFmtId="0" fontId="2" fillId="12" borderId="2" xfId="0" applyFont="1" applyFill="1" applyBorder="1" applyAlignment="1">
      <alignment vertical="center" wrapText="1"/>
    </xf>
    <xf numFmtId="0" fontId="2" fillId="13" borderId="2" xfId="0" applyFont="1" applyFill="1" applyBorder="1" applyAlignment="1">
      <alignment horizontal="left" vertical="center" wrapText="1"/>
    </xf>
    <xf numFmtId="0" fontId="2" fillId="13" borderId="2" xfId="0" applyFont="1" applyFill="1" applyBorder="1" applyAlignment="1">
      <alignment vertical="center" wrapText="1"/>
    </xf>
    <xf numFmtId="4" fontId="0" fillId="0" borderId="0" xfId="0" applyNumberFormat="1"/>
    <xf numFmtId="165" fontId="2" fillId="12" borderId="2" xfId="0" applyNumberFormat="1" applyFont="1" applyFill="1" applyBorder="1" applyAlignment="1">
      <alignment vertical="center" wrapText="1"/>
    </xf>
    <xf numFmtId="165" fontId="2" fillId="13" borderId="2" xfId="0" applyNumberFormat="1" applyFont="1" applyFill="1" applyBorder="1" applyAlignment="1">
      <alignment vertical="center" wrapText="1"/>
    </xf>
    <xf numFmtId="4" fontId="2" fillId="12" borderId="2" xfId="0" applyNumberFormat="1" applyFont="1" applyFill="1" applyBorder="1" applyAlignment="1">
      <alignment vertical="center" wrapText="1"/>
    </xf>
    <xf numFmtId="164" fontId="2" fillId="12" borderId="2" xfId="0" applyNumberFormat="1" applyFont="1" applyFill="1" applyBorder="1" applyAlignment="1">
      <alignment horizontal="right" vertical="center" wrapText="1"/>
    </xf>
    <xf numFmtId="10" fontId="4" fillId="7" borderId="2" xfId="0" applyNumberFormat="1" applyFont="1" applyFill="1" applyBorder="1" applyAlignment="1">
      <alignment horizontal="right" vertical="center" wrapText="1"/>
    </xf>
    <xf numFmtId="164" fontId="4" fillId="6" borderId="2" xfId="0" applyNumberFormat="1" applyFont="1" applyFill="1" applyBorder="1" applyAlignment="1">
      <alignment horizontal="right" vertical="center" wrapText="1"/>
    </xf>
    <xf numFmtId="164" fontId="2" fillId="13" borderId="2" xfId="0" applyNumberFormat="1" applyFont="1" applyFill="1" applyBorder="1" applyAlignment="1">
      <alignment horizontal="right" vertical="center" wrapText="1"/>
    </xf>
    <xf numFmtId="10" fontId="2" fillId="12" borderId="2" xfId="0" applyNumberFormat="1" applyFont="1" applyFill="1" applyBorder="1" applyAlignment="1">
      <alignment horizontal="right" vertical="center" wrapText="1"/>
    </xf>
    <xf numFmtId="10" fontId="4" fillId="8" borderId="2" xfId="0" applyNumberFormat="1" applyFont="1" applyFill="1" applyBorder="1" applyAlignment="1">
      <alignment horizontal="right" vertical="center" wrapText="1"/>
    </xf>
    <xf numFmtId="10" fontId="2" fillId="13" borderId="2" xfId="0" applyNumberFormat="1" applyFont="1" applyFill="1" applyBorder="1" applyAlignment="1">
      <alignment horizontal="right" vertical="center" wrapText="1"/>
    </xf>
    <xf numFmtId="10" fontId="4" fillId="8" borderId="7" xfId="0" applyNumberFormat="1" applyFont="1" applyFill="1" applyBorder="1" applyAlignment="1">
      <alignment horizontal="right" vertical="center" wrapText="1"/>
    </xf>
    <xf numFmtId="0" fontId="5" fillId="11" borderId="1" xfId="0" applyFont="1" applyFill="1" applyBorder="1" applyAlignment="1">
      <alignment vertical="top" wrapText="1"/>
    </xf>
    <xf numFmtId="0" fontId="2" fillId="2" borderId="2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vertical="center" wrapText="1"/>
    </xf>
    <xf numFmtId="4" fontId="4" fillId="5" borderId="2" xfId="0" applyNumberFormat="1" applyFont="1" applyFill="1" applyBorder="1" applyAlignment="1">
      <alignment horizontal="right" vertical="center" wrapText="1"/>
    </xf>
    <xf numFmtId="165" fontId="4" fillId="7" borderId="2" xfId="0" applyNumberFormat="1" applyFont="1" applyFill="1" applyBorder="1" applyAlignment="1">
      <alignment horizontal="right" vertical="center" wrapText="1"/>
    </xf>
    <xf numFmtId="0" fontId="7" fillId="9" borderId="0" xfId="0" applyFont="1" applyFill="1" applyAlignment="1" applyProtection="1">
      <alignment wrapText="1"/>
      <protection locked="0"/>
    </xf>
    <xf numFmtId="0" fontId="9" fillId="11" borderId="1" xfId="0" applyFont="1" applyFill="1" applyBorder="1" applyAlignment="1">
      <alignment vertical="top" wrapText="1"/>
    </xf>
    <xf numFmtId="0" fontId="0" fillId="10" borderId="1" xfId="0" applyFill="1" applyBorder="1" applyAlignment="1" applyProtection="1">
      <alignment wrapText="1"/>
      <protection locked="0"/>
    </xf>
    <xf numFmtId="166" fontId="3" fillId="10" borderId="7" xfId="0" applyNumberFormat="1" applyFont="1" applyFill="1" applyBorder="1" applyAlignment="1">
      <alignment horizontal="right" vertical="center" wrapText="1"/>
    </xf>
    <xf numFmtId="166" fontId="1" fillId="10" borderId="7" xfId="0" applyNumberFormat="1" applyFont="1" applyFill="1" applyBorder="1" applyAlignment="1">
      <alignment horizontal="right" vertical="center" wrapText="1"/>
    </xf>
    <xf numFmtId="164" fontId="10" fillId="15" borderId="2" xfId="0" applyNumberFormat="1" applyFont="1" applyFill="1" applyBorder="1" applyAlignment="1">
      <alignment horizontal="right" vertical="center" wrapText="1"/>
    </xf>
    <xf numFmtId="164" fontId="11" fillId="12" borderId="2" xfId="0" applyNumberFormat="1" applyFont="1" applyFill="1" applyBorder="1" applyAlignment="1">
      <alignment horizontal="right" vertical="center" wrapText="1"/>
    </xf>
    <xf numFmtId="164" fontId="11" fillId="14" borderId="7" xfId="0" applyNumberFormat="1" applyFont="1" applyFill="1" applyBorder="1" applyAlignment="1">
      <alignment horizontal="right" vertical="center" wrapText="1"/>
    </xf>
    <xf numFmtId="164" fontId="11" fillId="14" borderId="11" xfId="0" applyNumberFormat="1" applyFont="1" applyFill="1" applyBorder="1" applyAlignment="1">
      <alignment horizontal="right" vertical="center" wrapText="1"/>
    </xf>
    <xf numFmtId="164" fontId="12" fillId="14" borderId="10" xfId="0" applyNumberFormat="1" applyFont="1" applyFill="1" applyBorder="1" applyAlignment="1">
      <alignment vertical="center" wrapText="1"/>
    </xf>
    <xf numFmtId="0" fontId="13" fillId="10" borderId="7" xfId="0" applyFont="1" applyFill="1" applyBorder="1" applyAlignment="1" applyProtection="1">
      <alignment wrapText="1"/>
      <protection locked="0"/>
    </xf>
    <xf numFmtId="0" fontId="13" fillId="10" borderId="8" xfId="0" applyFont="1" applyFill="1" applyBorder="1" applyAlignment="1" applyProtection="1">
      <alignment wrapText="1"/>
      <protection locked="0"/>
    </xf>
    <xf numFmtId="0" fontId="13" fillId="14" borderId="12" xfId="0" applyFont="1" applyFill="1" applyBorder="1" applyAlignment="1" applyProtection="1">
      <alignment wrapText="1"/>
      <protection locked="0"/>
    </xf>
    <xf numFmtId="0" fontId="13" fillId="14" borderId="9" xfId="0" applyFont="1" applyFill="1" applyBorder="1" applyAlignment="1" applyProtection="1">
      <alignment wrapText="1"/>
      <protection locked="0"/>
    </xf>
    <xf numFmtId="164" fontId="11" fillId="14" borderId="2" xfId="0" applyNumberFormat="1" applyFont="1" applyFill="1" applyBorder="1" applyAlignment="1">
      <alignment horizontal="right" vertical="center" wrapText="1"/>
    </xf>
    <xf numFmtId="164" fontId="11" fillId="14" borderId="2" xfId="0" applyNumberFormat="1" applyFont="1" applyFill="1" applyBorder="1" applyAlignment="1">
      <alignment vertical="center" wrapText="1"/>
    </xf>
    <xf numFmtId="0" fontId="0" fillId="0" borderId="1" xfId="0" applyBorder="1"/>
    <xf numFmtId="0" fontId="8" fillId="11" borderId="1" xfId="0" applyFont="1" applyFill="1" applyBorder="1" applyAlignment="1">
      <alignment vertical="top" wrapText="1"/>
    </xf>
    <xf numFmtId="0" fontId="0" fillId="10" borderId="4" xfId="0" applyFill="1" applyBorder="1" applyAlignment="1" applyProtection="1">
      <alignment wrapText="1"/>
      <protection locked="0"/>
    </xf>
    <xf numFmtId="0" fontId="15" fillId="14" borderId="13" xfId="0" applyFont="1" applyFill="1" applyBorder="1" applyAlignment="1" applyProtection="1">
      <alignment vertical="center" wrapText="1"/>
      <protection locked="0"/>
    </xf>
    <xf numFmtId="0" fontId="15" fillId="14" borderId="4" xfId="0" applyFont="1" applyFill="1" applyBorder="1" applyAlignment="1" applyProtection="1">
      <alignment vertical="center" wrapText="1"/>
      <protection locked="0"/>
    </xf>
    <xf numFmtId="164" fontId="11" fillId="14" borderId="6" xfId="0" applyNumberFormat="1" applyFont="1" applyFill="1" applyBorder="1" applyAlignment="1">
      <alignment horizontal="right" vertical="center" wrapText="1"/>
    </xf>
    <xf numFmtId="10" fontId="8" fillId="11" borderId="1" xfId="0" applyNumberFormat="1" applyFont="1" applyFill="1" applyBorder="1" applyAlignment="1">
      <alignment horizontal="left" vertical="top" wrapText="1"/>
    </xf>
    <xf numFmtId="0" fontId="14" fillId="16" borderId="8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center" vertical="center" wrapText="1"/>
    </xf>
    <xf numFmtId="4" fontId="4" fillId="5" borderId="7" xfId="0" applyNumberFormat="1" applyFont="1" applyFill="1" applyBorder="1" applyAlignment="1">
      <alignment horizontal="right" vertical="center" wrapText="1"/>
    </xf>
    <xf numFmtId="164" fontId="4" fillId="6" borderId="7" xfId="0" applyNumberFormat="1" applyFont="1" applyFill="1" applyBorder="1" applyAlignment="1">
      <alignment horizontal="right" vertical="center" wrapText="1"/>
    </xf>
    <xf numFmtId="165" fontId="4" fillId="7" borderId="7" xfId="0" applyNumberFormat="1" applyFont="1" applyFill="1" applyBorder="1" applyAlignment="1">
      <alignment horizontal="right" vertical="center" wrapText="1"/>
    </xf>
    <xf numFmtId="0" fontId="4" fillId="14" borderId="10" xfId="0" applyFont="1" applyFill="1" applyBorder="1" applyAlignment="1">
      <alignment horizontal="left" vertical="center" wrapText="1"/>
    </xf>
    <xf numFmtId="0" fontId="4" fillId="14" borderId="10" xfId="0" applyFont="1" applyFill="1" applyBorder="1" applyAlignment="1">
      <alignment horizontal="center" vertical="center" wrapText="1"/>
    </xf>
    <xf numFmtId="4" fontId="4" fillId="14" borderId="10" xfId="0" applyNumberFormat="1" applyFont="1" applyFill="1" applyBorder="1" applyAlignment="1">
      <alignment horizontal="right" vertical="center" wrapText="1"/>
    </xf>
    <xf numFmtId="164" fontId="4" fillId="14" borderId="10" xfId="0" applyNumberFormat="1" applyFont="1" applyFill="1" applyBorder="1" applyAlignment="1">
      <alignment horizontal="right" vertical="center" wrapText="1"/>
    </xf>
    <xf numFmtId="165" fontId="4" fillId="14" borderId="10" xfId="0" applyNumberFormat="1" applyFont="1" applyFill="1" applyBorder="1" applyAlignment="1">
      <alignment horizontal="right" vertical="center" wrapText="1"/>
    </xf>
    <xf numFmtId="164" fontId="2" fillId="14" borderId="10" xfId="0" applyNumberFormat="1" applyFont="1" applyFill="1" applyBorder="1" applyAlignment="1">
      <alignment horizontal="right" vertical="center" wrapText="1"/>
    </xf>
    <xf numFmtId="165" fontId="2" fillId="14" borderId="10" xfId="0" applyNumberFormat="1" applyFont="1" applyFill="1" applyBorder="1" applyAlignment="1">
      <alignment horizontal="right" vertical="center" wrapText="1"/>
    </xf>
    <xf numFmtId="10" fontId="2" fillId="14" borderId="10" xfId="0" applyNumberFormat="1" applyFont="1" applyFill="1" applyBorder="1" applyAlignment="1">
      <alignment horizontal="right" vertical="center" wrapText="1"/>
    </xf>
    <xf numFmtId="0" fontId="4" fillId="13" borderId="10" xfId="0" applyFont="1" applyFill="1" applyBorder="1" applyAlignment="1">
      <alignment horizontal="left" vertical="center" wrapText="1"/>
    </xf>
    <xf numFmtId="0" fontId="4" fillId="13" borderId="10" xfId="0" applyFont="1" applyFill="1" applyBorder="1" applyAlignment="1">
      <alignment horizontal="center" vertical="center" wrapText="1"/>
    </xf>
    <xf numFmtId="4" fontId="4" fillId="13" borderId="10" xfId="0" applyNumberFormat="1" applyFont="1" applyFill="1" applyBorder="1" applyAlignment="1">
      <alignment horizontal="right" vertical="center" wrapText="1"/>
    </xf>
    <xf numFmtId="164" fontId="4" fillId="13" borderId="10" xfId="0" applyNumberFormat="1" applyFont="1" applyFill="1" applyBorder="1" applyAlignment="1">
      <alignment horizontal="right" vertical="center" wrapText="1"/>
    </xf>
    <xf numFmtId="165" fontId="4" fillId="13" borderId="10" xfId="0" applyNumberFormat="1" applyFont="1" applyFill="1" applyBorder="1" applyAlignment="1">
      <alignment horizontal="right" vertical="center" wrapText="1"/>
    </xf>
    <xf numFmtId="10" fontId="4" fillId="13" borderId="7" xfId="0" applyNumberFormat="1" applyFont="1" applyFill="1" applyBorder="1" applyAlignment="1">
      <alignment horizontal="right" vertical="center" wrapText="1"/>
    </xf>
    <xf numFmtId="10" fontId="4" fillId="13" borderId="10" xfId="0" applyNumberFormat="1" applyFont="1" applyFill="1" applyBorder="1" applyAlignment="1">
      <alignment horizontal="right" vertical="center" wrapText="1"/>
    </xf>
    <xf numFmtId="167" fontId="2" fillId="12" borderId="2" xfId="0" applyNumberFormat="1" applyFont="1" applyFill="1" applyBorder="1" applyAlignment="1">
      <alignment vertical="center" wrapText="1"/>
    </xf>
    <xf numFmtId="167" fontId="4" fillId="7" borderId="2" xfId="0" applyNumberFormat="1" applyFont="1" applyFill="1" applyBorder="1" applyAlignment="1">
      <alignment horizontal="right" vertical="center" wrapText="1"/>
    </xf>
    <xf numFmtId="167" fontId="2" fillId="13" borderId="2" xfId="0" applyNumberFormat="1" applyFont="1" applyFill="1" applyBorder="1" applyAlignment="1">
      <alignment vertical="center" wrapText="1"/>
    </xf>
    <xf numFmtId="167" fontId="4" fillId="7" borderId="7" xfId="0" applyNumberFormat="1" applyFont="1" applyFill="1" applyBorder="1" applyAlignment="1">
      <alignment horizontal="right" vertical="center" wrapText="1"/>
    </xf>
    <xf numFmtId="167" fontId="2" fillId="14" borderId="10" xfId="0" applyNumberFormat="1" applyFont="1" applyFill="1" applyBorder="1" applyAlignment="1">
      <alignment horizontal="right" vertical="center" wrapText="1"/>
    </xf>
    <xf numFmtId="0" fontId="4" fillId="10" borderId="2" xfId="0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164" fontId="4" fillId="0" borderId="2" xfId="0" applyNumberFormat="1" applyFont="1" applyBorder="1" applyAlignment="1">
      <alignment horizontal="right" vertical="center" wrapText="1"/>
    </xf>
    <xf numFmtId="0" fontId="6" fillId="11" borderId="1" xfId="0" applyFont="1" applyFill="1" applyBorder="1" applyAlignment="1">
      <alignment horizontal="left" vertical="top" wrapText="1"/>
    </xf>
    <xf numFmtId="10" fontId="6" fillId="11" borderId="1" xfId="0" applyNumberFormat="1" applyFont="1" applyFill="1" applyBorder="1" applyAlignment="1">
      <alignment horizontal="left" vertical="top" wrapText="1"/>
    </xf>
    <xf numFmtId="0" fontId="8" fillId="11" borderId="1" xfId="0" applyFont="1" applyFill="1" applyBorder="1" applyAlignment="1">
      <alignment horizontal="left" vertical="top" wrapText="1"/>
    </xf>
    <xf numFmtId="167" fontId="0" fillId="0" borderId="0" xfId="0" applyNumberFormat="1"/>
    <xf numFmtId="165" fontId="0" fillId="0" borderId="0" xfId="0" applyNumberFormat="1"/>
    <xf numFmtId="164" fontId="0" fillId="0" borderId="0" xfId="0" applyNumberFormat="1"/>
    <xf numFmtId="0" fontId="4" fillId="10" borderId="2" xfId="0" applyFont="1" applyFill="1" applyBorder="1" applyAlignment="1">
      <alignment horizontal="right" vertical="center" wrapText="1"/>
    </xf>
    <xf numFmtId="164" fontId="4" fillId="17" borderId="2" xfId="0" applyNumberFormat="1" applyFont="1" applyFill="1" applyBorder="1" applyAlignment="1">
      <alignment horizontal="right" vertical="center" wrapText="1"/>
    </xf>
    <xf numFmtId="165" fontId="4" fillId="17" borderId="2" xfId="0" applyNumberFormat="1" applyFont="1" applyFill="1" applyBorder="1" applyAlignment="1">
      <alignment horizontal="right" vertical="center" wrapText="1"/>
    </xf>
    <xf numFmtId="0" fontId="2" fillId="17" borderId="1" xfId="0" applyFont="1" applyFill="1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5" fillId="11" borderId="1" xfId="0" applyFont="1" applyFill="1" applyBorder="1" applyAlignment="1">
      <alignment horizontal="left" vertical="top" wrapText="1"/>
    </xf>
    <xf numFmtId="0" fontId="2" fillId="12" borderId="5" xfId="0" applyFont="1" applyFill="1" applyBorder="1" applyAlignment="1">
      <alignment horizontal="left" vertical="center" wrapText="1"/>
    </xf>
    <xf numFmtId="0" fontId="2" fillId="12" borderId="6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18" borderId="18" xfId="0" applyFont="1" applyFill="1" applyBorder="1" applyAlignment="1">
      <alignment horizontal="left" vertical="center" wrapText="1"/>
    </xf>
    <xf numFmtId="0" fontId="2" fillId="18" borderId="24" xfId="0" applyFont="1" applyFill="1" applyBorder="1" applyAlignment="1">
      <alignment horizontal="left" vertical="center" wrapText="1"/>
    </xf>
    <xf numFmtId="0" fontId="2" fillId="18" borderId="19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13" borderId="5" xfId="0" applyFont="1" applyFill="1" applyBorder="1" applyAlignment="1">
      <alignment horizontal="left" vertical="center" wrapText="1"/>
    </xf>
    <xf numFmtId="0" fontId="2" fillId="13" borderId="6" xfId="0" applyFont="1" applyFill="1" applyBorder="1" applyAlignment="1">
      <alignment horizontal="left" vertical="center" wrapText="1"/>
    </xf>
    <xf numFmtId="0" fontId="2" fillId="18" borderId="20" xfId="0" applyFont="1" applyFill="1" applyBorder="1" applyAlignment="1">
      <alignment horizontal="left" vertical="center" wrapText="1"/>
    </xf>
    <xf numFmtId="0" fontId="2" fillId="18" borderId="25" xfId="0" applyFont="1" applyFill="1" applyBorder="1" applyAlignment="1">
      <alignment horizontal="left" vertical="center" wrapText="1"/>
    </xf>
    <xf numFmtId="0" fontId="2" fillId="18" borderId="21" xfId="0" applyFont="1" applyFill="1" applyBorder="1" applyAlignment="1">
      <alignment horizontal="left" vertical="center" wrapText="1"/>
    </xf>
    <xf numFmtId="0" fontId="2" fillId="18" borderId="22" xfId="0" applyFont="1" applyFill="1" applyBorder="1" applyAlignment="1">
      <alignment horizontal="left" vertical="center" wrapText="1"/>
    </xf>
    <xf numFmtId="0" fontId="2" fillId="18" borderId="26" xfId="0" applyFont="1" applyFill="1" applyBorder="1" applyAlignment="1">
      <alignment horizontal="left" vertical="center" wrapText="1"/>
    </xf>
    <xf numFmtId="0" fontId="2" fillId="18" borderId="23" xfId="0" applyFont="1" applyFill="1" applyBorder="1" applyAlignment="1">
      <alignment horizontal="left" vertical="center" wrapText="1"/>
    </xf>
    <xf numFmtId="165" fontId="2" fillId="18" borderId="18" xfId="0" applyNumberFormat="1" applyFont="1" applyFill="1" applyBorder="1" applyAlignment="1">
      <alignment horizontal="left" vertical="center" wrapText="1"/>
    </xf>
    <xf numFmtId="165" fontId="2" fillId="18" borderId="19" xfId="0" applyNumberFormat="1" applyFont="1" applyFill="1" applyBorder="1" applyAlignment="1">
      <alignment horizontal="left" vertical="center" wrapText="1"/>
    </xf>
    <xf numFmtId="165" fontId="2" fillId="18" borderId="20" xfId="0" applyNumberFormat="1" applyFont="1" applyFill="1" applyBorder="1" applyAlignment="1">
      <alignment horizontal="left" vertical="center" wrapText="1"/>
    </xf>
    <xf numFmtId="165" fontId="2" fillId="18" borderId="21" xfId="0" applyNumberFormat="1" applyFont="1" applyFill="1" applyBorder="1" applyAlignment="1">
      <alignment horizontal="left" vertical="center" wrapText="1"/>
    </xf>
    <xf numFmtId="165" fontId="2" fillId="18" borderId="22" xfId="0" applyNumberFormat="1" applyFont="1" applyFill="1" applyBorder="1" applyAlignment="1">
      <alignment horizontal="left" vertical="center" wrapText="1"/>
    </xf>
    <xf numFmtId="165" fontId="2" fillId="18" borderId="23" xfId="0" applyNumberFormat="1" applyFont="1" applyFill="1" applyBorder="1" applyAlignment="1">
      <alignment horizontal="left" vertical="center" wrapText="1"/>
    </xf>
    <xf numFmtId="0" fontId="19" fillId="11" borderId="1" xfId="0" applyFont="1" applyFill="1" applyBorder="1" applyAlignment="1">
      <alignment horizontal="left" vertical="top" wrapText="1"/>
    </xf>
    <xf numFmtId="0" fontId="6" fillId="11" borderId="1" xfId="0" applyFont="1" applyFill="1" applyBorder="1" applyAlignment="1">
      <alignment horizontal="left" vertical="top" wrapText="1"/>
    </xf>
    <xf numFmtId="0" fontId="0" fillId="12" borderId="14" xfId="0" applyFill="1" applyBorder="1" applyAlignment="1" applyProtection="1">
      <alignment horizontal="center" wrapText="1"/>
      <protection locked="0"/>
    </xf>
    <xf numFmtId="0" fontId="0" fillId="12" borderId="15" xfId="0" applyFill="1" applyBorder="1" applyAlignment="1" applyProtection="1">
      <alignment horizontal="center" wrapText="1"/>
      <protection locked="0"/>
    </xf>
    <xf numFmtId="0" fontId="0" fillId="12" borderId="16" xfId="0" applyFill="1" applyBorder="1" applyAlignment="1" applyProtection="1">
      <alignment horizontal="center" wrapText="1"/>
      <protection locked="0"/>
    </xf>
    <xf numFmtId="0" fontId="0" fillId="0" borderId="0" xfId="0" applyAlignment="1">
      <alignment horizontal="right"/>
    </xf>
    <xf numFmtId="0" fontId="16" fillId="13" borderId="2" xfId="0" applyFont="1" applyFill="1" applyBorder="1" applyAlignment="1">
      <alignment horizontal="left" vertical="center" wrapText="1"/>
    </xf>
    <xf numFmtId="0" fontId="10" fillId="13" borderId="2" xfId="0" applyFont="1" applyFill="1" applyBorder="1" applyAlignment="1">
      <alignment horizontal="left" vertical="center" wrapText="1"/>
    </xf>
    <xf numFmtId="164" fontId="10" fillId="13" borderId="2" xfId="0" applyNumberFormat="1" applyFont="1" applyFill="1" applyBorder="1" applyAlignment="1">
      <alignment horizontal="right" vertical="center" wrapText="1"/>
    </xf>
    <xf numFmtId="0" fontId="9" fillId="11" borderId="3" xfId="0" applyFont="1" applyFill="1" applyBorder="1" applyAlignment="1">
      <alignment horizontal="left" vertical="top" wrapText="1"/>
    </xf>
    <xf numFmtId="164" fontId="10" fillId="13" borderId="7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58617</xdr:colOff>
      <xdr:row>0</xdr:row>
      <xdr:rowOff>73269</xdr:rowOff>
    </xdr:from>
    <xdr:to>
      <xdr:col>1</xdr:col>
      <xdr:colOff>666752</xdr:colOff>
      <xdr:row>1</xdr:row>
      <xdr:rowOff>1011116</xdr:rowOff>
    </xdr:to>
    <xdr:pic>
      <xdr:nvPicPr>
        <xdr:cNvPr id="430863918" name="Picture">
          <a:extLst>
            <a:ext uri="{FF2B5EF4-FFF2-40B4-BE49-F238E27FC236}">
              <a16:creationId xmlns:a16="http://schemas.microsoft.com/office/drawing/2014/main" id="{00000000-0008-0000-0000-00002E76AE19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72" t="12008" r="90373" b="20084"/>
        <a:stretch>
          <a:fillRect/>
        </a:stretch>
      </xdr:blipFill>
      <xdr:spPr>
        <a:xfrm>
          <a:off x="58617" y="73269"/>
          <a:ext cx="996462" cy="12016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576755</xdr:colOff>
      <xdr:row>1</xdr:row>
      <xdr:rowOff>1247147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B3B5E52C-64DE-4497-BA06-7CEF619693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86355" cy="14376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S74"/>
  <sheetViews>
    <sheetView tabSelected="1" topLeftCell="B57" zoomScale="130" zoomScaleNormal="130" zoomScaleSheetLayoutView="130" workbookViewId="0">
      <selection activeCell="Q66" sqref="Q66"/>
    </sheetView>
  </sheetViews>
  <sheetFormatPr defaultRowHeight="15" x14ac:dyDescent="0.25"/>
  <cols>
    <col min="1" max="1" width="5.85546875" customWidth="1"/>
    <col min="2" max="2" width="11" customWidth="1"/>
    <col min="3" max="3" width="41.28515625" customWidth="1"/>
    <col min="4" max="4" width="7.42578125" customWidth="1"/>
    <col min="5" max="5" width="6.28515625" customWidth="1"/>
    <col min="6" max="6" width="6" customWidth="1"/>
    <col min="7" max="11" width="10.7109375" customWidth="1"/>
    <col min="12" max="12" width="6.7109375" customWidth="1"/>
    <col min="13" max="15" width="10.7109375" customWidth="1"/>
    <col min="16" max="16" width="6.7109375" customWidth="1"/>
    <col min="17" max="17" width="13.5703125" bestFit="1" customWidth="1"/>
    <col min="18" max="18" width="11.28515625" bestFit="1" customWidth="1"/>
    <col min="19" max="19" width="9.7109375" bestFit="1" customWidth="1"/>
  </cols>
  <sheetData>
    <row r="1" spans="1:17" ht="21" customHeight="1" x14ac:dyDescent="0.25">
      <c r="A1" s="1"/>
      <c r="B1" s="1"/>
      <c r="C1" s="1" t="s">
        <v>150</v>
      </c>
      <c r="D1" s="92" t="s">
        <v>156</v>
      </c>
      <c r="E1" s="92"/>
      <c r="F1" s="18"/>
      <c r="G1" s="18"/>
      <c r="H1" s="18" t="s">
        <v>157</v>
      </c>
      <c r="I1" s="18"/>
      <c r="J1" s="18"/>
      <c r="K1" s="18"/>
      <c r="L1" s="92" t="s">
        <v>151</v>
      </c>
      <c r="M1" s="92"/>
      <c r="N1" s="92"/>
      <c r="O1" s="92"/>
      <c r="P1" s="92"/>
      <c r="Q1" s="18"/>
    </row>
    <row r="2" spans="1:17" ht="81" customHeight="1" x14ac:dyDescent="0.25">
      <c r="A2" s="80"/>
      <c r="B2" s="80"/>
      <c r="C2" s="80" t="s">
        <v>158</v>
      </c>
      <c r="D2" s="117" t="s">
        <v>198</v>
      </c>
      <c r="E2" s="118"/>
      <c r="F2" s="118"/>
      <c r="G2" s="118"/>
      <c r="H2" s="81">
        <v>0.22320000000000001</v>
      </c>
      <c r="I2" s="20"/>
      <c r="J2" s="20"/>
      <c r="K2" s="20"/>
      <c r="L2" s="118" t="s">
        <v>152</v>
      </c>
      <c r="M2" s="118"/>
      <c r="N2" s="118"/>
      <c r="O2" s="118"/>
      <c r="P2" s="118"/>
      <c r="Q2" s="20"/>
    </row>
    <row r="3" spans="1:17" s="43" customFormat="1" x14ac:dyDescent="0.25">
      <c r="A3" s="119" t="s">
        <v>191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1"/>
    </row>
    <row r="4" spans="1:17" ht="17.100000000000001" customHeight="1" x14ac:dyDescent="0.25">
      <c r="A4" s="95" t="s">
        <v>0</v>
      </c>
      <c r="B4" s="95" t="s">
        <v>1</v>
      </c>
      <c r="C4" s="95" t="s">
        <v>2</v>
      </c>
      <c r="D4" s="95" t="s">
        <v>3</v>
      </c>
      <c r="E4" s="95" t="s">
        <v>4</v>
      </c>
      <c r="F4" s="95" t="s">
        <v>5</v>
      </c>
      <c r="G4" s="95" t="s">
        <v>6</v>
      </c>
      <c r="H4" s="95"/>
      <c r="I4" s="95" t="s">
        <v>173</v>
      </c>
      <c r="J4" s="95"/>
      <c r="K4" s="95"/>
      <c r="L4" s="95" t="s">
        <v>7</v>
      </c>
      <c r="M4" s="100" t="s">
        <v>175</v>
      </c>
      <c r="N4" s="101"/>
      <c r="O4" s="102"/>
      <c r="P4" s="95" t="s">
        <v>8</v>
      </c>
    </row>
    <row r="5" spans="1:17" ht="18" customHeight="1" x14ac:dyDescent="0.25">
      <c r="A5" s="96"/>
      <c r="B5" s="96"/>
      <c r="C5" s="96"/>
      <c r="D5" s="96"/>
      <c r="E5" s="96"/>
      <c r="F5" s="96"/>
      <c r="G5" s="19" t="s">
        <v>168</v>
      </c>
      <c r="H5" s="19" t="s">
        <v>170</v>
      </c>
      <c r="I5" s="19" t="s">
        <v>168</v>
      </c>
      <c r="J5" s="19" t="s">
        <v>169</v>
      </c>
      <c r="K5" s="19" t="s">
        <v>172</v>
      </c>
      <c r="L5" s="96"/>
      <c r="M5" s="19" t="s">
        <v>168</v>
      </c>
      <c r="N5" s="19" t="s">
        <v>169</v>
      </c>
      <c r="O5" s="19" t="s">
        <v>174</v>
      </c>
      <c r="P5" s="96"/>
    </row>
    <row r="6" spans="1:17" ht="20.100000000000001" customHeight="1" x14ac:dyDescent="0.25">
      <c r="A6" s="2" t="s">
        <v>9</v>
      </c>
      <c r="B6" s="93" t="s">
        <v>10</v>
      </c>
      <c r="C6" s="94"/>
      <c r="D6" s="3"/>
      <c r="E6" s="3"/>
      <c r="F6" s="3"/>
      <c r="G6" s="3"/>
      <c r="H6" s="3"/>
      <c r="I6" s="3"/>
      <c r="J6" s="3"/>
      <c r="K6" s="7">
        <f>SUM(K7:K9)</f>
        <v>2047.0495999999998</v>
      </c>
      <c r="L6" s="3"/>
      <c r="M6" s="69"/>
      <c r="N6" s="69"/>
      <c r="O6" s="10">
        <f>ROUND(SUM(O7:O9),2)</f>
        <v>2503.9499999999998</v>
      </c>
      <c r="P6" s="14">
        <f>SUM(P7:P9)</f>
        <v>7.0282877569718813E-3</v>
      </c>
    </row>
    <row r="7" spans="1:17" ht="20.25" customHeight="1" x14ac:dyDescent="0.25">
      <c r="A7" s="21" t="s">
        <v>11</v>
      </c>
      <c r="B7" s="22" t="s">
        <v>12</v>
      </c>
      <c r="C7" s="21" t="s">
        <v>13</v>
      </c>
      <c r="D7" s="22" t="s">
        <v>14</v>
      </c>
      <c r="E7" s="23">
        <v>4</v>
      </c>
      <c r="F7" s="22" t="s">
        <v>15</v>
      </c>
      <c r="G7" s="12">
        <v>427.95</v>
      </c>
      <c r="H7" s="24">
        <v>30.71</v>
      </c>
      <c r="I7" s="12">
        <f>E7*G7</f>
        <v>1711.8</v>
      </c>
      <c r="J7" s="24">
        <f>E7*H7</f>
        <v>122.84</v>
      </c>
      <c r="K7" s="24">
        <f>I7+J7</f>
        <v>1834.6399999999999</v>
      </c>
      <c r="L7" s="11">
        <v>0.22320000000000001</v>
      </c>
      <c r="M7" s="70">
        <f>I7*1.2232</f>
        <v>2093.8737599999999</v>
      </c>
      <c r="N7" s="70">
        <f>J7*1.2232</f>
        <v>150.25788800000001</v>
      </c>
      <c r="O7" s="12">
        <f>M7+N7</f>
        <v>2244.131648</v>
      </c>
      <c r="P7" s="15">
        <f>O7/VALOR_TOTAL</f>
        <v>6.2990060672935781E-3</v>
      </c>
      <c r="Q7" s="6"/>
    </row>
    <row r="8" spans="1:17" x14ac:dyDescent="0.25">
      <c r="A8" s="21" t="s">
        <v>16</v>
      </c>
      <c r="B8" s="22" t="s">
        <v>17</v>
      </c>
      <c r="C8" s="21" t="s">
        <v>18</v>
      </c>
      <c r="D8" s="22" t="s">
        <v>19</v>
      </c>
      <c r="E8" s="23">
        <v>1</v>
      </c>
      <c r="F8" s="22" t="s">
        <v>20</v>
      </c>
      <c r="G8" s="12">
        <v>35.25</v>
      </c>
      <c r="H8" s="24">
        <v>144.54</v>
      </c>
      <c r="I8" s="12">
        <f t="shared" ref="I8:I9" si="0">E8*G8</f>
        <v>35.25</v>
      </c>
      <c r="J8" s="24">
        <f t="shared" ref="J8:J9" si="1">E8*H8</f>
        <v>144.54</v>
      </c>
      <c r="K8" s="24">
        <f t="shared" ref="K8:K9" si="2">I8+J8</f>
        <v>179.79</v>
      </c>
      <c r="L8" s="11">
        <v>0.22320000000000001</v>
      </c>
      <c r="M8" s="70">
        <f t="shared" ref="M8:M9" si="3">I8*1.2232</f>
        <v>43.117800000000003</v>
      </c>
      <c r="N8" s="70">
        <f t="shared" ref="N8:N9" si="4">J8*1.2232</f>
        <v>176.80132800000001</v>
      </c>
      <c r="O8" s="12">
        <f t="shared" ref="O8:O9" si="5">M8+N8</f>
        <v>219.919128</v>
      </c>
      <c r="P8" s="15">
        <f>O8/VALOR_TOTAL</f>
        <v>6.1728638906745326E-4</v>
      </c>
      <c r="Q8" s="6"/>
    </row>
    <row r="9" spans="1:17" x14ac:dyDescent="0.25">
      <c r="A9" s="21" t="s">
        <v>21</v>
      </c>
      <c r="B9" s="22" t="s">
        <v>22</v>
      </c>
      <c r="C9" s="21" t="s">
        <v>23</v>
      </c>
      <c r="D9" s="22" t="s">
        <v>19</v>
      </c>
      <c r="E9" s="23">
        <v>8.84</v>
      </c>
      <c r="F9" s="22" t="s">
        <v>15</v>
      </c>
      <c r="G9" s="12">
        <v>0.78</v>
      </c>
      <c r="H9" s="24">
        <v>2.91</v>
      </c>
      <c r="I9" s="12">
        <f t="shared" si="0"/>
        <v>6.8952</v>
      </c>
      <c r="J9" s="24">
        <f t="shared" si="1"/>
        <v>25.724399999999999</v>
      </c>
      <c r="K9" s="24">
        <f t="shared" si="2"/>
        <v>32.619599999999998</v>
      </c>
      <c r="L9" s="11">
        <v>0.22320000000000001</v>
      </c>
      <c r="M9" s="70">
        <f t="shared" si="3"/>
        <v>8.4342086399999996</v>
      </c>
      <c r="N9" s="70">
        <f t="shared" si="4"/>
        <v>31.46608608</v>
      </c>
      <c r="O9" s="12">
        <f t="shared" si="5"/>
        <v>39.900294719999998</v>
      </c>
      <c r="P9" s="15">
        <f>O9/VALOR_TOTAL</f>
        <v>1.1199530061084987E-4</v>
      </c>
      <c r="Q9" s="6"/>
    </row>
    <row r="10" spans="1:17" ht="20.100000000000001" customHeight="1" x14ac:dyDescent="0.25">
      <c r="A10" s="2" t="s">
        <v>24</v>
      </c>
      <c r="B10" s="93" t="s">
        <v>25</v>
      </c>
      <c r="C10" s="94"/>
      <c r="D10" s="3"/>
      <c r="E10" s="3"/>
      <c r="F10" s="3"/>
      <c r="G10" s="3"/>
      <c r="H10" s="3"/>
      <c r="I10" s="3"/>
      <c r="J10" s="3"/>
      <c r="K10" s="9">
        <f>K11+K13</f>
        <v>8787.6375000000007</v>
      </c>
      <c r="L10" s="3"/>
      <c r="M10" s="69"/>
      <c r="N10" s="69"/>
      <c r="O10" s="10">
        <f>ROUND(O11+O13,2)</f>
        <v>10749.04</v>
      </c>
      <c r="P10" s="14">
        <f>P11+P13</f>
        <v>3.0171249907162485E-2</v>
      </c>
    </row>
    <row r="11" spans="1:17" ht="20.100000000000001" customHeight="1" x14ac:dyDescent="0.25">
      <c r="A11" s="4" t="s">
        <v>26</v>
      </c>
      <c r="B11" s="103" t="s">
        <v>27</v>
      </c>
      <c r="C11" s="104"/>
      <c r="D11" s="5"/>
      <c r="E11" s="5"/>
      <c r="F11" s="5"/>
      <c r="G11" s="5"/>
      <c r="H11" s="5"/>
      <c r="I11" s="5"/>
      <c r="J11" s="5"/>
      <c r="K11" s="8">
        <f>SUM(K12)</f>
        <v>124.3875</v>
      </c>
      <c r="L11" s="5"/>
      <c r="M11" s="71"/>
      <c r="N11" s="71"/>
      <c r="O11" s="13">
        <f>ROUND(SUM(O12:O12),2)</f>
        <v>152.15</v>
      </c>
      <c r="P11" s="16">
        <f>SUM(P12)</f>
        <v>4.2706886211762524E-4</v>
      </c>
    </row>
    <row r="12" spans="1:17" ht="23.25" customHeight="1" x14ac:dyDescent="0.25">
      <c r="A12" s="21" t="s">
        <v>28</v>
      </c>
      <c r="B12" s="22" t="s">
        <v>29</v>
      </c>
      <c r="C12" s="21" t="s">
        <v>30</v>
      </c>
      <c r="D12" s="22" t="s">
        <v>31</v>
      </c>
      <c r="E12" s="23">
        <v>1.07</v>
      </c>
      <c r="F12" s="22" t="s">
        <v>15</v>
      </c>
      <c r="G12" s="12">
        <v>78.989999999999995</v>
      </c>
      <c r="H12" s="24">
        <v>37.26</v>
      </c>
      <c r="I12" s="12">
        <f>E12*G12</f>
        <v>84.519300000000001</v>
      </c>
      <c r="J12" s="24">
        <f>E12*H12</f>
        <v>39.868200000000002</v>
      </c>
      <c r="K12" s="24">
        <f>I12+J12</f>
        <v>124.3875</v>
      </c>
      <c r="L12" s="11">
        <v>0.22320000000000001</v>
      </c>
      <c r="M12" s="70">
        <f>I12*1.2232</f>
        <v>103.38400776</v>
      </c>
      <c r="N12" s="70">
        <f>J12*1.2232</f>
        <v>48.766782240000005</v>
      </c>
      <c r="O12" s="12">
        <f>M12+N12</f>
        <v>152.15079</v>
      </c>
      <c r="P12" s="15">
        <f>O12 / VALOR_TOTAL</f>
        <v>4.2706886211762524E-4</v>
      </c>
    </row>
    <row r="13" spans="1:17" ht="20.100000000000001" customHeight="1" x14ac:dyDescent="0.25">
      <c r="A13" s="4" t="s">
        <v>32</v>
      </c>
      <c r="B13" s="103" t="s">
        <v>33</v>
      </c>
      <c r="C13" s="104"/>
      <c r="D13" s="5"/>
      <c r="E13" s="5"/>
      <c r="F13" s="5"/>
      <c r="G13" s="5"/>
      <c r="H13" s="5"/>
      <c r="I13" s="5"/>
      <c r="J13" s="5"/>
      <c r="K13" s="8">
        <f>SUM(K14)</f>
        <v>8663.25</v>
      </c>
      <c r="L13" s="5"/>
      <c r="M13" s="71"/>
      <c r="N13" s="71"/>
      <c r="O13" s="13">
        <f>ROUND(SUM(O14:O14),2)</f>
        <v>10596.89</v>
      </c>
      <c r="P13" s="16">
        <f>SUM(P14)</f>
        <v>2.9744181045044858E-2</v>
      </c>
    </row>
    <row r="14" spans="1:17" ht="33" x14ac:dyDescent="0.25">
      <c r="A14" s="21" t="s">
        <v>34</v>
      </c>
      <c r="B14" s="22" t="s">
        <v>9</v>
      </c>
      <c r="C14" s="21" t="s">
        <v>35</v>
      </c>
      <c r="D14" s="22" t="s">
        <v>36</v>
      </c>
      <c r="E14" s="23">
        <v>1</v>
      </c>
      <c r="F14" s="22" t="s">
        <v>37</v>
      </c>
      <c r="G14" s="12">
        <v>8663.25</v>
      </c>
      <c r="H14" s="24">
        <v>0</v>
      </c>
      <c r="I14" s="12">
        <f>E14*G14</f>
        <v>8663.25</v>
      </c>
      <c r="J14" s="24">
        <f>E14*H14</f>
        <v>0</v>
      </c>
      <c r="K14" s="24">
        <f>I14+J14</f>
        <v>8663.25</v>
      </c>
      <c r="L14" s="11">
        <v>0.22320000000000001</v>
      </c>
      <c r="M14" s="70">
        <f>I14*1.2232</f>
        <v>10596.887400000001</v>
      </c>
      <c r="N14" s="70">
        <f>J14*1.2232</f>
        <v>0</v>
      </c>
      <c r="O14" s="12">
        <f>SUM(M14:N14)</f>
        <v>10596.887400000001</v>
      </c>
      <c r="P14" s="15">
        <f>O14/VALOR_TOTAL</f>
        <v>2.9744181045044858E-2</v>
      </c>
    </row>
    <row r="15" spans="1:17" ht="20.100000000000001" customHeight="1" x14ac:dyDescent="0.25">
      <c r="A15" s="2" t="s">
        <v>38</v>
      </c>
      <c r="B15" s="93" t="s">
        <v>39</v>
      </c>
      <c r="C15" s="94"/>
      <c r="D15" s="3"/>
      <c r="E15" s="3"/>
      <c r="F15" s="3"/>
      <c r="G15" s="3"/>
      <c r="H15" s="3"/>
      <c r="I15" s="3"/>
      <c r="J15" s="3"/>
      <c r="K15" s="7">
        <f>SUM(K16:K22)</f>
        <v>7743.6928999999991</v>
      </c>
      <c r="L15" s="3"/>
      <c r="M15" s="69"/>
      <c r="N15" s="69"/>
      <c r="O15" s="10">
        <f>ROUND(SUM(O16:O22),2)</f>
        <v>9472.09</v>
      </c>
      <c r="P15" s="14">
        <f>SUM(P16:P22)</f>
        <v>2.6586997209457012E-2</v>
      </c>
    </row>
    <row r="16" spans="1:17" ht="24.75" x14ac:dyDescent="0.25">
      <c r="A16" s="21" t="s">
        <v>40</v>
      </c>
      <c r="B16" s="22" t="s">
        <v>41</v>
      </c>
      <c r="C16" s="21" t="s">
        <v>42</v>
      </c>
      <c r="D16" s="22" t="s">
        <v>43</v>
      </c>
      <c r="E16" s="23">
        <v>2.25</v>
      </c>
      <c r="F16" s="22" t="s">
        <v>15</v>
      </c>
      <c r="G16" s="12">
        <v>120.86</v>
      </c>
      <c r="H16" s="24">
        <v>26.94</v>
      </c>
      <c r="I16" s="12">
        <f>E16*G16</f>
        <v>271.935</v>
      </c>
      <c r="J16" s="24">
        <f>E16*H16</f>
        <v>60.615000000000002</v>
      </c>
      <c r="K16" s="24">
        <f>I16+J16</f>
        <v>332.55</v>
      </c>
      <c r="L16" s="11">
        <v>0.22320000000000001</v>
      </c>
      <c r="M16" s="70">
        <f>I16*1.2232</f>
        <v>332.63089200000002</v>
      </c>
      <c r="N16" s="70">
        <f>J16*1.2232</f>
        <v>74.144268000000011</v>
      </c>
      <c r="O16" s="12">
        <f>SUM(M16:N16)</f>
        <v>406.77516000000003</v>
      </c>
      <c r="P16" s="15">
        <f t="shared" ref="P16:P22" si="6">O16/VALOR_TOTAL</f>
        <v>1.1417686672472417E-3</v>
      </c>
    </row>
    <row r="17" spans="1:18" ht="24.75" x14ac:dyDescent="0.25">
      <c r="A17" s="21" t="s">
        <v>44</v>
      </c>
      <c r="B17" s="22" t="s">
        <v>45</v>
      </c>
      <c r="C17" s="21" t="s">
        <v>46</v>
      </c>
      <c r="D17" s="22" t="s">
        <v>43</v>
      </c>
      <c r="E17" s="23">
        <v>1.25</v>
      </c>
      <c r="F17" s="22" t="s">
        <v>15</v>
      </c>
      <c r="G17" s="12">
        <v>121.71</v>
      </c>
      <c r="H17" s="24">
        <v>26.94</v>
      </c>
      <c r="I17" s="12">
        <f t="shared" ref="I17:I22" si="7">E17*G17</f>
        <v>152.13749999999999</v>
      </c>
      <c r="J17" s="24">
        <f t="shared" ref="J17:J22" si="8">E17*H17</f>
        <v>33.675000000000004</v>
      </c>
      <c r="K17" s="24">
        <f t="shared" ref="K17:K22" si="9">I17+J17</f>
        <v>185.8125</v>
      </c>
      <c r="L17" s="11">
        <v>0.22320000000000001</v>
      </c>
      <c r="M17" s="70">
        <f t="shared" ref="M17:M22" si="10">I17*1.2232</f>
        <v>186.09458999999998</v>
      </c>
      <c r="N17" s="70">
        <f t="shared" ref="N17:N22" si="11">J17*1.2232</f>
        <v>41.191260000000007</v>
      </c>
      <c r="O17" s="12">
        <f t="shared" ref="O17:O22" si="12">SUM(M17:N17)</f>
        <v>227.28584999999998</v>
      </c>
      <c r="P17" s="15">
        <f t="shared" si="6"/>
        <v>6.3796388658210218E-4</v>
      </c>
    </row>
    <row r="18" spans="1:18" ht="24.75" customHeight="1" x14ac:dyDescent="0.25">
      <c r="A18" s="21" t="s">
        <v>47</v>
      </c>
      <c r="B18" s="76" t="s">
        <v>185</v>
      </c>
      <c r="C18" s="77" t="s">
        <v>186</v>
      </c>
      <c r="D18" s="76" t="s">
        <v>36</v>
      </c>
      <c r="E18" s="78">
        <v>17.100000000000001</v>
      </c>
      <c r="F18" s="76" t="s">
        <v>15</v>
      </c>
      <c r="G18" s="79">
        <v>195</v>
      </c>
      <c r="H18" s="24">
        <v>0</v>
      </c>
      <c r="I18" s="12">
        <f t="shared" si="7"/>
        <v>3334.5000000000005</v>
      </c>
      <c r="J18" s="24">
        <f t="shared" si="8"/>
        <v>0</v>
      </c>
      <c r="K18" s="24">
        <f t="shared" si="9"/>
        <v>3334.5000000000005</v>
      </c>
      <c r="L18" s="11">
        <v>0.22320000000000001</v>
      </c>
      <c r="M18" s="70">
        <f t="shared" si="10"/>
        <v>4078.7604000000006</v>
      </c>
      <c r="N18" s="70">
        <f t="shared" si="11"/>
        <v>0</v>
      </c>
      <c r="O18" s="12">
        <f t="shared" si="12"/>
        <v>4078.7604000000006</v>
      </c>
      <c r="P18" s="15">
        <f t="shared" si="6"/>
        <v>1.1448587042357324E-2</v>
      </c>
      <c r="R18" s="6"/>
    </row>
    <row r="19" spans="1:18" x14ac:dyDescent="0.25">
      <c r="A19" s="21" t="s">
        <v>48</v>
      </c>
      <c r="B19" s="22" t="s">
        <v>49</v>
      </c>
      <c r="C19" s="21" t="s">
        <v>50</v>
      </c>
      <c r="D19" s="22" t="s">
        <v>19</v>
      </c>
      <c r="E19" s="23">
        <v>2.1</v>
      </c>
      <c r="F19" s="22" t="s">
        <v>51</v>
      </c>
      <c r="G19" s="12">
        <v>133.87</v>
      </c>
      <c r="H19" s="24">
        <v>13.43</v>
      </c>
      <c r="I19" s="12">
        <f t="shared" si="7"/>
        <v>281.12700000000001</v>
      </c>
      <c r="J19" s="24">
        <f t="shared" si="8"/>
        <v>28.202999999999999</v>
      </c>
      <c r="K19" s="24">
        <f t="shared" si="9"/>
        <v>309.33</v>
      </c>
      <c r="L19" s="11">
        <v>0.22320000000000001</v>
      </c>
      <c r="M19" s="70">
        <f t="shared" si="10"/>
        <v>343.87454640000004</v>
      </c>
      <c r="N19" s="70">
        <f t="shared" si="11"/>
        <v>34.4979096</v>
      </c>
      <c r="O19" s="12">
        <f t="shared" si="12"/>
        <v>378.37245600000006</v>
      </c>
      <c r="P19" s="15">
        <f t="shared" si="6"/>
        <v>1.0620457129441867E-3</v>
      </c>
    </row>
    <row r="20" spans="1:18" ht="18" customHeight="1" x14ac:dyDescent="0.25">
      <c r="A20" s="21" t="s">
        <v>52</v>
      </c>
      <c r="B20" s="22" t="s">
        <v>53</v>
      </c>
      <c r="C20" s="21" t="s">
        <v>54</v>
      </c>
      <c r="D20" s="22" t="s">
        <v>19</v>
      </c>
      <c r="E20" s="23">
        <v>9.2799999999999994</v>
      </c>
      <c r="F20" s="22" t="s">
        <v>15</v>
      </c>
      <c r="G20" s="12">
        <v>92.25</v>
      </c>
      <c r="H20" s="24">
        <v>3.68</v>
      </c>
      <c r="I20" s="12">
        <f t="shared" si="7"/>
        <v>856.07999999999993</v>
      </c>
      <c r="J20" s="24">
        <f t="shared" si="8"/>
        <v>34.150399999999998</v>
      </c>
      <c r="K20" s="24">
        <f t="shared" si="9"/>
        <v>890.23039999999992</v>
      </c>
      <c r="L20" s="11">
        <v>0.22320000000000001</v>
      </c>
      <c r="M20" s="70">
        <f t="shared" si="10"/>
        <v>1047.157056</v>
      </c>
      <c r="N20" s="70">
        <f t="shared" si="11"/>
        <v>41.772769279999999</v>
      </c>
      <c r="O20" s="12">
        <f t="shared" si="12"/>
        <v>1088.9298252799999</v>
      </c>
      <c r="P20" s="15">
        <f t="shared" si="6"/>
        <v>3.0564942936429974E-3</v>
      </c>
    </row>
    <row r="21" spans="1:18" ht="23.25" customHeight="1" x14ac:dyDescent="0.25">
      <c r="A21" s="21" t="s">
        <v>187</v>
      </c>
      <c r="B21" s="74" t="s">
        <v>176</v>
      </c>
      <c r="C21" s="75" t="s">
        <v>177</v>
      </c>
      <c r="D21" s="74" t="s">
        <v>19</v>
      </c>
      <c r="E21" s="23">
        <v>17</v>
      </c>
      <c r="F21" s="22" t="s">
        <v>15</v>
      </c>
      <c r="G21" s="12">
        <v>126.48</v>
      </c>
      <c r="H21" s="24">
        <v>17.95</v>
      </c>
      <c r="I21" s="12">
        <f t="shared" si="7"/>
        <v>2150.16</v>
      </c>
      <c r="J21" s="24">
        <f t="shared" si="8"/>
        <v>305.14999999999998</v>
      </c>
      <c r="K21" s="24">
        <f t="shared" si="9"/>
        <v>2455.31</v>
      </c>
      <c r="L21" s="11">
        <v>0.22320000000000001</v>
      </c>
      <c r="M21" s="70">
        <f t="shared" si="10"/>
        <v>2630.0757119999998</v>
      </c>
      <c r="N21" s="70">
        <f t="shared" si="11"/>
        <v>373.25948</v>
      </c>
      <c r="O21" s="12">
        <f t="shared" si="12"/>
        <v>3003.335192</v>
      </c>
      <c r="P21" s="15">
        <f t="shared" si="6"/>
        <v>8.4299985757895803E-3</v>
      </c>
    </row>
    <row r="22" spans="1:18" ht="18.75" customHeight="1" x14ac:dyDescent="0.25">
      <c r="A22" s="21" t="s">
        <v>188</v>
      </c>
      <c r="B22" s="74" t="s">
        <v>178</v>
      </c>
      <c r="C22" s="75" t="s">
        <v>179</v>
      </c>
      <c r="D22" s="74" t="s">
        <v>180</v>
      </c>
      <c r="E22" s="23">
        <v>17</v>
      </c>
      <c r="F22" s="22" t="s">
        <v>15</v>
      </c>
      <c r="G22" s="12">
        <v>12.3</v>
      </c>
      <c r="H22" s="24">
        <v>1.58</v>
      </c>
      <c r="I22" s="12">
        <f t="shared" si="7"/>
        <v>209.10000000000002</v>
      </c>
      <c r="J22" s="24">
        <f t="shared" si="8"/>
        <v>26.86</v>
      </c>
      <c r="K22" s="24">
        <f t="shared" si="9"/>
        <v>235.96000000000004</v>
      </c>
      <c r="L22" s="11">
        <v>0.22320000000000001</v>
      </c>
      <c r="M22" s="70">
        <f t="shared" si="10"/>
        <v>255.77112000000005</v>
      </c>
      <c r="N22" s="70">
        <f t="shared" si="11"/>
        <v>32.855152000000004</v>
      </c>
      <c r="O22" s="12">
        <f t="shared" si="12"/>
        <v>288.62627200000009</v>
      </c>
      <c r="P22" s="15">
        <f t="shared" si="6"/>
        <v>8.101390308935776E-4</v>
      </c>
    </row>
    <row r="23" spans="1:18" ht="20.100000000000001" customHeight="1" x14ac:dyDescent="0.25">
      <c r="A23" s="2" t="s">
        <v>55</v>
      </c>
      <c r="B23" s="93" t="s">
        <v>56</v>
      </c>
      <c r="C23" s="94"/>
      <c r="D23" s="3"/>
      <c r="E23" s="3"/>
      <c r="F23" s="3"/>
      <c r="G23" s="3"/>
      <c r="H23" s="3"/>
      <c r="I23" s="3"/>
      <c r="J23" s="3"/>
      <c r="K23" s="7">
        <f>SUM(K24:K32)</f>
        <v>23333.055900000003</v>
      </c>
      <c r="L23" s="3"/>
      <c r="M23" s="69"/>
      <c r="N23" s="69"/>
      <c r="O23" s="10">
        <f>ROUND(SUM(O24:O32),2)</f>
        <v>28540.99</v>
      </c>
      <c r="P23" s="14">
        <f>SUM(P24:P32)</f>
        <v>8.0111117539462887E-2</v>
      </c>
    </row>
    <row r="24" spans="1:18" ht="33" x14ac:dyDescent="0.25">
      <c r="A24" s="21" t="s">
        <v>57</v>
      </c>
      <c r="B24" s="22" t="s">
        <v>58</v>
      </c>
      <c r="C24" s="21" t="s">
        <v>59</v>
      </c>
      <c r="D24" s="22" t="s">
        <v>19</v>
      </c>
      <c r="E24" s="23">
        <v>16.22</v>
      </c>
      <c r="F24" s="22" t="s">
        <v>15</v>
      </c>
      <c r="G24" s="12">
        <v>980</v>
      </c>
      <c r="H24" s="24">
        <v>0</v>
      </c>
      <c r="I24" s="12">
        <f>E24*G24</f>
        <v>15895.599999999999</v>
      </c>
      <c r="J24" s="24">
        <f>E24*H24</f>
        <v>0</v>
      </c>
      <c r="K24" s="24">
        <f>I24+J24</f>
        <v>15895.599999999999</v>
      </c>
      <c r="L24" s="11">
        <v>0.22320000000000001</v>
      </c>
      <c r="M24" s="70">
        <f>I24*1.2232</f>
        <v>19443.497919999998</v>
      </c>
      <c r="N24" s="70">
        <f>J24*1.2232</f>
        <v>0</v>
      </c>
      <c r="O24" s="12">
        <f>SUM(M24:N24)</f>
        <v>19443.497919999998</v>
      </c>
      <c r="P24" s="15">
        <f t="shared" ref="P24:P32" si="13">O24/VALOR_TOTAL</f>
        <v>5.4575546615832964E-2</v>
      </c>
    </row>
    <row r="25" spans="1:18" ht="24.75" x14ac:dyDescent="0.25">
      <c r="A25" s="21" t="s">
        <v>60</v>
      </c>
      <c r="B25" s="22" t="s">
        <v>61</v>
      </c>
      <c r="C25" s="21" t="s">
        <v>62</v>
      </c>
      <c r="D25" s="22" t="s">
        <v>43</v>
      </c>
      <c r="E25" s="23">
        <v>4.25</v>
      </c>
      <c r="F25" s="22" t="s">
        <v>51</v>
      </c>
      <c r="G25" s="12">
        <v>72.989999999999995</v>
      </c>
      <c r="H25" s="24">
        <v>30.58</v>
      </c>
      <c r="I25" s="12">
        <f t="shared" ref="I25:I32" si="14">E25*G25</f>
        <v>310.20749999999998</v>
      </c>
      <c r="J25" s="24">
        <f t="shared" ref="J25:J32" si="15">E25*H25</f>
        <v>129.965</v>
      </c>
      <c r="K25" s="24">
        <f t="shared" ref="K25:K32" si="16">I25+J25</f>
        <v>440.17250000000001</v>
      </c>
      <c r="L25" s="11">
        <v>0.22320000000000001</v>
      </c>
      <c r="M25" s="70">
        <f t="shared" ref="M25:M32" si="17">I25*1.2232</f>
        <v>379.44581399999998</v>
      </c>
      <c r="N25" s="70">
        <f t="shared" ref="N25:N32" si="18">J25*1.2232</f>
        <v>158.97318800000002</v>
      </c>
      <c r="O25" s="12">
        <f t="shared" ref="O25:O32" si="19">SUM(M25:N25)</f>
        <v>538.41900199999998</v>
      </c>
      <c r="P25" s="15">
        <f t="shared" si="13"/>
        <v>1.511277007018152E-3</v>
      </c>
    </row>
    <row r="26" spans="1:18" ht="24.75" x14ac:dyDescent="0.25">
      <c r="A26" s="21" t="s">
        <v>63</v>
      </c>
      <c r="B26" s="22" t="s">
        <v>64</v>
      </c>
      <c r="C26" s="21" t="s">
        <v>65</v>
      </c>
      <c r="D26" s="22" t="s">
        <v>14</v>
      </c>
      <c r="E26" s="23">
        <v>1.73</v>
      </c>
      <c r="F26" s="22" t="s">
        <v>66</v>
      </c>
      <c r="G26" s="12">
        <v>24.51</v>
      </c>
      <c r="H26" s="24">
        <v>71.37</v>
      </c>
      <c r="I26" s="12">
        <f t="shared" si="14"/>
        <v>42.402300000000004</v>
      </c>
      <c r="J26" s="24">
        <f t="shared" si="15"/>
        <v>123.4701</v>
      </c>
      <c r="K26" s="24">
        <f t="shared" si="16"/>
        <v>165.8724</v>
      </c>
      <c r="L26" s="11">
        <v>0.22320000000000001</v>
      </c>
      <c r="M26" s="70">
        <f t="shared" si="17"/>
        <v>51.866493360000007</v>
      </c>
      <c r="N26" s="70">
        <f t="shared" si="18"/>
        <v>151.02862632</v>
      </c>
      <c r="O26" s="12">
        <f t="shared" si="19"/>
        <v>202.89511967999999</v>
      </c>
      <c r="P26" s="15">
        <f t="shared" si="13"/>
        <v>5.6950205707743604E-4</v>
      </c>
    </row>
    <row r="27" spans="1:18" ht="24.75" x14ac:dyDescent="0.25">
      <c r="A27" s="21" t="s">
        <v>67</v>
      </c>
      <c r="B27" s="22" t="s">
        <v>68</v>
      </c>
      <c r="C27" s="21" t="s">
        <v>69</v>
      </c>
      <c r="D27" s="22" t="s">
        <v>14</v>
      </c>
      <c r="E27" s="23">
        <v>4.8</v>
      </c>
      <c r="F27" s="22" t="s">
        <v>51</v>
      </c>
      <c r="G27" s="12">
        <v>51.87</v>
      </c>
      <c r="H27" s="24">
        <v>35.36</v>
      </c>
      <c r="I27" s="12">
        <f t="shared" si="14"/>
        <v>248.97599999999997</v>
      </c>
      <c r="J27" s="24">
        <f t="shared" si="15"/>
        <v>169.72799999999998</v>
      </c>
      <c r="K27" s="24">
        <f t="shared" si="16"/>
        <v>418.70399999999995</v>
      </c>
      <c r="L27" s="11">
        <v>0.22320000000000001</v>
      </c>
      <c r="M27" s="70">
        <f t="shared" si="17"/>
        <v>304.54744319999998</v>
      </c>
      <c r="N27" s="70">
        <f t="shared" si="18"/>
        <v>207.61128959999999</v>
      </c>
      <c r="O27" s="12">
        <f t="shared" si="19"/>
        <v>512.15873279999994</v>
      </c>
      <c r="P27" s="15">
        <f t="shared" si="13"/>
        <v>1.4375676080321425E-3</v>
      </c>
    </row>
    <row r="28" spans="1:18" ht="24.75" x14ac:dyDescent="0.25">
      <c r="A28" s="21" t="s">
        <v>70</v>
      </c>
      <c r="B28" s="22" t="s">
        <v>71</v>
      </c>
      <c r="C28" s="21" t="s">
        <v>72</v>
      </c>
      <c r="D28" s="22" t="s">
        <v>14</v>
      </c>
      <c r="E28" s="23">
        <v>90</v>
      </c>
      <c r="F28" s="22" t="s">
        <v>73</v>
      </c>
      <c r="G28" s="12">
        <v>10.87</v>
      </c>
      <c r="H28" s="24">
        <v>2.4</v>
      </c>
      <c r="I28" s="12">
        <f t="shared" si="14"/>
        <v>978.3</v>
      </c>
      <c r="J28" s="24">
        <f t="shared" si="15"/>
        <v>216</v>
      </c>
      <c r="K28" s="24">
        <f t="shared" si="16"/>
        <v>1194.3</v>
      </c>
      <c r="L28" s="11">
        <v>0.22320000000000001</v>
      </c>
      <c r="M28" s="70">
        <f t="shared" si="17"/>
        <v>1196.6565599999999</v>
      </c>
      <c r="N28" s="70">
        <f t="shared" si="18"/>
        <v>264.21120000000002</v>
      </c>
      <c r="O28" s="12">
        <f t="shared" si="19"/>
        <v>1460.8677599999999</v>
      </c>
      <c r="P28" s="15">
        <f t="shared" si="13"/>
        <v>4.1004790837269002E-3</v>
      </c>
    </row>
    <row r="29" spans="1:18" ht="16.5" x14ac:dyDescent="0.25">
      <c r="A29" s="21" t="s">
        <v>74</v>
      </c>
      <c r="B29" s="22" t="s">
        <v>75</v>
      </c>
      <c r="C29" s="21" t="s">
        <v>76</v>
      </c>
      <c r="D29" s="22" t="s">
        <v>19</v>
      </c>
      <c r="E29" s="23">
        <v>2.2000000000000002</v>
      </c>
      <c r="F29" s="22" t="s">
        <v>51</v>
      </c>
      <c r="G29" s="12">
        <v>204.3</v>
      </c>
      <c r="H29" s="24">
        <v>42.01</v>
      </c>
      <c r="I29" s="12">
        <f t="shared" si="14"/>
        <v>449.46000000000004</v>
      </c>
      <c r="J29" s="24">
        <f t="shared" si="15"/>
        <v>92.421999999999997</v>
      </c>
      <c r="K29" s="24">
        <f t="shared" si="16"/>
        <v>541.88200000000006</v>
      </c>
      <c r="L29" s="11">
        <v>0.22320000000000001</v>
      </c>
      <c r="M29" s="70">
        <f t="shared" si="17"/>
        <v>549.77947200000006</v>
      </c>
      <c r="N29" s="70">
        <f t="shared" si="18"/>
        <v>113.0505904</v>
      </c>
      <c r="O29" s="12">
        <f t="shared" si="19"/>
        <v>662.83006240000009</v>
      </c>
      <c r="P29" s="15">
        <f t="shared" si="13"/>
        <v>1.8604838037746801E-3</v>
      </c>
    </row>
    <row r="30" spans="1:18" ht="24.75" x14ac:dyDescent="0.25">
      <c r="A30" s="21" t="s">
        <v>77</v>
      </c>
      <c r="B30" s="22" t="s">
        <v>78</v>
      </c>
      <c r="C30" s="21" t="s">
        <v>79</v>
      </c>
      <c r="D30" s="22" t="s">
        <v>14</v>
      </c>
      <c r="E30" s="23">
        <v>3.5</v>
      </c>
      <c r="F30" s="22" t="s">
        <v>51</v>
      </c>
      <c r="G30" s="12">
        <v>33.08</v>
      </c>
      <c r="H30" s="24">
        <v>2.91</v>
      </c>
      <c r="I30" s="12">
        <f t="shared" si="14"/>
        <v>115.78</v>
      </c>
      <c r="J30" s="24">
        <f t="shared" si="15"/>
        <v>10.185</v>
      </c>
      <c r="K30" s="24">
        <f t="shared" si="16"/>
        <v>125.965</v>
      </c>
      <c r="L30" s="11">
        <v>0.22320000000000001</v>
      </c>
      <c r="M30" s="70">
        <f t="shared" si="17"/>
        <v>141.622096</v>
      </c>
      <c r="N30" s="70">
        <f t="shared" si="18"/>
        <v>12.458292000000002</v>
      </c>
      <c r="O30" s="12">
        <f t="shared" si="19"/>
        <v>154.080388</v>
      </c>
      <c r="P30" s="15">
        <f t="shared" si="13"/>
        <v>4.3248501028356277E-4</v>
      </c>
    </row>
    <row r="31" spans="1:18" ht="18.75" customHeight="1" x14ac:dyDescent="0.25">
      <c r="A31" s="21" t="s">
        <v>80</v>
      </c>
      <c r="B31" s="22" t="s">
        <v>81</v>
      </c>
      <c r="C31" s="21" t="s">
        <v>82</v>
      </c>
      <c r="D31" s="22" t="s">
        <v>19</v>
      </c>
      <c r="E31" s="23">
        <v>17</v>
      </c>
      <c r="F31" s="22" t="s">
        <v>83</v>
      </c>
      <c r="G31" s="12">
        <v>65.17</v>
      </c>
      <c r="H31" s="24">
        <v>13.43</v>
      </c>
      <c r="I31" s="12">
        <f t="shared" si="14"/>
        <v>1107.8900000000001</v>
      </c>
      <c r="J31" s="24">
        <f t="shared" si="15"/>
        <v>228.31</v>
      </c>
      <c r="K31" s="24">
        <f t="shared" si="16"/>
        <v>1336.2</v>
      </c>
      <c r="L31" s="11">
        <v>0.22320000000000001</v>
      </c>
      <c r="M31" s="70">
        <f t="shared" si="17"/>
        <v>1355.1710480000002</v>
      </c>
      <c r="N31" s="70">
        <f t="shared" si="18"/>
        <v>279.26879200000002</v>
      </c>
      <c r="O31" s="12">
        <f t="shared" si="19"/>
        <v>1634.4398400000002</v>
      </c>
      <c r="P31" s="15">
        <f t="shared" si="13"/>
        <v>4.5876749155789043E-3</v>
      </c>
    </row>
    <row r="32" spans="1:18" ht="36.75" customHeight="1" x14ac:dyDescent="0.25">
      <c r="A32" s="21" t="s">
        <v>84</v>
      </c>
      <c r="B32" s="22" t="s">
        <v>85</v>
      </c>
      <c r="C32" s="21" t="s">
        <v>86</v>
      </c>
      <c r="D32" s="22" t="s">
        <v>19</v>
      </c>
      <c r="E32" s="23">
        <v>17</v>
      </c>
      <c r="F32" s="22" t="s">
        <v>15</v>
      </c>
      <c r="G32" s="12">
        <v>143.56</v>
      </c>
      <c r="H32" s="24">
        <v>45.52</v>
      </c>
      <c r="I32" s="12">
        <f t="shared" si="14"/>
        <v>2440.52</v>
      </c>
      <c r="J32" s="24">
        <f t="shared" si="15"/>
        <v>773.84</v>
      </c>
      <c r="K32" s="24">
        <f t="shared" si="16"/>
        <v>3214.36</v>
      </c>
      <c r="L32" s="11">
        <v>0.22320000000000001</v>
      </c>
      <c r="M32" s="70">
        <f t="shared" si="17"/>
        <v>2985.244064</v>
      </c>
      <c r="N32" s="70">
        <f t="shared" si="18"/>
        <v>946.56108800000004</v>
      </c>
      <c r="O32" s="12">
        <f t="shared" si="19"/>
        <v>3931.8051519999999</v>
      </c>
      <c r="P32" s="15">
        <f t="shared" si="13"/>
        <v>1.1036101438138156E-2</v>
      </c>
    </row>
    <row r="33" spans="1:16" ht="20.100000000000001" customHeight="1" x14ac:dyDescent="0.25">
      <c r="A33" s="2" t="s">
        <v>87</v>
      </c>
      <c r="B33" s="93" t="s">
        <v>88</v>
      </c>
      <c r="C33" s="94"/>
      <c r="D33" s="3"/>
      <c r="E33" s="3"/>
      <c r="F33" s="3"/>
      <c r="G33" s="3"/>
      <c r="H33" s="3"/>
      <c r="I33" s="3"/>
      <c r="J33" s="3"/>
      <c r="K33" s="9">
        <f>K34+K42+K47</f>
        <v>42766.195399999997</v>
      </c>
      <c r="L33" s="3"/>
      <c r="M33" s="69"/>
      <c r="N33" s="69"/>
      <c r="O33" s="10">
        <f>ROUND(O34+O42+O47,2)</f>
        <v>52311.61</v>
      </c>
      <c r="P33" s="14">
        <f>P34+P42+P47</f>
        <v>0.14683236182556944</v>
      </c>
    </row>
    <row r="34" spans="1:16" ht="20.100000000000001" customHeight="1" x14ac:dyDescent="0.25">
      <c r="A34" s="4" t="s">
        <v>89</v>
      </c>
      <c r="B34" s="103" t="s">
        <v>90</v>
      </c>
      <c r="C34" s="104"/>
      <c r="D34" s="5"/>
      <c r="E34" s="5"/>
      <c r="F34" s="5"/>
      <c r="G34" s="5"/>
      <c r="H34" s="5"/>
      <c r="I34" s="5"/>
      <c r="J34" s="5"/>
      <c r="K34" s="8">
        <f>SUM(K35:K41)</f>
        <v>30374.4666</v>
      </c>
      <c r="L34" s="5"/>
      <c r="M34" s="71"/>
      <c r="N34" s="71"/>
      <c r="O34" s="13">
        <f>ROUND(SUM(O35:O41),2)</f>
        <v>37154.050000000003</v>
      </c>
      <c r="P34" s="16">
        <f>SUM(P35:P41)</f>
        <v>0.1042869169996327</v>
      </c>
    </row>
    <row r="35" spans="1:16" ht="24.75" x14ac:dyDescent="0.25">
      <c r="A35" s="21" t="s">
        <v>200</v>
      </c>
      <c r="B35" s="22" t="s">
        <v>91</v>
      </c>
      <c r="C35" s="21" t="s">
        <v>92</v>
      </c>
      <c r="D35" s="22" t="s">
        <v>14</v>
      </c>
      <c r="E35" s="23">
        <f>13.18+2.95</f>
        <v>16.13</v>
      </c>
      <c r="F35" s="22" t="s">
        <v>66</v>
      </c>
      <c r="G35" s="12">
        <v>27.06</v>
      </c>
      <c r="H35" s="24">
        <v>78.540000000000006</v>
      </c>
      <c r="I35" s="12">
        <f t="shared" ref="I35:I40" si="20">E35*G35</f>
        <v>436.47779999999995</v>
      </c>
      <c r="J35" s="24">
        <f t="shared" ref="J35:J40" si="21">E35*H35</f>
        <v>1266.8502000000001</v>
      </c>
      <c r="K35" s="24">
        <f t="shared" ref="K35:K40" si="22">I35+J35</f>
        <v>1703.328</v>
      </c>
      <c r="L35" s="11">
        <v>0.22320000000000001</v>
      </c>
      <c r="M35" s="70">
        <f>I35*1.2232</f>
        <v>533.89964495999993</v>
      </c>
      <c r="N35" s="70">
        <f>J35*1.2232</f>
        <v>1549.6111646400002</v>
      </c>
      <c r="O35" s="12">
        <f t="shared" ref="O35:O40" si="23">M35+N35</f>
        <v>2083.5108096000004</v>
      </c>
      <c r="P35" s="15">
        <f t="shared" ref="P35:P40" si="24">O35 / VALOR_TOTAL</f>
        <v>5.8481628039239513E-3</v>
      </c>
    </row>
    <row r="36" spans="1:16" ht="24.75" x14ac:dyDescent="0.25">
      <c r="A36" s="21" t="s">
        <v>201</v>
      </c>
      <c r="B36" s="22" t="s">
        <v>95</v>
      </c>
      <c r="C36" s="21" t="s">
        <v>96</v>
      </c>
      <c r="D36" s="22" t="s">
        <v>14</v>
      </c>
      <c r="E36" s="23">
        <v>92.64</v>
      </c>
      <c r="F36" s="22" t="s">
        <v>15</v>
      </c>
      <c r="G36" s="12">
        <v>48.67</v>
      </c>
      <c r="H36" s="24">
        <v>37.54</v>
      </c>
      <c r="I36" s="12">
        <f t="shared" si="20"/>
        <v>4508.7888000000003</v>
      </c>
      <c r="J36" s="24">
        <f t="shared" si="21"/>
        <v>3477.7055999999998</v>
      </c>
      <c r="K36" s="24">
        <f t="shared" si="22"/>
        <v>7986.4943999999996</v>
      </c>
      <c r="L36" s="11">
        <v>0.22320000000000001</v>
      </c>
      <c r="M36" s="70">
        <f t="shared" ref="M36:M40" si="25">I36*1.2232</f>
        <v>5515.1504601600009</v>
      </c>
      <c r="N36" s="70">
        <f t="shared" ref="N36:N40" si="26">J36*1.2232</f>
        <v>4253.9294899200004</v>
      </c>
      <c r="O36" s="12">
        <f t="shared" si="23"/>
        <v>9769.0799500800022</v>
      </c>
      <c r="P36" s="15">
        <f t="shared" si="24"/>
        <v>2.7420625671524767E-2</v>
      </c>
    </row>
    <row r="37" spans="1:16" ht="24.75" x14ac:dyDescent="0.25">
      <c r="A37" s="21" t="s">
        <v>93</v>
      </c>
      <c r="B37" s="22" t="s">
        <v>71</v>
      </c>
      <c r="C37" s="21" t="s">
        <v>72</v>
      </c>
      <c r="D37" s="22" t="s">
        <v>14</v>
      </c>
      <c r="E37" s="23">
        <v>371.32</v>
      </c>
      <c r="F37" s="22" t="s">
        <v>73</v>
      </c>
      <c r="G37" s="12">
        <v>10.87</v>
      </c>
      <c r="H37" s="24">
        <v>2.4</v>
      </c>
      <c r="I37" s="12">
        <f t="shared" si="20"/>
        <v>4036.2483999999995</v>
      </c>
      <c r="J37" s="24">
        <f t="shared" si="21"/>
        <v>891.16800000000001</v>
      </c>
      <c r="K37" s="24">
        <f t="shared" si="22"/>
        <v>4927.4163999999992</v>
      </c>
      <c r="L37" s="11">
        <v>0.22320000000000001</v>
      </c>
      <c r="M37" s="70">
        <f t="shared" si="25"/>
        <v>4937.1390428799996</v>
      </c>
      <c r="N37" s="70">
        <f t="shared" si="26"/>
        <v>1090.0766976</v>
      </c>
      <c r="O37" s="12">
        <f t="shared" si="23"/>
        <v>6027.21574048</v>
      </c>
      <c r="P37" s="15">
        <f t="shared" si="24"/>
        <v>1.6917665481883028E-2</v>
      </c>
    </row>
    <row r="38" spans="1:16" ht="27.75" customHeight="1" x14ac:dyDescent="0.25">
      <c r="A38" s="21" t="s">
        <v>94</v>
      </c>
      <c r="B38" s="22" t="s">
        <v>99</v>
      </c>
      <c r="C38" s="21" t="s">
        <v>100</v>
      </c>
      <c r="D38" s="22" t="s">
        <v>14</v>
      </c>
      <c r="E38" s="23">
        <v>13.18</v>
      </c>
      <c r="F38" s="22" t="s">
        <v>66</v>
      </c>
      <c r="G38" s="12">
        <v>622.92999999999995</v>
      </c>
      <c r="H38" s="24">
        <v>176.64</v>
      </c>
      <c r="I38" s="12">
        <f t="shared" si="20"/>
        <v>8210.2173999999995</v>
      </c>
      <c r="J38" s="24">
        <f t="shared" si="21"/>
        <v>2328.1151999999997</v>
      </c>
      <c r="K38" s="24">
        <f t="shared" si="22"/>
        <v>10538.3326</v>
      </c>
      <c r="L38" s="11">
        <v>0.22320000000000001</v>
      </c>
      <c r="M38" s="70">
        <f t="shared" si="25"/>
        <v>10042.737923680001</v>
      </c>
      <c r="N38" s="70">
        <f t="shared" si="26"/>
        <v>2847.7505126399997</v>
      </c>
      <c r="O38" s="12">
        <f t="shared" si="23"/>
        <v>12890.48843632</v>
      </c>
      <c r="P38" s="15">
        <f t="shared" si="24"/>
        <v>3.6182041701128126E-2</v>
      </c>
    </row>
    <row r="39" spans="1:16" ht="24" customHeight="1" x14ac:dyDescent="0.25">
      <c r="A39" s="21" t="s">
        <v>97</v>
      </c>
      <c r="B39" s="22" t="s">
        <v>102</v>
      </c>
      <c r="C39" s="21" t="s">
        <v>103</v>
      </c>
      <c r="D39" s="22" t="s">
        <v>14</v>
      </c>
      <c r="E39" s="23">
        <v>18.399999999999999</v>
      </c>
      <c r="F39" s="22" t="s">
        <v>51</v>
      </c>
      <c r="G39" s="12">
        <v>23.02</v>
      </c>
      <c r="H39" s="24">
        <v>12.64</v>
      </c>
      <c r="I39" s="12">
        <f t="shared" si="20"/>
        <v>423.56799999999998</v>
      </c>
      <c r="J39" s="24">
        <f t="shared" si="21"/>
        <v>232.57599999999999</v>
      </c>
      <c r="K39" s="24">
        <f t="shared" si="22"/>
        <v>656.14400000000001</v>
      </c>
      <c r="L39" s="11">
        <v>0.22320000000000001</v>
      </c>
      <c r="M39" s="70">
        <f t="shared" si="25"/>
        <v>518.10837760000004</v>
      </c>
      <c r="N39" s="70">
        <f t="shared" si="26"/>
        <v>284.48696319999999</v>
      </c>
      <c r="O39" s="12">
        <f t="shared" si="23"/>
        <v>802.59534080000003</v>
      </c>
      <c r="P39" s="15">
        <f t="shared" si="24"/>
        <v>2.252788033084571E-3</v>
      </c>
    </row>
    <row r="40" spans="1:16" ht="24" customHeight="1" x14ac:dyDescent="0.25">
      <c r="A40" s="21" t="s">
        <v>98</v>
      </c>
      <c r="B40" s="22" t="s">
        <v>68</v>
      </c>
      <c r="C40" s="21" t="s">
        <v>69</v>
      </c>
      <c r="D40" s="22" t="s">
        <v>14</v>
      </c>
      <c r="E40" s="23">
        <v>44.8</v>
      </c>
      <c r="F40" s="22" t="s">
        <v>51</v>
      </c>
      <c r="G40" s="12">
        <v>51.87</v>
      </c>
      <c r="H40" s="24">
        <v>37.56</v>
      </c>
      <c r="I40" s="12">
        <f t="shared" si="20"/>
        <v>2323.7759999999998</v>
      </c>
      <c r="J40" s="24">
        <f t="shared" si="21"/>
        <v>1682.6880000000001</v>
      </c>
      <c r="K40" s="24">
        <f t="shared" si="22"/>
        <v>4006.4639999999999</v>
      </c>
      <c r="L40" s="11">
        <v>0.22320000000000001</v>
      </c>
      <c r="M40" s="70">
        <f t="shared" si="25"/>
        <v>2842.4428032000001</v>
      </c>
      <c r="N40" s="70">
        <f t="shared" si="26"/>
        <v>2058.2639616000001</v>
      </c>
      <c r="O40" s="12">
        <f t="shared" si="23"/>
        <v>4900.7067648000002</v>
      </c>
      <c r="P40" s="15">
        <f t="shared" si="24"/>
        <v>1.3755691058950694E-2</v>
      </c>
    </row>
    <row r="41" spans="1:16" ht="24" customHeight="1" x14ac:dyDescent="0.25">
      <c r="A41" s="21" t="s">
        <v>101</v>
      </c>
      <c r="B41" s="74" t="s">
        <v>195</v>
      </c>
      <c r="C41" s="75" t="s">
        <v>196</v>
      </c>
      <c r="D41" s="74" t="s">
        <v>14</v>
      </c>
      <c r="E41" s="86">
        <v>49.36</v>
      </c>
      <c r="F41" s="22" t="s">
        <v>73</v>
      </c>
      <c r="G41" s="12">
        <v>10.34</v>
      </c>
      <c r="H41" s="24">
        <v>0.93</v>
      </c>
      <c r="I41" s="12">
        <f t="shared" ref="I41" si="27">E41*G41</f>
        <v>510.38239999999996</v>
      </c>
      <c r="J41" s="24">
        <f t="shared" ref="J41" si="28">E41*H41</f>
        <v>45.904800000000002</v>
      </c>
      <c r="K41" s="24">
        <f t="shared" ref="K41" si="29">I41+J41</f>
        <v>556.28719999999998</v>
      </c>
      <c r="L41" s="11">
        <v>1.2232000000000001</v>
      </c>
      <c r="M41" s="70">
        <f t="shared" ref="M41" si="30">I41*1.2232</f>
        <v>624.29975167999999</v>
      </c>
      <c r="N41" s="70">
        <f t="shared" ref="N41" si="31">J41*1.2232</f>
        <v>56.150751360000008</v>
      </c>
      <c r="O41" s="12">
        <f t="shared" ref="O41" si="32">M41+N41</f>
        <v>680.45050303999994</v>
      </c>
      <c r="P41" s="15">
        <f t="shared" ref="P41" si="33">O41 / VALOR_TOTAL</f>
        <v>1.9099422491375725E-3</v>
      </c>
    </row>
    <row r="42" spans="1:16" ht="20.100000000000001" customHeight="1" x14ac:dyDescent="0.25">
      <c r="A42" s="4" t="s">
        <v>104</v>
      </c>
      <c r="B42" s="103" t="s">
        <v>105</v>
      </c>
      <c r="C42" s="104"/>
      <c r="D42" s="5"/>
      <c r="E42" s="5"/>
      <c r="F42" s="5"/>
      <c r="G42" s="5"/>
      <c r="H42" s="5"/>
      <c r="I42" s="5"/>
      <c r="J42" s="5"/>
      <c r="K42" s="8">
        <f>SUM(K43:K46)</f>
        <v>6714.9553999999998</v>
      </c>
      <c r="L42" s="5"/>
      <c r="M42" s="71"/>
      <c r="N42" s="71"/>
      <c r="O42" s="13">
        <f>ROUND(SUM(O43:O46),2)</f>
        <v>8213.73</v>
      </c>
      <c r="P42" s="16">
        <f>SUM(P43:P46)</f>
        <v>2.3054956180071171E-2</v>
      </c>
    </row>
    <row r="43" spans="1:16" ht="24.75" x14ac:dyDescent="0.25">
      <c r="A43" s="21" t="s">
        <v>106</v>
      </c>
      <c r="B43" s="22" t="s">
        <v>91</v>
      </c>
      <c r="C43" s="21" t="s">
        <v>92</v>
      </c>
      <c r="D43" s="22" t="s">
        <v>14</v>
      </c>
      <c r="E43" s="23">
        <v>4.04</v>
      </c>
      <c r="F43" s="22" t="s">
        <v>66</v>
      </c>
      <c r="G43" s="12">
        <v>27.06</v>
      </c>
      <c r="H43" s="24">
        <v>78.540000000000006</v>
      </c>
      <c r="I43" s="12">
        <f>E43*G43</f>
        <v>109.3224</v>
      </c>
      <c r="J43" s="24">
        <f>E43*H43</f>
        <v>317.30160000000001</v>
      </c>
      <c r="K43" s="24">
        <f>I43+J43</f>
        <v>426.62400000000002</v>
      </c>
      <c r="L43" s="11">
        <v>0.22320000000000001</v>
      </c>
      <c r="M43" s="70">
        <f>I43*1.2232</f>
        <v>133.72315968000001</v>
      </c>
      <c r="N43" s="70">
        <f>J43*1.2232</f>
        <v>388.12331712000002</v>
      </c>
      <c r="O43" s="12">
        <f>M43+N43</f>
        <v>521.8464768</v>
      </c>
      <c r="P43" s="15">
        <f>O43/VALOR_TOTAL</f>
        <v>1.4647599335308591E-3</v>
      </c>
    </row>
    <row r="44" spans="1:16" ht="24.75" x14ac:dyDescent="0.25">
      <c r="A44" s="21" t="s">
        <v>107</v>
      </c>
      <c r="B44" s="22" t="s">
        <v>68</v>
      </c>
      <c r="C44" s="21" t="s">
        <v>69</v>
      </c>
      <c r="D44" s="22" t="s">
        <v>14</v>
      </c>
      <c r="E44" s="23">
        <v>20</v>
      </c>
      <c r="F44" s="22" t="s">
        <v>51</v>
      </c>
      <c r="G44" s="12">
        <v>51.87</v>
      </c>
      <c r="H44" s="24">
        <v>37.56</v>
      </c>
      <c r="I44" s="12">
        <f t="shared" ref="I44" si="34">E44*G44</f>
        <v>1037.3999999999999</v>
      </c>
      <c r="J44" s="24">
        <f t="shared" ref="J44" si="35">E44*H44</f>
        <v>751.2</v>
      </c>
      <c r="K44" s="24">
        <f t="shared" ref="K44" si="36">I44+J44</f>
        <v>1788.6</v>
      </c>
      <c r="L44" s="11">
        <v>0.22320000000000001</v>
      </c>
      <c r="M44" s="70">
        <f t="shared" ref="M44" si="37">I44*1.2232</f>
        <v>1268.94768</v>
      </c>
      <c r="N44" s="70">
        <f t="shared" ref="N44" si="38">J44*1.2232</f>
        <v>918.86784000000011</v>
      </c>
      <c r="O44" s="12">
        <f t="shared" ref="O44" si="39">M44+N44</f>
        <v>2187.8155200000001</v>
      </c>
      <c r="P44" s="15">
        <f t="shared" ref="P44" si="40">O44 / VALOR_TOTAL</f>
        <v>6.1409335084601311E-3</v>
      </c>
    </row>
    <row r="45" spans="1:16" ht="24.75" x14ac:dyDescent="0.25">
      <c r="A45" s="21" t="s">
        <v>108</v>
      </c>
      <c r="B45" s="22" t="s">
        <v>95</v>
      </c>
      <c r="C45" s="21" t="s">
        <v>96</v>
      </c>
      <c r="D45" s="22" t="s">
        <v>14</v>
      </c>
      <c r="E45" s="23">
        <v>32.28</v>
      </c>
      <c r="F45" s="22" t="s">
        <v>15</v>
      </c>
      <c r="G45" s="12">
        <v>48.67</v>
      </c>
      <c r="H45" s="24">
        <v>37.54</v>
      </c>
      <c r="I45" s="12">
        <f t="shared" ref="I45:I46" si="41">E45*G45</f>
        <v>1571.0676000000001</v>
      </c>
      <c r="J45" s="24">
        <f t="shared" ref="J45:J46" si="42">E45*H45</f>
        <v>1211.7912000000001</v>
      </c>
      <c r="K45" s="24">
        <f t="shared" ref="K45:K46" si="43">I45+J45</f>
        <v>2782.8588</v>
      </c>
      <c r="L45" s="11">
        <v>0.22320000000000001</v>
      </c>
      <c r="M45" s="70">
        <f t="shared" ref="M45:M46" si="44">I45*1.2232</f>
        <v>1921.7298883200001</v>
      </c>
      <c r="N45" s="70">
        <f t="shared" ref="N45:N46" si="45">J45*1.2232</f>
        <v>1482.2629958400003</v>
      </c>
      <c r="O45" s="12">
        <f t="shared" ref="O45:O46" si="46">M45+N45</f>
        <v>3403.9928841600004</v>
      </c>
      <c r="P45" s="15">
        <f>O45/VALOR_TOTAL</f>
        <v>9.554596250829224E-3</v>
      </c>
    </row>
    <row r="46" spans="1:16" ht="24.75" x14ac:dyDescent="0.25">
      <c r="A46" s="21" t="s">
        <v>109</v>
      </c>
      <c r="B46" s="22" t="s">
        <v>71</v>
      </c>
      <c r="C46" s="21" t="s">
        <v>72</v>
      </c>
      <c r="D46" s="22" t="s">
        <v>14</v>
      </c>
      <c r="E46" s="23">
        <v>129.38</v>
      </c>
      <c r="F46" s="22" t="s">
        <v>73</v>
      </c>
      <c r="G46" s="12">
        <v>10.87</v>
      </c>
      <c r="H46" s="24">
        <v>2.4</v>
      </c>
      <c r="I46" s="12">
        <f t="shared" si="41"/>
        <v>1406.3605999999997</v>
      </c>
      <c r="J46" s="24">
        <f t="shared" si="42"/>
        <v>310.512</v>
      </c>
      <c r="K46" s="24">
        <f t="shared" si="43"/>
        <v>1716.8725999999997</v>
      </c>
      <c r="L46" s="11">
        <v>0.22320000000000001</v>
      </c>
      <c r="M46" s="70">
        <f t="shared" si="44"/>
        <v>1720.2602859199999</v>
      </c>
      <c r="N46" s="70">
        <f t="shared" si="45"/>
        <v>379.8182784</v>
      </c>
      <c r="O46" s="12">
        <f t="shared" si="46"/>
        <v>2100.0785643199997</v>
      </c>
      <c r="P46" s="15">
        <f>O46/VALOR_TOTAL</f>
        <v>5.894666487250959E-3</v>
      </c>
    </row>
    <row r="47" spans="1:16" ht="20.100000000000001" customHeight="1" x14ac:dyDescent="0.25">
      <c r="A47" s="4" t="s">
        <v>110</v>
      </c>
      <c r="B47" s="103" t="s">
        <v>111</v>
      </c>
      <c r="C47" s="104"/>
      <c r="D47" s="5"/>
      <c r="E47" s="5"/>
      <c r="F47" s="5"/>
      <c r="G47" s="5"/>
      <c r="H47" s="5"/>
      <c r="I47" s="5"/>
      <c r="J47" s="5"/>
      <c r="K47" s="8">
        <f>SUM(K48:K52)</f>
        <v>5676.7733999999991</v>
      </c>
      <c r="L47" s="5"/>
      <c r="M47" s="71"/>
      <c r="N47" s="71"/>
      <c r="O47" s="13">
        <f>ROUND(SUM(O48:O52),2)</f>
        <v>6943.83</v>
      </c>
      <c r="P47" s="16">
        <f>SUM(P48:P52)</f>
        <v>1.9490488645865563E-2</v>
      </c>
    </row>
    <row r="48" spans="1:16" ht="24.75" x14ac:dyDescent="0.25">
      <c r="A48" s="21" t="s">
        <v>112</v>
      </c>
      <c r="B48" s="22" t="s">
        <v>91</v>
      </c>
      <c r="C48" s="21" t="s">
        <v>92</v>
      </c>
      <c r="D48" s="22" t="s">
        <v>14</v>
      </c>
      <c r="E48" s="23">
        <v>4.04</v>
      </c>
      <c r="F48" s="22" t="s">
        <v>66</v>
      </c>
      <c r="G48" s="12">
        <v>27.06</v>
      </c>
      <c r="H48" s="24">
        <v>78.540000000000006</v>
      </c>
      <c r="I48" s="12">
        <f>E48*G48</f>
        <v>109.3224</v>
      </c>
      <c r="J48" s="24">
        <f>E48*H48</f>
        <v>317.30160000000001</v>
      </c>
      <c r="K48" s="24">
        <f>I48+J48</f>
        <v>426.62400000000002</v>
      </c>
      <c r="L48" s="11">
        <v>0.22320000000000001</v>
      </c>
      <c r="M48" s="70">
        <f>I48*1.2232</f>
        <v>133.72315968000001</v>
      </c>
      <c r="N48" s="70">
        <f>J48*1.2232</f>
        <v>388.12331712000002</v>
      </c>
      <c r="O48" s="12">
        <f>M48+N48</f>
        <v>521.8464768</v>
      </c>
      <c r="P48" s="15">
        <f>O48/VALOR_TOTAL</f>
        <v>1.4647599335308591E-3</v>
      </c>
    </row>
    <row r="49" spans="1:19" ht="24.75" x14ac:dyDescent="0.25">
      <c r="A49" s="21" t="s">
        <v>113</v>
      </c>
      <c r="B49" s="22" t="s">
        <v>68</v>
      </c>
      <c r="C49" s="21" t="s">
        <v>69</v>
      </c>
      <c r="D49" s="22" t="s">
        <v>14</v>
      </c>
      <c r="E49" s="23">
        <v>6.4</v>
      </c>
      <c r="F49" s="22" t="s">
        <v>51</v>
      </c>
      <c r="G49" s="12">
        <v>51.87</v>
      </c>
      <c r="H49" s="24">
        <v>37.56</v>
      </c>
      <c r="I49" s="12">
        <f t="shared" ref="I49:I51" si="47">E49*G49</f>
        <v>331.96800000000002</v>
      </c>
      <c r="J49" s="24">
        <f t="shared" ref="J49:J51" si="48">E49*H49</f>
        <v>240.38400000000001</v>
      </c>
      <c r="K49" s="24">
        <f t="shared" ref="K49:K51" si="49">I49+J49</f>
        <v>572.35200000000009</v>
      </c>
      <c r="L49" s="11">
        <v>0.22320000000000001</v>
      </c>
      <c r="M49" s="70">
        <f t="shared" ref="M49:M51" si="50">I49*1.2232</f>
        <v>406.06325760000004</v>
      </c>
      <c r="N49" s="70">
        <f t="shared" ref="N49:N51" si="51">J49*1.2232</f>
        <v>294.03770880000002</v>
      </c>
      <c r="O49" s="12">
        <f t="shared" ref="O49:O51" si="52">M49+N49</f>
        <v>700.10096640000006</v>
      </c>
      <c r="P49" s="15">
        <f>O49/VALOR_TOTAL</f>
        <v>1.9650987227072419E-3</v>
      </c>
    </row>
    <row r="50" spans="1:19" ht="24.75" x14ac:dyDescent="0.25">
      <c r="A50" s="21" t="s">
        <v>114</v>
      </c>
      <c r="B50" s="22" t="s">
        <v>95</v>
      </c>
      <c r="C50" s="21" t="s">
        <v>96</v>
      </c>
      <c r="D50" s="22" t="s">
        <v>14</v>
      </c>
      <c r="E50" s="23">
        <v>32.28</v>
      </c>
      <c r="F50" s="22" t="s">
        <v>15</v>
      </c>
      <c r="G50" s="12">
        <v>48.67</v>
      </c>
      <c r="H50" s="24">
        <v>37.54</v>
      </c>
      <c r="I50" s="12">
        <f t="shared" si="47"/>
        <v>1571.0676000000001</v>
      </c>
      <c r="J50" s="24">
        <f t="shared" si="48"/>
        <v>1211.7912000000001</v>
      </c>
      <c r="K50" s="24">
        <f t="shared" si="49"/>
        <v>2782.8588</v>
      </c>
      <c r="L50" s="11">
        <v>0.22320000000000001</v>
      </c>
      <c r="M50" s="70">
        <f t="shared" si="50"/>
        <v>1921.7298883200001</v>
      </c>
      <c r="N50" s="70">
        <f t="shared" si="51"/>
        <v>1482.2629958400003</v>
      </c>
      <c r="O50" s="12">
        <f t="shared" si="52"/>
        <v>3403.9928841600004</v>
      </c>
      <c r="P50" s="15">
        <f>O50/VALOR_TOTAL</f>
        <v>9.554596250829224E-3</v>
      </c>
    </row>
    <row r="51" spans="1:19" ht="24.75" x14ac:dyDescent="0.25">
      <c r="A51" s="21" t="s">
        <v>115</v>
      </c>
      <c r="B51" s="22" t="s">
        <v>71</v>
      </c>
      <c r="C51" s="21" t="s">
        <v>72</v>
      </c>
      <c r="D51" s="22" t="s">
        <v>14</v>
      </c>
      <c r="E51" s="23">
        <v>129.38</v>
      </c>
      <c r="F51" s="22" t="s">
        <v>73</v>
      </c>
      <c r="G51" s="12">
        <v>10.87</v>
      </c>
      <c r="H51" s="24">
        <v>2.4</v>
      </c>
      <c r="I51" s="12">
        <f t="shared" si="47"/>
        <v>1406.3605999999997</v>
      </c>
      <c r="J51" s="24">
        <f t="shared" si="48"/>
        <v>310.512</v>
      </c>
      <c r="K51" s="24">
        <f t="shared" si="49"/>
        <v>1716.8725999999997</v>
      </c>
      <c r="L51" s="11">
        <v>0.22320000000000001</v>
      </c>
      <c r="M51" s="70">
        <f t="shared" si="50"/>
        <v>1720.2602859199999</v>
      </c>
      <c r="N51" s="70">
        <f t="shared" si="51"/>
        <v>379.8182784</v>
      </c>
      <c r="O51" s="12">
        <f t="shared" si="52"/>
        <v>2100.0785643199997</v>
      </c>
      <c r="P51" s="15">
        <f>O51/VALOR_TOTAL</f>
        <v>5.894666487250959E-3</v>
      </c>
    </row>
    <row r="52" spans="1:19" ht="24" customHeight="1" x14ac:dyDescent="0.25">
      <c r="A52" s="21" t="s">
        <v>202</v>
      </c>
      <c r="B52" s="74" t="s">
        <v>195</v>
      </c>
      <c r="C52" s="75" t="s">
        <v>196</v>
      </c>
      <c r="D52" s="74" t="s">
        <v>14</v>
      </c>
      <c r="E52" s="86">
        <v>15.8</v>
      </c>
      <c r="F52" s="22" t="s">
        <v>73</v>
      </c>
      <c r="G52" s="12">
        <v>10.34</v>
      </c>
      <c r="H52" s="24">
        <v>0.93</v>
      </c>
      <c r="I52" s="12">
        <f t="shared" ref="I52" si="53">E52*G52</f>
        <v>163.37200000000001</v>
      </c>
      <c r="J52" s="24">
        <f t="shared" ref="J52" si="54">E52*H52</f>
        <v>14.694000000000001</v>
      </c>
      <c r="K52" s="24">
        <f t="shared" ref="K52" si="55">I52+J52</f>
        <v>178.066</v>
      </c>
      <c r="L52" s="11">
        <v>1.2232000000000001</v>
      </c>
      <c r="M52" s="70">
        <f t="shared" ref="M52" si="56">I52*1.2232</f>
        <v>199.83663040000002</v>
      </c>
      <c r="N52" s="70">
        <f t="shared" ref="N52" si="57">J52*1.2232</f>
        <v>17.973700800000003</v>
      </c>
      <c r="O52" s="12">
        <f t="shared" ref="O52" si="58">M52+N52</f>
        <v>217.81033120000001</v>
      </c>
      <c r="P52" s="15">
        <f>O52/VALOR_TOTAL</f>
        <v>6.1136725154727815E-4</v>
      </c>
    </row>
    <row r="53" spans="1:19" ht="20.100000000000001" customHeight="1" x14ac:dyDescent="0.25">
      <c r="A53" s="2" t="s">
        <v>116</v>
      </c>
      <c r="B53" s="93" t="s">
        <v>117</v>
      </c>
      <c r="C53" s="94"/>
      <c r="D53" s="3"/>
      <c r="E53" s="3"/>
      <c r="F53" s="3"/>
      <c r="G53" s="3"/>
      <c r="H53" s="3"/>
      <c r="I53" s="3"/>
      <c r="J53" s="3"/>
      <c r="K53" s="7">
        <f>SUM(K54:K58)</f>
        <v>2021.1700000000003</v>
      </c>
      <c r="L53" s="3"/>
      <c r="M53" s="69"/>
      <c r="N53" s="69"/>
      <c r="O53" s="10">
        <f>ROUND(SUM(O54:O58),2)</f>
        <v>2472.3000000000002</v>
      </c>
      <c r="P53" s="14">
        <f>SUM(P54:P58)</f>
        <v>6.9394334000303943E-3</v>
      </c>
    </row>
    <row r="54" spans="1:19" ht="30" customHeight="1" x14ac:dyDescent="0.25">
      <c r="A54" s="21" t="s">
        <v>118</v>
      </c>
      <c r="B54" s="22" t="s">
        <v>119</v>
      </c>
      <c r="C54" s="21" t="s">
        <v>120</v>
      </c>
      <c r="D54" s="22" t="s">
        <v>14</v>
      </c>
      <c r="E54" s="23">
        <v>10</v>
      </c>
      <c r="F54" s="22" t="s">
        <v>51</v>
      </c>
      <c r="G54" s="12">
        <v>7.39</v>
      </c>
      <c r="H54" s="24">
        <v>5.43</v>
      </c>
      <c r="I54" s="12">
        <f>E54*G54</f>
        <v>73.899999999999991</v>
      </c>
      <c r="J54" s="24">
        <f>E54*H54</f>
        <v>54.3</v>
      </c>
      <c r="K54" s="24">
        <f>I54+J54</f>
        <v>128.19999999999999</v>
      </c>
      <c r="L54" s="11">
        <v>0.22320000000000001</v>
      </c>
      <c r="M54" s="70">
        <f>I54*1.2232</f>
        <v>90.394479999999987</v>
      </c>
      <c r="N54" s="70">
        <f>J54*1.2232</f>
        <v>66.419759999999997</v>
      </c>
      <c r="O54" s="12">
        <f>M54+N54</f>
        <v>156.81423999999998</v>
      </c>
      <c r="P54" s="15">
        <f>O54/VALOR_TOTAL</f>
        <v>4.4015860213831415E-4</v>
      </c>
    </row>
    <row r="55" spans="1:19" ht="21.75" customHeight="1" x14ac:dyDescent="0.25">
      <c r="A55" s="21" t="s">
        <v>121</v>
      </c>
      <c r="B55" s="22" t="s">
        <v>122</v>
      </c>
      <c r="C55" s="21" t="s">
        <v>123</v>
      </c>
      <c r="D55" s="22" t="s">
        <v>19</v>
      </c>
      <c r="E55" s="23">
        <v>2</v>
      </c>
      <c r="F55" s="22" t="s">
        <v>20</v>
      </c>
      <c r="G55" s="12">
        <v>766.6</v>
      </c>
      <c r="H55" s="24">
        <v>10.08</v>
      </c>
      <c r="I55" s="12">
        <f t="shared" ref="I55:I58" si="59">E55*G55</f>
        <v>1533.2</v>
      </c>
      <c r="J55" s="24">
        <f t="shared" ref="J55:J58" si="60">E55*H55</f>
        <v>20.16</v>
      </c>
      <c r="K55" s="24">
        <f t="shared" ref="K55:K58" si="61">I55+J55</f>
        <v>1553.3600000000001</v>
      </c>
      <c r="L55" s="11">
        <v>0.22320000000000001</v>
      </c>
      <c r="M55" s="70">
        <f t="shared" ref="M55:M58" si="62">I55*1.2232</f>
        <v>1875.4102400000002</v>
      </c>
      <c r="N55" s="70">
        <f t="shared" ref="N55:N58" si="63">J55*1.2232</f>
        <v>24.659712000000003</v>
      </c>
      <c r="O55" s="12">
        <f t="shared" ref="O55:O58" si="64">M55+N55</f>
        <v>1900.0699520000001</v>
      </c>
      <c r="P55" s="15">
        <f>O55/VALOR_TOTAL</f>
        <v>5.3332665071573462E-3</v>
      </c>
    </row>
    <row r="56" spans="1:19" ht="30.75" customHeight="1" x14ac:dyDescent="0.25">
      <c r="A56" s="21" t="s">
        <v>124</v>
      </c>
      <c r="B56" s="22" t="s">
        <v>125</v>
      </c>
      <c r="C56" s="21" t="s">
        <v>126</v>
      </c>
      <c r="D56" s="22" t="s">
        <v>31</v>
      </c>
      <c r="E56" s="23">
        <v>25</v>
      </c>
      <c r="F56" s="22" t="s">
        <v>51</v>
      </c>
      <c r="G56" s="12">
        <v>1.54</v>
      </c>
      <c r="H56" s="24">
        <v>1.97</v>
      </c>
      <c r="I56" s="12">
        <f t="shared" si="59"/>
        <v>38.5</v>
      </c>
      <c r="J56" s="24">
        <f t="shared" si="60"/>
        <v>49.25</v>
      </c>
      <c r="K56" s="24">
        <f t="shared" si="61"/>
        <v>87.75</v>
      </c>
      <c r="L56" s="11">
        <v>0.22320000000000001</v>
      </c>
      <c r="M56" s="70">
        <f t="shared" si="62"/>
        <v>47.093200000000003</v>
      </c>
      <c r="N56" s="70">
        <f t="shared" si="63"/>
        <v>60.242600000000003</v>
      </c>
      <c r="O56" s="12">
        <f t="shared" si="64"/>
        <v>107.33580000000001</v>
      </c>
      <c r="P56" s="15">
        <f>O56/VALOR_TOTAL</f>
        <v>3.0127860637782429E-4</v>
      </c>
    </row>
    <row r="57" spans="1:19" x14ac:dyDescent="0.25">
      <c r="A57" s="21" t="s">
        <v>189</v>
      </c>
      <c r="B57" s="74" t="s">
        <v>181</v>
      </c>
      <c r="C57" s="75" t="s">
        <v>182</v>
      </c>
      <c r="D57" s="74" t="s">
        <v>19</v>
      </c>
      <c r="E57" s="23">
        <v>5</v>
      </c>
      <c r="F57" s="22" t="s">
        <v>51</v>
      </c>
      <c r="G57" s="12">
        <v>12.19</v>
      </c>
      <c r="H57" s="24">
        <v>0</v>
      </c>
      <c r="I57" s="12">
        <f t="shared" si="59"/>
        <v>60.949999999999996</v>
      </c>
      <c r="J57" s="24">
        <f t="shared" si="60"/>
        <v>0</v>
      </c>
      <c r="K57" s="24">
        <f t="shared" si="61"/>
        <v>60.949999999999996</v>
      </c>
      <c r="L57" s="11">
        <v>0.22320000000000001</v>
      </c>
      <c r="M57" s="70">
        <f t="shared" si="62"/>
        <v>74.554040000000001</v>
      </c>
      <c r="N57" s="70">
        <f t="shared" si="63"/>
        <v>0</v>
      </c>
      <c r="O57" s="12">
        <f t="shared" si="64"/>
        <v>74.554040000000001</v>
      </c>
      <c r="P57" s="15">
        <f>O57/VALOR_TOTAL</f>
        <v>2.0926417160944033E-4</v>
      </c>
    </row>
    <row r="58" spans="1:19" ht="47.25" customHeight="1" x14ac:dyDescent="0.25">
      <c r="A58" s="21" t="s">
        <v>190</v>
      </c>
      <c r="B58" s="74" t="s">
        <v>183</v>
      </c>
      <c r="C58" s="75" t="s">
        <v>184</v>
      </c>
      <c r="D58" s="74" t="s">
        <v>31</v>
      </c>
      <c r="E58" s="23">
        <v>1</v>
      </c>
      <c r="F58" s="22" t="s">
        <v>20</v>
      </c>
      <c r="G58" s="12">
        <v>126.25</v>
      </c>
      <c r="H58" s="24">
        <v>64.66</v>
      </c>
      <c r="I58" s="12">
        <f t="shared" si="59"/>
        <v>126.25</v>
      </c>
      <c r="J58" s="24">
        <f t="shared" si="60"/>
        <v>64.66</v>
      </c>
      <c r="K58" s="24">
        <f t="shared" si="61"/>
        <v>190.91</v>
      </c>
      <c r="L58" s="11">
        <v>0.22320000000000001</v>
      </c>
      <c r="M58" s="70">
        <f t="shared" si="62"/>
        <v>154.429</v>
      </c>
      <c r="N58" s="70">
        <f t="shared" si="63"/>
        <v>79.092112</v>
      </c>
      <c r="O58" s="12">
        <f t="shared" si="64"/>
        <v>233.52111200000002</v>
      </c>
      <c r="P58" s="15">
        <f>O58/VALOR_TOTAL</f>
        <v>6.5546551274746931E-4</v>
      </c>
    </row>
    <row r="59" spans="1:19" ht="20.100000000000001" customHeight="1" x14ac:dyDescent="0.25">
      <c r="A59" s="2" t="s">
        <v>127</v>
      </c>
      <c r="B59" s="93" t="s">
        <v>128</v>
      </c>
      <c r="C59" s="94"/>
      <c r="D59" s="3"/>
      <c r="E59" s="3"/>
      <c r="F59" s="3"/>
      <c r="G59" s="3"/>
      <c r="H59" s="3"/>
      <c r="I59" s="3"/>
      <c r="J59" s="3"/>
      <c r="K59" s="7">
        <f>SUM(K60:K65)</f>
        <v>203817.84920400003</v>
      </c>
      <c r="L59" s="3"/>
      <c r="M59" s="69"/>
      <c r="N59" s="69"/>
      <c r="O59" s="10">
        <f>ROUND(SUM(O60:O65),2)</f>
        <v>249309.99</v>
      </c>
      <c r="P59" s="14">
        <f>SUM(P60:P65)</f>
        <v>0.69978299217215578</v>
      </c>
    </row>
    <row r="60" spans="1:19" ht="41.25" x14ac:dyDescent="0.25">
      <c r="A60" s="21" t="s">
        <v>129</v>
      </c>
      <c r="B60" s="22" t="s">
        <v>130</v>
      </c>
      <c r="C60" s="21" t="s">
        <v>131</v>
      </c>
      <c r="D60" s="22" t="s">
        <v>31</v>
      </c>
      <c r="E60" s="23">
        <v>84.62</v>
      </c>
      <c r="F60" s="22" t="s">
        <v>15</v>
      </c>
      <c r="G60" s="12">
        <v>372.13</v>
      </c>
      <c r="H60" s="24">
        <v>357.19</v>
      </c>
      <c r="I60" s="12">
        <f>E60*G60</f>
        <v>31489.640600000002</v>
      </c>
      <c r="J60" s="24">
        <f>E60*H60</f>
        <v>30225.417800000003</v>
      </c>
      <c r="K60" s="24">
        <f>I60+J60</f>
        <v>61715.058400000009</v>
      </c>
      <c r="L60" s="11">
        <v>0.22320000000000001</v>
      </c>
      <c r="M60" s="70">
        <f>I60*1.2232</f>
        <v>38518.128381920003</v>
      </c>
      <c r="N60" s="70">
        <f>J60*1.2232</f>
        <v>36971.731052960007</v>
      </c>
      <c r="O60" s="12">
        <f>M60+N60</f>
        <v>75489.859434880011</v>
      </c>
      <c r="P60" s="15">
        <f t="shared" ref="P60:P65" si="65">O60/VALOR_TOTAL</f>
        <v>0.21189090355872409</v>
      </c>
    </row>
    <row r="61" spans="1:19" ht="37.5" customHeight="1" x14ac:dyDescent="0.25">
      <c r="A61" s="21" t="s">
        <v>132</v>
      </c>
      <c r="B61" s="22" t="s">
        <v>133</v>
      </c>
      <c r="C61" s="21" t="s">
        <v>134</v>
      </c>
      <c r="D61" s="22" t="s">
        <v>19</v>
      </c>
      <c r="E61" s="23">
        <f>18.4-2</f>
        <v>16.399999999999999</v>
      </c>
      <c r="F61" s="22" t="s">
        <v>51</v>
      </c>
      <c r="G61" s="87">
        <v>396.94</v>
      </c>
      <c r="H61" s="88">
        <v>28.79</v>
      </c>
      <c r="I61" s="12">
        <f t="shared" ref="I61:I65" si="66">E61*G61</f>
        <v>6509.8159999999998</v>
      </c>
      <c r="J61" s="24">
        <f t="shared" ref="J61:J65" si="67">E61*H61</f>
        <v>472.15599999999995</v>
      </c>
      <c r="K61" s="24">
        <f t="shared" ref="K61:K65" si="68">I61+J61</f>
        <v>6981.9719999999998</v>
      </c>
      <c r="L61" s="11">
        <v>0.22320000000000001</v>
      </c>
      <c r="M61" s="70">
        <f t="shared" ref="M61:M65" si="69">I61*1.2232</f>
        <v>7962.8069311999998</v>
      </c>
      <c r="N61" s="70">
        <f t="shared" ref="N61:N65" si="70">J61*1.2232</f>
        <v>577.5412192</v>
      </c>
      <c r="O61" s="12">
        <f t="shared" ref="O61:O65" si="71">M61+N61</f>
        <v>8540.3481503999992</v>
      </c>
      <c r="P61" s="15">
        <f t="shared" si="65"/>
        <v>2.3971724147338919E-2</v>
      </c>
      <c r="Q61" s="6"/>
      <c r="S61" s="85"/>
    </row>
    <row r="62" spans="1:19" ht="39" customHeight="1" x14ac:dyDescent="0.25">
      <c r="A62" s="21" t="s">
        <v>135</v>
      </c>
      <c r="B62" s="22" t="s">
        <v>197</v>
      </c>
      <c r="C62" s="21" t="s">
        <v>194</v>
      </c>
      <c r="D62" s="22" t="s">
        <v>19</v>
      </c>
      <c r="E62" s="23">
        <f>112.43</f>
        <v>112.43</v>
      </c>
      <c r="F62" s="22" t="s">
        <v>51</v>
      </c>
      <c r="G62" s="12">
        <v>974.86</v>
      </c>
      <c r="H62" s="24">
        <v>57.41</v>
      </c>
      <c r="I62" s="12">
        <f t="shared" si="66"/>
        <v>109603.50980000001</v>
      </c>
      <c r="J62" s="24">
        <f t="shared" si="67"/>
        <v>6454.6063000000004</v>
      </c>
      <c r="K62" s="24">
        <f t="shared" si="68"/>
        <v>116058.11610000001</v>
      </c>
      <c r="L62" s="11">
        <v>0.22320000000000001</v>
      </c>
      <c r="M62" s="70">
        <f t="shared" si="69"/>
        <v>134067.01318736002</v>
      </c>
      <c r="N62" s="70">
        <f t="shared" si="70"/>
        <v>7895.274426160001</v>
      </c>
      <c r="O62" s="12">
        <f>M62+N62</f>
        <v>141962.28761352002</v>
      </c>
      <c r="P62" s="15">
        <f t="shared" si="65"/>
        <v>0.39847096840391716</v>
      </c>
      <c r="R62" s="84"/>
      <c r="S62" s="6"/>
    </row>
    <row r="63" spans="1:19" ht="24.75" x14ac:dyDescent="0.25">
      <c r="A63" s="21" t="s">
        <v>136</v>
      </c>
      <c r="B63" s="22" t="s">
        <v>137</v>
      </c>
      <c r="C63" s="21" t="s">
        <v>138</v>
      </c>
      <c r="D63" s="22" t="s">
        <v>19</v>
      </c>
      <c r="E63" s="23">
        <f>2*(1.03*1.03)</f>
        <v>2.1217999999999999</v>
      </c>
      <c r="F63" s="22" t="s">
        <v>15</v>
      </c>
      <c r="G63" s="12">
        <v>761.22</v>
      </c>
      <c r="H63" s="24">
        <v>41.06</v>
      </c>
      <c r="I63" s="12">
        <f t="shared" si="66"/>
        <v>1615.156596</v>
      </c>
      <c r="J63" s="24">
        <f t="shared" si="67"/>
        <v>87.121108000000007</v>
      </c>
      <c r="K63" s="24">
        <f t="shared" si="68"/>
        <v>1702.2777040000001</v>
      </c>
      <c r="L63" s="11">
        <v>0.22320000000000001</v>
      </c>
      <c r="M63" s="70">
        <f t="shared" si="69"/>
        <v>1975.6595482272</v>
      </c>
      <c r="N63" s="70">
        <f t="shared" si="70"/>
        <v>106.56653930560002</v>
      </c>
      <c r="O63" s="12">
        <f t="shared" si="71"/>
        <v>2082.2260875328002</v>
      </c>
      <c r="P63" s="15">
        <f t="shared" si="65"/>
        <v>5.8445567444918804E-3</v>
      </c>
    </row>
    <row r="64" spans="1:19" ht="31.5" customHeight="1" x14ac:dyDescent="0.25">
      <c r="A64" s="21" t="s">
        <v>139</v>
      </c>
      <c r="B64" s="22" t="s">
        <v>140</v>
      </c>
      <c r="C64" s="21" t="s">
        <v>141</v>
      </c>
      <c r="D64" s="22" t="s">
        <v>19</v>
      </c>
      <c r="E64" s="23">
        <v>10</v>
      </c>
      <c r="F64" s="22" t="s">
        <v>15</v>
      </c>
      <c r="G64" s="12">
        <v>406.36</v>
      </c>
      <c r="H64" s="24">
        <v>73.89</v>
      </c>
      <c r="I64" s="12">
        <f t="shared" si="66"/>
        <v>4063.6000000000004</v>
      </c>
      <c r="J64" s="24">
        <f t="shared" si="67"/>
        <v>738.9</v>
      </c>
      <c r="K64" s="24">
        <f t="shared" si="68"/>
        <v>4802.5</v>
      </c>
      <c r="L64" s="11">
        <v>0.22320000000000001</v>
      </c>
      <c r="M64" s="70">
        <f t="shared" si="69"/>
        <v>4970.5955200000008</v>
      </c>
      <c r="N64" s="70">
        <f t="shared" si="70"/>
        <v>903.82248000000004</v>
      </c>
      <c r="O64" s="12">
        <f t="shared" si="71"/>
        <v>5874.4180000000006</v>
      </c>
      <c r="P64" s="15">
        <f t="shared" si="65"/>
        <v>1.6488780708028502E-2</v>
      </c>
    </row>
    <row r="65" spans="1:18" ht="66" x14ac:dyDescent="0.25">
      <c r="A65" s="21" t="s">
        <v>142</v>
      </c>
      <c r="B65" s="22" t="s">
        <v>143</v>
      </c>
      <c r="C65" s="21" t="s">
        <v>144</v>
      </c>
      <c r="D65" s="22" t="s">
        <v>31</v>
      </c>
      <c r="E65" s="23">
        <v>11.25</v>
      </c>
      <c r="F65" s="22" t="s">
        <v>15</v>
      </c>
      <c r="G65" s="12">
        <v>1113.94</v>
      </c>
      <c r="H65" s="24">
        <v>2.3199999999999998</v>
      </c>
      <c r="I65" s="12">
        <f t="shared" si="66"/>
        <v>12531.825000000001</v>
      </c>
      <c r="J65" s="24">
        <f t="shared" si="67"/>
        <v>26.099999999999998</v>
      </c>
      <c r="K65" s="24">
        <f t="shared" si="68"/>
        <v>12557.925000000001</v>
      </c>
      <c r="L65" s="11">
        <v>0.22320000000000001</v>
      </c>
      <c r="M65" s="70">
        <f t="shared" si="69"/>
        <v>15328.928340000002</v>
      </c>
      <c r="N65" s="70">
        <f t="shared" si="70"/>
        <v>31.925519999999999</v>
      </c>
      <c r="O65" s="12">
        <f t="shared" si="71"/>
        <v>15360.853860000003</v>
      </c>
      <c r="P65" s="15">
        <f t="shared" si="65"/>
        <v>4.3116058609655152E-2</v>
      </c>
    </row>
    <row r="66" spans="1:18" ht="20.100000000000001" customHeight="1" x14ac:dyDescent="0.25">
      <c r="A66" s="2" t="s">
        <v>145</v>
      </c>
      <c r="B66" s="93" t="s">
        <v>146</v>
      </c>
      <c r="C66" s="94"/>
      <c r="D66" s="3"/>
      <c r="E66" s="3"/>
      <c r="F66" s="3"/>
      <c r="G66" s="3"/>
      <c r="H66" s="3"/>
      <c r="I66" s="3"/>
      <c r="J66" s="3"/>
      <c r="K66" s="7">
        <f>SUM(K67)</f>
        <v>742</v>
      </c>
      <c r="L66" s="3"/>
      <c r="M66" s="69"/>
      <c r="N66" s="69"/>
      <c r="O66" s="10">
        <f>ROUND(SUM(O67:O67),2)</f>
        <v>907.61</v>
      </c>
      <c r="P66" s="14">
        <f>SUM(P67)</f>
        <v>2.5475638282888391E-3</v>
      </c>
    </row>
    <row r="67" spans="1:18" x14ac:dyDescent="0.25">
      <c r="A67" s="49" t="s">
        <v>147</v>
      </c>
      <c r="B67" s="50" t="s">
        <v>148</v>
      </c>
      <c r="C67" s="49" t="s">
        <v>149</v>
      </c>
      <c r="D67" s="50" t="s">
        <v>19</v>
      </c>
      <c r="E67" s="51">
        <v>40</v>
      </c>
      <c r="F67" s="50" t="s">
        <v>66</v>
      </c>
      <c r="G67" s="52">
        <v>3.97</v>
      </c>
      <c r="H67" s="53">
        <v>14.58</v>
      </c>
      <c r="I67" s="52">
        <f>E67*G67</f>
        <v>158.80000000000001</v>
      </c>
      <c r="J67" s="53">
        <f>E67*H67</f>
        <v>583.20000000000005</v>
      </c>
      <c r="K67" s="53">
        <f>I67+J67</f>
        <v>742</v>
      </c>
      <c r="L67" s="11">
        <v>0.22320000000000001</v>
      </c>
      <c r="M67" s="72">
        <f>I67*1.2232</f>
        <v>194.24416000000002</v>
      </c>
      <c r="N67" s="72">
        <f>J67*1.2232</f>
        <v>713.37024000000008</v>
      </c>
      <c r="O67" s="52">
        <f>M67+N67</f>
        <v>907.61440000000016</v>
      </c>
      <c r="P67" s="17">
        <f>O67/VALOR_TOTAL</f>
        <v>2.5475638282888391E-3</v>
      </c>
    </row>
    <row r="68" spans="1:18" x14ac:dyDescent="0.25">
      <c r="A68" s="62"/>
      <c r="B68" s="63"/>
      <c r="C68" s="62" t="s">
        <v>171</v>
      </c>
      <c r="D68" s="63"/>
      <c r="E68" s="64"/>
      <c r="F68" s="63"/>
      <c r="G68" s="65">
        <v>396.94</v>
      </c>
      <c r="H68" s="66">
        <v>28.79</v>
      </c>
      <c r="I68" s="67"/>
      <c r="J68" s="67"/>
      <c r="K68" s="68"/>
      <c r="L68" s="68"/>
      <c r="M68" s="68">
        <f>M69/VALOR_TOTAL</f>
        <v>0.80789613714519637</v>
      </c>
      <c r="N68" s="68">
        <f>N69/VALOR_TOTAL</f>
        <v>0.19210386649390218</v>
      </c>
      <c r="O68" s="68">
        <f>M68+N68</f>
        <v>1.0000000036390986</v>
      </c>
      <c r="P68" s="68"/>
    </row>
    <row r="69" spans="1:18" x14ac:dyDescent="0.25">
      <c r="A69" s="54"/>
      <c r="B69" s="55"/>
      <c r="C69" s="54"/>
      <c r="D69" s="55"/>
      <c r="E69" s="56"/>
      <c r="F69" s="55"/>
      <c r="G69" s="57"/>
      <c r="H69" s="58"/>
      <c r="I69" s="59"/>
      <c r="J69" s="60"/>
      <c r="K69" s="60"/>
      <c r="L69" s="61"/>
      <c r="M69" s="73">
        <f>SUM(M6:M67)</f>
        <v>287827.20167206717</v>
      </c>
      <c r="N69" s="73">
        <f>SUM(N6:N67)</f>
        <v>68440.379624425608</v>
      </c>
      <c r="O69" s="59">
        <f>M69+N69</f>
        <v>356267.58129649278</v>
      </c>
      <c r="P69" s="61">
        <f>P6+P10+P15+P23+P33+P53+P59+P66</f>
        <v>1.0000000036390986</v>
      </c>
      <c r="Q69" s="83"/>
      <c r="R69" s="83"/>
    </row>
    <row r="70" spans="1:18" ht="15" customHeight="1" x14ac:dyDescent="0.25">
      <c r="A70" s="25"/>
      <c r="B70" s="25"/>
      <c r="C70" s="25"/>
      <c r="D70" s="25"/>
      <c r="E70" s="25"/>
      <c r="F70" s="25"/>
      <c r="G70" s="25"/>
      <c r="H70" s="25"/>
      <c r="I70" s="25"/>
      <c r="J70" s="89"/>
      <c r="K70" s="97" t="s">
        <v>155</v>
      </c>
      <c r="L70" s="98"/>
      <c r="M70" s="98"/>
      <c r="N70" s="99"/>
      <c r="O70" s="111">
        <f>K6+K10+K15+K23+K33+K53+K59+K66</f>
        <v>291258.65050400002</v>
      </c>
      <c r="P70" s="112"/>
    </row>
    <row r="71" spans="1:18" ht="15" customHeight="1" x14ac:dyDescent="0.25">
      <c r="A71" s="25"/>
      <c r="B71" s="25"/>
      <c r="C71" s="25"/>
      <c r="D71" s="25"/>
      <c r="E71" s="25"/>
      <c r="F71" s="25"/>
      <c r="G71" s="25"/>
      <c r="H71" s="25"/>
      <c r="I71" s="25"/>
      <c r="J71" s="89"/>
      <c r="K71" s="105" t="s">
        <v>153</v>
      </c>
      <c r="L71" s="106"/>
      <c r="M71" s="106"/>
      <c r="N71" s="107"/>
      <c r="O71" s="113">
        <f>VALOR_TOTAL-O70</f>
        <v>65008.929495999939</v>
      </c>
      <c r="P71" s="114"/>
    </row>
    <row r="72" spans="1:18" ht="15" customHeight="1" x14ac:dyDescent="0.25">
      <c r="A72" s="25"/>
      <c r="B72" s="25"/>
      <c r="C72" s="25"/>
      <c r="D72" s="25"/>
      <c r="E72" s="25"/>
      <c r="F72" s="25"/>
      <c r="G72" s="25"/>
      <c r="H72" s="25"/>
      <c r="I72" s="25"/>
      <c r="J72" s="89"/>
      <c r="K72" s="108" t="s">
        <v>154</v>
      </c>
      <c r="L72" s="109"/>
      <c r="M72" s="109"/>
      <c r="N72" s="110"/>
      <c r="O72" s="115">
        <f>O6+O10+O15+O23+O33+O53+O59+O66</f>
        <v>356267.57999999996</v>
      </c>
      <c r="P72" s="116"/>
    </row>
    <row r="74" spans="1:18" ht="123" customHeight="1" x14ac:dyDescent="0.25">
      <c r="A74" s="90" t="s">
        <v>199</v>
      </c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91"/>
      <c r="M74" s="91"/>
      <c r="N74" s="91"/>
      <c r="O74" s="91"/>
      <c r="P74" s="91"/>
    </row>
  </sheetData>
  <mergeCells count="36">
    <mergeCell ref="L1:P1"/>
    <mergeCell ref="B34:C34"/>
    <mergeCell ref="D2:G2"/>
    <mergeCell ref="P4:P5"/>
    <mergeCell ref="B42:C42"/>
    <mergeCell ref="L2:P2"/>
    <mergeCell ref="A3:P3"/>
    <mergeCell ref="K71:N71"/>
    <mergeCell ref="K72:N72"/>
    <mergeCell ref="O70:P70"/>
    <mergeCell ref="O71:P71"/>
    <mergeCell ref="O72:P72"/>
    <mergeCell ref="M4:O4"/>
    <mergeCell ref="B66:C66"/>
    <mergeCell ref="B13:C13"/>
    <mergeCell ref="B53:C53"/>
    <mergeCell ref="B47:C47"/>
    <mergeCell ref="B59:C59"/>
    <mergeCell ref="B10:C10"/>
    <mergeCell ref="B11:C11"/>
    <mergeCell ref="A74:P74"/>
    <mergeCell ref="D1:E1"/>
    <mergeCell ref="B6:C6"/>
    <mergeCell ref="A4:A5"/>
    <mergeCell ref="B4:B5"/>
    <mergeCell ref="C4:C5"/>
    <mergeCell ref="D4:D5"/>
    <mergeCell ref="E4:E5"/>
    <mergeCell ref="F4:F5"/>
    <mergeCell ref="G4:H4"/>
    <mergeCell ref="I4:K4"/>
    <mergeCell ref="L4:L5"/>
    <mergeCell ref="B15:C15"/>
    <mergeCell ref="B23:C23"/>
    <mergeCell ref="B33:C33"/>
    <mergeCell ref="K70:N70"/>
  </mergeCells>
  <phoneticPr fontId="17" type="noConversion"/>
  <pageMargins left="0.78740157480314965" right="0.51181102362204722" top="0.51181102362204722" bottom="0.51181102362204722" header="0" footer="0"/>
  <pageSetup paperSize="77" scale="70" orientation="landscape" r:id="rId1"/>
  <headerFooter>
    <oddFooter>Página &amp;P de &amp;N</oddFooter>
  </headerFooter>
  <rowBreaks count="2" manualBreakCount="2">
    <brk id="30" max="13" man="1"/>
    <brk id="52" max="1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M27"/>
  <sheetViews>
    <sheetView topLeftCell="B1" zoomScale="125" zoomScaleNormal="125" workbookViewId="0">
      <selection activeCell="Q14" sqref="Q14"/>
    </sheetView>
  </sheetViews>
  <sheetFormatPr defaultRowHeight="15" x14ac:dyDescent="0.25"/>
  <cols>
    <col min="2" max="2" width="28.28515625" customWidth="1"/>
    <col min="3" max="6" width="16.7109375" customWidth="1"/>
    <col min="7" max="7" width="18.7109375" customWidth="1"/>
  </cols>
  <sheetData>
    <row r="1" spans="1:65" x14ac:dyDescent="0.25">
      <c r="A1" s="41"/>
      <c r="B1" s="82" t="s">
        <v>192</v>
      </c>
      <c r="C1" s="82"/>
      <c r="E1" s="42" t="s">
        <v>156</v>
      </c>
      <c r="F1" s="42" t="s">
        <v>157</v>
      </c>
      <c r="G1" s="26" t="s">
        <v>159</v>
      </c>
    </row>
    <row r="2" spans="1:65" ht="98.25" customHeight="1" x14ac:dyDescent="0.25">
      <c r="A2" s="27"/>
      <c r="B2" s="126" t="s">
        <v>193</v>
      </c>
      <c r="C2" s="126"/>
      <c r="D2" s="126"/>
      <c r="E2" s="26" t="s">
        <v>203</v>
      </c>
      <c r="F2" s="47">
        <v>0.22320000000000001</v>
      </c>
      <c r="G2" s="26" t="s">
        <v>152</v>
      </c>
      <c r="K2" s="117"/>
      <c r="L2" s="118"/>
      <c r="M2" s="118"/>
      <c r="N2" s="118"/>
    </row>
    <row r="3" spans="1:65" s="43" customFormat="1" x14ac:dyDescent="0.25">
      <c r="A3" s="119" t="s">
        <v>167</v>
      </c>
      <c r="B3" s="120"/>
      <c r="C3" s="120"/>
      <c r="D3" s="120"/>
      <c r="E3" s="120"/>
      <c r="F3" s="120"/>
      <c r="G3" s="121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</row>
    <row r="4" spans="1:65" ht="21" customHeight="1" x14ac:dyDescent="0.25">
      <c r="A4" s="48" t="s">
        <v>0</v>
      </c>
      <c r="B4" s="48" t="s">
        <v>2</v>
      </c>
      <c r="C4" s="48" t="s">
        <v>160</v>
      </c>
      <c r="D4" s="48" t="s">
        <v>161</v>
      </c>
      <c r="E4" s="48" t="s">
        <v>162</v>
      </c>
      <c r="F4" s="48" t="s">
        <v>163</v>
      </c>
      <c r="G4" s="48" t="s">
        <v>164</v>
      </c>
    </row>
    <row r="5" spans="1:65" x14ac:dyDescent="0.25">
      <c r="A5" s="123" t="s">
        <v>9</v>
      </c>
      <c r="B5" s="124" t="s">
        <v>10</v>
      </c>
      <c r="C5" s="125">
        <f>orcamento!O6</f>
        <v>2503.9499999999998</v>
      </c>
      <c r="D5" s="28">
        <v>1</v>
      </c>
      <c r="E5" s="35"/>
      <c r="F5" s="35"/>
      <c r="G5" s="29">
        <f t="shared" ref="G5:G20" si="0">SUM(D5:F5)</f>
        <v>1</v>
      </c>
    </row>
    <row r="6" spans="1:65" x14ac:dyDescent="0.25">
      <c r="A6" s="123"/>
      <c r="B6" s="124"/>
      <c r="C6" s="125"/>
      <c r="D6" s="30">
        <f>C5*1</f>
        <v>2503.9499999999998</v>
      </c>
      <c r="E6" s="36" t="str">
        <f>IF(E5&gt;0,IF(AND(SUM(D5:E5)=1,G5=1),C5-SUM(D6:D6),ROUND(C5*E5,2)),"")</f>
        <v/>
      </c>
      <c r="F6" s="36" t="str">
        <f>IF(F5&gt;0,IF(AND(SUM(D5:F5)=1,G5=1),C5-SUM(D6:E6),ROUND(C5*F5,2)),"")</f>
        <v/>
      </c>
      <c r="G6" s="31">
        <f t="shared" si="0"/>
        <v>2503.9499999999998</v>
      </c>
    </row>
    <row r="7" spans="1:65" x14ac:dyDescent="0.25">
      <c r="A7" s="123" t="s">
        <v>24</v>
      </c>
      <c r="B7" s="124" t="s">
        <v>25</v>
      </c>
      <c r="C7" s="125">
        <f>orcamento!O10</f>
        <v>10749.04</v>
      </c>
      <c r="D7" s="35"/>
      <c r="E7" s="35"/>
      <c r="F7" s="28">
        <v>1</v>
      </c>
      <c r="G7" s="29">
        <f t="shared" si="0"/>
        <v>1</v>
      </c>
    </row>
    <row r="8" spans="1:65" x14ac:dyDescent="0.25">
      <c r="A8" s="123"/>
      <c r="B8" s="124"/>
      <c r="C8" s="125"/>
      <c r="D8" s="36" t="str">
        <f>IF(D7&gt;0,ROUND(C7*D7,2),"")</f>
        <v/>
      </c>
      <c r="E8" s="36" t="str">
        <f>IF(E7&gt;0,IF(AND(SUM(D7:E7)=1,G7=1),C7-SUM(D8:D8),ROUND(C7*E7,2)),"")</f>
        <v/>
      </c>
      <c r="F8" s="30">
        <f>C7*1</f>
        <v>10749.04</v>
      </c>
      <c r="G8" s="31">
        <f t="shared" si="0"/>
        <v>10749.04</v>
      </c>
    </row>
    <row r="9" spans="1:65" x14ac:dyDescent="0.25">
      <c r="A9" s="123" t="s">
        <v>38</v>
      </c>
      <c r="B9" s="124" t="s">
        <v>39</v>
      </c>
      <c r="C9" s="125">
        <f>orcamento!O15</f>
        <v>9472.09</v>
      </c>
      <c r="D9" s="28">
        <v>0.5</v>
      </c>
      <c r="E9" s="28">
        <v>0.5</v>
      </c>
      <c r="F9" s="35"/>
      <c r="G9" s="29">
        <f t="shared" si="0"/>
        <v>1</v>
      </c>
    </row>
    <row r="10" spans="1:65" x14ac:dyDescent="0.25">
      <c r="A10" s="123"/>
      <c r="B10" s="124"/>
      <c r="C10" s="125"/>
      <c r="D10" s="30">
        <f>C9*0.5</f>
        <v>4736.0450000000001</v>
      </c>
      <c r="E10" s="30">
        <f>C9*0.5</f>
        <v>4736.0450000000001</v>
      </c>
      <c r="F10" s="36" t="str">
        <f>IF(F9&gt;0,IF(AND(SUM(D9:F9)=1,G9=1),C9-SUM(D10:E10),ROUND(C9*F9,2)),"")</f>
        <v/>
      </c>
      <c r="G10" s="31">
        <f t="shared" si="0"/>
        <v>9472.09</v>
      </c>
    </row>
    <row r="11" spans="1:65" x14ac:dyDescent="0.25">
      <c r="A11" s="123" t="s">
        <v>55</v>
      </c>
      <c r="B11" s="124" t="s">
        <v>56</v>
      </c>
      <c r="C11" s="125">
        <f>orcamento!O23</f>
        <v>28540.99</v>
      </c>
      <c r="D11" s="28">
        <v>0.2</v>
      </c>
      <c r="E11" s="28">
        <v>0.4</v>
      </c>
      <c r="F11" s="28">
        <v>0.4</v>
      </c>
      <c r="G11" s="29">
        <f t="shared" si="0"/>
        <v>1</v>
      </c>
    </row>
    <row r="12" spans="1:65" x14ac:dyDescent="0.25">
      <c r="A12" s="123"/>
      <c r="B12" s="124"/>
      <c r="C12" s="125"/>
      <c r="D12" s="30">
        <f>C11*0.2</f>
        <v>5708.1980000000003</v>
      </c>
      <c r="E12" s="30">
        <f>C11*0.4</f>
        <v>11416.396000000001</v>
      </c>
      <c r="F12" s="30">
        <f>C11*0.4</f>
        <v>11416.396000000001</v>
      </c>
      <c r="G12" s="31">
        <f t="shared" si="0"/>
        <v>28540.99</v>
      </c>
    </row>
    <row r="13" spans="1:65" x14ac:dyDescent="0.25">
      <c r="A13" s="123" t="s">
        <v>87</v>
      </c>
      <c r="B13" s="124" t="s">
        <v>88</v>
      </c>
      <c r="C13" s="125">
        <f>orcamento!O33</f>
        <v>52311.61</v>
      </c>
      <c r="D13" s="28">
        <v>0.5</v>
      </c>
      <c r="E13" s="28">
        <v>0.4</v>
      </c>
      <c r="F13" s="28">
        <v>0.1</v>
      </c>
      <c r="G13" s="29">
        <f t="shared" si="0"/>
        <v>1</v>
      </c>
    </row>
    <row r="14" spans="1:65" x14ac:dyDescent="0.25">
      <c r="A14" s="123"/>
      <c r="B14" s="124"/>
      <c r="C14" s="125"/>
      <c r="D14" s="30">
        <f>C13*0.5</f>
        <v>26155.805</v>
      </c>
      <c r="E14" s="30">
        <f>C13*0.4</f>
        <v>20924.644</v>
      </c>
      <c r="F14" s="30">
        <f>C13*0.1</f>
        <v>5231.1610000000001</v>
      </c>
      <c r="G14" s="31">
        <f t="shared" si="0"/>
        <v>52311.61</v>
      </c>
    </row>
    <row r="15" spans="1:65" x14ac:dyDescent="0.25">
      <c r="A15" s="123" t="s">
        <v>116</v>
      </c>
      <c r="B15" s="124" t="s">
        <v>117</v>
      </c>
      <c r="C15" s="125">
        <f>orcamento!O53</f>
        <v>2472.3000000000002</v>
      </c>
      <c r="D15" s="35"/>
      <c r="E15" s="28">
        <v>0.5</v>
      </c>
      <c r="F15" s="28">
        <v>0.5</v>
      </c>
      <c r="G15" s="29">
        <f t="shared" si="0"/>
        <v>1</v>
      </c>
    </row>
    <row r="16" spans="1:65" x14ac:dyDescent="0.25">
      <c r="A16" s="123"/>
      <c r="B16" s="124"/>
      <c r="C16" s="125"/>
      <c r="D16" s="36" t="str">
        <f>IF(D15&gt;0,ROUND(C15*D15,2),"")</f>
        <v/>
      </c>
      <c r="E16" s="30">
        <f>C15*0.5</f>
        <v>1236.1500000000001</v>
      </c>
      <c r="F16" s="30">
        <f>C15*0.5</f>
        <v>1236.1500000000001</v>
      </c>
      <c r="G16" s="31">
        <f t="shared" si="0"/>
        <v>2472.3000000000002</v>
      </c>
    </row>
    <row r="17" spans="1:7" x14ac:dyDescent="0.25">
      <c r="A17" s="123" t="s">
        <v>127</v>
      </c>
      <c r="B17" s="124" t="s">
        <v>128</v>
      </c>
      <c r="C17" s="125">
        <f>orcamento!O59</f>
        <v>249309.99</v>
      </c>
      <c r="D17" s="28">
        <v>0.33</v>
      </c>
      <c r="E17" s="28">
        <v>0.33</v>
      </c>
      <c r="F17" s="28">
        <v>0.34</v>
      </c>
      <c r="G17" s="29">
        <f t="shared" si="0"/>
        <v>1</v>
      </c>
    </row>
    <row r="18" spans="1:7" x14ac:dyDescent="0.25">
      <c r="A18" s="123"/>
      <c r="B18" s="124"/>
      <c r="C18" s="125"/>
      <c r="D18" s="30">
        <f>C17*0.33</f>
        <v>82272.296700000006</v>
      </c>
      <c r="E18" s="30">
        <f>C17*0.33</f>
        <v>82272.296700000006</v>
      </c>
      <c r="F18" s="30">
        <f>C17*0.34</f>
        <v>84765.396600000007</v>
      </c>
      <c r="G18" s="31">
        <f t="shared" si="0"/>
        <v>249309.99000000002</v>
      </c>
    </row>
    <row r="19" spans="1:7" x14ac:dyDescent="0.25">
      <c r="A19" s="123" t="s">
        <v>145</v>
      </c>
      <c r="B19" s="124" t="s">
        <v>146</v>
      </c>
      <c r="C19" s="125">
        <f>orcamento!O66</f>
        <v>907.61</v>
      </c>
      <c r="D19" s="35"/>
      <c r="E19" s="35"/>
      <c r="F19" s="28">
        <v>1</v>
      </c>
      <c r="G19" s="29">
        <f t="shared" si="0"/>
        <v>1</v>
      </c>
    </row>
    <row r="20" spans="1:7" x14ac:dyDescent="0.25">
      <c r="A20" s="123"/>
      <c r="B20" s="124"/>
      <c r="C20" s="127"/>
      <c r="D20" s="36" t="str">
        <f>IF(D19&gt;0,ROUND(C19*D19,2),"")</f>
        <v/>
      </c>
      <c r="E20" s="36" t="str">
        <f>IF(E19&gt;0,IF(AND(SUM(D19:E19)=1,G19=1),C19-SUM(D20:D20),ROUND(C19*E19,2)),"")</f>
        <v/>
      </c>
      <c r="F20" s="30">
        <f>C19*1</f>
        <v>907.61</v>
      </c>
      <c r="G20" s="31">
        <f t="shared" si="0"/>
        <v>907.61</v>
      </c>
    </row>
    <row r="21" spans="1:7" x14ac:dyDescent="0.25">
      <c r="A21" s="37"/>
      <c r="B21" s="44" t="s">
        <v>165</v>
      </c>
      <c r="C21" s="34">
        <f>SUM(C5,C7,C9,C11,C13,C15,C17,C19)</f>
        <v>356267.57999999996</v>
      </c>
      <c r="D21" s="33">
        <f>D6+D10+D12+D14+D18</f>
        <v>121376.2947</v>
      </c>
      <c r="E21" s="32">
        <f>SUM(E6,E8,E10,E12,E14,E16,E18,E20)</f>
        <v>120585.53170000001</v>
      </c>
      <c r="F21" s="32">
        <f>SUM(F6,F8,F10,F12,F14,F16,F18,F20)</f>
        <v>114305.75360000001</v>
      </c>
      <c r="G21" s="40">
        <f>G6+G8+G10+G12+G14+G16+G18+G20</f>
        <v>356267.58</v>
      </c>
    </row>
    <row r="22" spans="1:7" x14ac:dyDescent="0.25">
      <c r="A22" s="38"/>
      <c r="B22" s="45" t="s">
        <v>166</v>
      </c>
      <c r="C22" s="34"/>
      <c r="D22" s="46">
        <f>D21+C22</f>
        <v>121376.2947</v>
      </c>
      <c r="E22" s="39">
        <f>E21+D22</f>
        <v>241961.82640000002</v>
      </c>
      <c r="F22" s="39">
        <f>F21+E22</f>
        <v>356267.58</v>
      </c>
      <c r="G22" s="40"/>
    </row>
    <row r="26" spans="1:7" x14ac:dyDescent="0.25">
      <c r="E26" s="122" t="s">
        <v>204</v>
      </c>
      <c r="F26" s="122"/>
      <c r="G26" s="122"/>
    </row>
    <row r="27" spans="1:7" ht="109.5" customHeight="1" x14ac:dyDescent="0.25">
      <c r="A27" s="90" t="s">
        <v>199</v>
      </c>
      <c r="B27" s="90"/>
      <c r="C27" s="90"/>
      <c r="D27" s="90"/>
      <c r="E27" s="90"/>
      <c r="F27" s="90"/>
      <c r="G27" s="90"/>
    </row>
  </sheetData>
  <mergeCells count="29">
    <mergeCell ref="A9:A10"/>
    <mergeCell ref="A3:G3"/>
    <mergeCell ref="B2:D2"/>
    <mergeCell ref="A19:A20"/>
    <mergeCell ref="B19:B20"/>
    <mergeCell ref="C19:C20"/>
    <mergeCell ref="A13:A14"/>
    <mergeCell ref="B13:B14"/>
    <mergeCell ref="B9:B10"/>
    <mergeCell ref="C9:C10"/>
    <mergeCell ref="A11:A12"/>
    <mergeCell ref="B11:B12"/>
    <mergeCell ref="C11:C12"/>
    <mergeCell ref="K2:N2"/>
    <mergeCell ref="A27:G27"/>
    <mergeCell ref="E26:G26"/>
    <mergeCell ref="A5:A6"/>
    <mergeCell ref="B5:B6"/>
    <mergeCell ref="C5:C6"/>
    <mergeCell ref="A7:A8"/>
    <mergeCell ref="B7:B8"/>
    <mergeCell ref="C7:C8"/>
    <mergeCell ref="C13:C14"/>
    <mergeCell ref="A15:A16"/>
    <mergeCell ref="B15:B16"/>
    <mergeCell ref="C15:C16"/>
    <mergeCell ref="A17:A18"/>
    <mergeCell ref="B17:B18"/>
    <mergeCell ref="C17:C18"/>
  </mergeCells>
  <printOptions horizontalCentered="1"/>
  <pageMargins left="0.98425196850393704" right="0.51181102362204722" top="0.78740157480314965" bottom="0.78740157480314965" header="0.31496062992125984" footer="0.31496062992125984"/>
  <pageSetup paperSize="9"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orcamento</vt:lpstr>
      <vt:lpstr>cronograma</vt:lpstr>
      <vt:lpstr>cronograma!Area_de_impressao</vt:lpstr>
      <vt:lpstr>orcamento!Area_de_impressao</vt:lpstr>
      <vt:lpstr>orcamento!Titulos_de_impressao</vt:lpstr>
      <vt:lpstr>VALOR_TOTAL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2025-08-07T13:32:25Z</dcterms:created>
  <dcterms:modified xsi:type="dcterms:W3CDTF">2025-09-30T17:38:22Z</dcterms:modified>
</cp:coreProperties>
</file>