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rri.goncalves\Desktop\EDITAL 037-26 EMERGENCIAL CAPINA, ROÇADA VARRIÇÃO\"/>
    </mc:Choice>
  </mc:AlternateContent>
  <bookViews>
    <workbookView xWindow="0" yWindow="0" windowWidth="16380" windowHeight="8190" tabRatio="500"/>
  </bookViews>
  <sheets>
    <sheet name="0. Qtdades e Custos" sheetId="1" r:id="rId1"/>
    <sheet name="1. Capina e Roçada" sheetId="2" r:id="rId2"/>
    <sheet name="2. Varrição Manual" sheetId="3" r:id="rId3"/>
    <sheet name="3. Equipe Técnica" sheetId="4" r:id="rId4"/>
    <sheet name="4.Encargos Sociais" sheetId="5" r:id="rId5"/>
    <sheet name="5. CAGED" sheetId="6" r:id="rId6"/>
    <sheet name="6. BDI" sheetId="7" r:id="rId7"/>
    <sheet name="7. Depreciação" sheetId="8" r:id="rId8"/>
    <sheet name="8. Remuneração de capital" sheetId="9" r:id="rId9"/>
  </sheets>
  <definedNames>
    <definedName name="AbaDeprec">'7. Depreciação'!$A$1</definedName>
    <definedName name="AbaRemun">'8. Remuneração de capital'!$A$1</definedName>
    <definedName name="Google_Sheet_Link_1042153561_717510486">print_titles_0_0_0_0_0</definedName>
    <definedName name="Google_Sheet_Link_1050453953_486749058">print_titles_0_0_0_0_0</definedName>
    <definedName name="Google_Sheet_Link_105190640">AbaDeprec</definedName>
    <definedName name="Google_Sheet_Link_1087969283">AbaDeprec</definedName>
    <definedName name="Google_Sheet_Link_1135249405_2071846243">print_titles_0_0</definedName>
    <definedName name="Google_Sheet_Link_1163500045_277266387">print_titles_0_0_0_0</definedName>
    <definedName name="Google_Sheet_Link_1220612232_277266387">print_titles_0_0_0_0_0_0</definedName>
    <definedName name="Google_Sheet_Link_1245280742_2071846243">print_titles_0_0_0_0_0_0</definedName>
    <definedName name="Google_Sheet_Link_1307130700_717510486">print_titles_0_0_0_0</definedName>
    <definedName name="Google_Sheet_Link_1316656248_277266387">print_titles_0_0</definedName>
    <definedName name="Google_Sheet_Link_1320815511_486749058">print_titles_0_0_0_0_0_0</definedName>
    <definedName name="Google_Sheet_Link_1385402849">AbaRemun</definedName>
    <definedName name="Google_Sheet_Link_138612331_486749058">print_titles_0_0_0</definedName>
    <definedName name="Google_Sheet_Link_1395446409">AbaDeprec</definedName>
    <definedName name="Google_Sheet_Link_1418664634">AbaRemun</definedName>
    <definedName name="Google_Sheet_Link_1422765692_717510486">print_titles_0_0_0</definedName>
    <definedName name="Google_Sheet_Link_1426506448">AbaRemun</definedName>
    <definedName name="Google_Sheet_Link_1431348254">AbaDeprec</definedName>
    <definedName name="Google_Sheet_Link_1438385033_486749058">print_titles_0</definedName>
    <definedName name="Google_Sheet_Link_1604018570">AbaRemun</definedName>
    <definedName name="Google_Sheet_Link_1616338293">AbaDeprec</definedName>
    <definedName name="Google_Sheet_Link_1662217783_486749058">print_titles_0_0_0_0</definedName>
    <definedName name="Google_Sheet_Link_1701136735">AbaDeprec</definedName>
    <definedName name="Google_Sheet_Link_1809128286">AbaRemun</definedName>
    <definedName name="Google_Sheet_Link_1900009241">AbaDeprec</definedName>
    <definedName name="Google_Sheet_Link_1900302552_717510486">print_titles_0_0_0_0_0_0</definedName>
    <definedName name="Google_Sheet_Link_2015704365">AbaDeprec</definedName>
    <definedName name="Google_Sheet_Link_2095691374_486749058">print_titles_0_0</definedName>
    <definedName name="Google_Sheet_Link_232194057">AbaRemun</definedName>
    <definedName name="Google_Sheet_Link_242342722">AbaDeprec</definedName>
    <definedName name="Google_Sheet_Link_381194700_277266387">print_titles_0_0_0</definedName>
    <definedName name="Google_Sheet_Link_449320437_717510486">print_titles_0</definedName>
    <definedName name="Google_Sheet_Link_462677635">AbaRemun</definedName>
    <definedName name="Google_Sheet_Link_508534547">AbaRemun</definedName>
    <definedName name="Google_Sheet_Link_605010821_717510486">print_titles_0_0</definedName>
    <definedName name="Google_Sheet_Link_610769732_277266387">print_titles_0_0_0_0_0</definedName>
    <definedName name="Google_Sheet_Link_639513693">AbaRemun</definedName>
    <definedName name="Google_Sheet_Link_730534228">AbaDeprec</definedName>
    <definedName name="Google_Sheet_Link_741497956">AbaRemun</definedName>
    <definedName name="Google_Sheet_Link_747925257_2071846243">print_titles_0_0_0_0</definedName>
    <definedName name="Google_Sheet_Link_880592875_2071846243">print_titles_0_0_0</definedName>
    <definedName name="Google_Sheet_Link_900373810_2071846243">print_titles_0</definedName>
    <definedName name="Google_Sheet_Link_901519124_277266387">print_titles_0</definedName>
    <definedName name="Google_Sheet_Link_946363014_2071846243">print_titles_0_0_0_0_0</definedName>
    <definedName name="Print_Titles_0" localSheetId="0">'0. Qtdades e Custos'!$1:$20</definedName>
    <definedName name="Print_Titles_0" localSheetId="1">'1. Capina e Roçada'!$1:$8</definedName>
    <definedName name="Print_Titles_0" localSheetId="2">'2. Varrição Manual'!$1:$8</definedName>
    <definedName name="Print_Titles_0" localSheetId="3">'3. Equipe Técnica'!$1:$8</definedName>
    <definedName name="Print_Titles_0_0" localSheetId="0">'0. Qtdades e Custos'!$1:$20</definedName>
    <definedName name="Print_Titles_0_0" localSheetId="1">'1. Capina e Roçada'!$1:$8</definedName>
    <definedName name="Print_Titles_0_0" localSheetId="2">'2. Varrição Manual'!$1:$8</definedName>
    <definedName name="Print_Titles_0_0" localSheetId="3">'3. Equipe Técnica'!$1:$8</definedName>
    <definedName name="Print_Titles_0_0_0" localSheetId="0">'0. Qtdades e Custos'!$1:$20</definedName>
    <definedName name="Print_Titles_0_0_0" localSheetId="1">'1. Capina e Roçada'!$1:$8</definedName>
    <definedName name="Print_Titles_0_0_0" localSheetId="2">'2. Varrição Manual'!$1:$8</definedName>
    <definedName name="Print_Titles_0_0_0" localSheetId="3">'3. Equipe Técnica'!$1:$8</definedName>
    <definedName name="Print_Titles_0_0_0_0" localSheetId="0">'0. Qtdades e Custos'!$1:$20</definedName>
    <definedName name="Print_Titles_0_0_0_0" localSheetId="1">'1. Capina e Roçada'!$1:$8</definedName>
    <definedName name="Print_Titles_0_0_0_0" localSheetId="2">'2. Varrição Manual'!$1:$8</definedName>
    <definedName name="Print_Titles_0_0_0_0" localSheetId="3">'3. Equipe Técnica'!$1:$8</definedName>
    <definedName name="Print_Titles_0_0_0_0_0" localSheetId="0">'0. Qtdades e Custos'!$1:$20</definedName>
    <definedName name="Print_Titles_0_0_0_0_0" localSheetId="1">'1. Capina e Roçada'!$1:$8</definedName>
    <definedName name="Print_Titles_0_0_0_0_0" localSheetId="2">'2. Varrição Manual'!$1:$8</definedName>
    <definedName name="Print_Titles_0_0_0_0_0" localSheetId="3">'3. Equipe Técnica'!$1:$8</definedName>
    <definedName name="Print_Titles_0_0_0_0_0_0" localSheetId="0">'0. Qtdades e Custos'!$1:$20</definedName>
    <definedName name="Print_Titles_0_0_0_0_0_0" localSheetId="1">'1. Capina e Roçada'!$1:$8</definedName>
    <definedName name="Print_Titles_0_0_0_0_0_0" localSheetId="2">'2. Varrição Manual'!$1:$8</definedName>
    <definedName name="Print_Titles_0_0_0_0_0_0" localSheetId="3">'3. Equipe Técnica'!$1:$8</definedName>
  </definedNames>
  <calcPr calcId="152511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5" i="7" l="1"/>
  <c r="C20" i="7" s="1"/>
  <c r="F13" i="7"/>
  <c r="E13" i="7"/>
  <c r="D13" i="7"/>
  <c r="C27" i="6"/>
  <c r="C33" i="6" s="1"/>
  <c r="C25" i="6"/>
  <c r="C26" i="6" s="1"/>
  <c r="C31" i="5" s="1"/>
  <c r="C23" i="6"/>
  <c r="C20" i="5"/>
  <c r="C17" i="5"/>
  <c r="C310" i="4"/>
  <c r="C308" i="4"/>
  <c r="E308" i="4" s="1"/>
  <c r="D309" i="4" s="1"/>
  <c r="E309" i="4" s="1"/>
  <c r="D310" i="4" s="1"/>
  <c r="E310" i="4" s="1"/>
  <c r="F311" i="4" s="1"/>
  <c r="E39" i="4" s="1"/>
  <c r="E306" i="4"/>
  <c r="C301" i="4"/>
  <c r="E287" i="4"/>
  <c r="E279" i="4"/>
  <c r="E268" i="4"/>
  <c r="C267" i="4"/>
  <c r="C283" i="4" s="1"/>
  <c r="E283" i="4" s="1"/>
  <c r="C262" i="4"/>
  <c r="C264" i="4" s="1"/>
  <c r="D261" i="4"/>
  <c r="D272" i="4" s="1"/>
  <c r="E272" i="4" s="1"/>
  <c r="D254" i="4"/>
  <c r="E254" i="4" s="1"/>
  <c r="F255" i="4" s="1"/>
  <c r="E32" i="4" s="1"/>
  <c r="C254" i="4"/>
  <c r="E253" i="4"/>
  <c r="D253" i="4"/>
  <c r="E252" i="4"/>
  <c r="E250" i="4"/>
  <c r="C245" i="4"/>
  <c r="E245" i="4" s="1"/>
  <c r="F246" i="4" s="1"/>
  <c r="E31" i="4" s="1"/>
  <c r="E231" i="4"/>
  <c r="D227" i="4"/>
  <c r="E223" i="4"/>
  <c r="E216" i="4"/>
  <c r="E212" i="4"/>
  <c r="C211" i="4"/>
  <c r="C222" i="4" s="1"/>
  <c r="D208" i="4"/>
  <c r="C206" i="4"/>
  <c r="E205" i="4"/>
  <c r="D283" i="4" s="1"/>
  <c r="D205" i="4"/>
  <c r="D216" i="4" s="1"/>
  <c r="D245" i="4" s="1"/>
  <c r="D193" i="4"/>
  <c r="E193" i="4" s="1"/>
  <c r="C193" i="4"/>
  <c r="D192" i="4"/>
  <c r="E192" i="4" s="1"/>
  <c r="C192" i="4"/>
  <c r="D191" i="4"/>
  <c r="E191" i="4" s="1"/>
  <c r="C191" i="4"/>
  <c r="D190" i="4"/>
  <c r="E190" i="4" s="1"/>
  <c r="C190" i="4"/>
  <c r="D189" i="4"/>
  <c r="E189" i="4" s="1"/>
  <c r="D194" i="4" s="1"/>
  <c r="C189" i="4"/>
  <c r="E184" i="4"/>
  <c r="D182" i="4"/>
  <c r="E182" i="4" s="1"/>
  <c r="C182" i="4"/>
  <c r="D181" i="4"/>
  <c r="C181" i="4"/>
  <c r="D180" i="4"/>
  <c r="E180" i="4" s="1"/>
  <c r="C180" i="4"/>
  <c r="D179" i="4"/>
  <c r="C179" i="4"/>
  <c r="D178" i="4"/>
  <c r="C178" i="4"/>
  <c r="D177" i="4"/>
  <c r="C177" i="4"/>
  <c r="D176" i="4"/>
  <c r="E176" i="4" s="1"/>
  <c r="C176" i="4"/>
  <c r="D175" i="4"/>
  <c r="E175" i="4" s="1"/>
  <c r="C175" i="4"/>
  <c r="E174" i="4"/>
  <c r="D174" i="4"/>
  <c r="C174" i="4"/>
  <c r="E169" i="4"/>
  <c r="C168" i="4"/>
  <c r="E167" i="4"/>
  <c r="D167" i="4"/>
  <c r="C167" i="4"/>
  <c r="D166" i="4"/>
  <c r="E166" i="4" s="1"/>
  <c r="C166" i="4"/>
  <c r="D165" i="4"/>
  <c r="E165" i="4" s="1"/>
  <c r="C165" i="4"/>
  <c r="D164" i="4"/>
  <c r="C164" i="4"/>
  <c r="E164" i="4" s="1"/>
  <c r="E163" i="4"/>
  <c r="D163" i="4"/>
  <c r="C163" i="4"/>
  <c r="D162" i="4"/>
  <c r="E162" i="4" s="1"/>
  <c r="C162" i="4"/>
  <c r="D161" i="4"/>
  <c r="E161" i="4" s="1"/>
  <c r="C161" i="4"/>
  <c r="D160" i="4"/>
  <c r="C160" i="4"/>
  <c r="E160" i="4" s="1"/>
  <c r="E159" i="4"/>
  <c r="D159" i="4"/>
  <c r="C159" i="4"/>
  <c r="E154" i="4"/>
  <c r="D152" i="4"/>
  <c r="E152" i="4" s="1"/>
  <c r="C152" i="4"/>
  <c r="E151" i="4"/>
  <c r="D151" i="4"/>
  <c r="C151" i="4"/>
  <c r="D150" i="4"/>
  <c r="E150" i="4" s="1"/>
  <c r="C150" i="4"/>
  <c r="D149" i="4"/>
  <c r="E149" i="4" s="1"/>
  <c r="C149" i="4"/>
  <c r="D148" i="4"/>
  <c r="E148" i="4" s="1"/>
  <c r="C148" i="4"/>
  <c r="D147" i="4"/>
  <c r="E147" i="4" s="1"/>
  <c r="C147" i="4"/>
  <c r="D146" i="4"/>
  <c r="E146" i="4" s="1"/>
  <c r="C146" i="4"/>
  <c r="D145" i="4"/>
  <c r="E145" i="4" s="1"/>
  <c r="C145" i="4"/>
  <c r="D144" i="4"/>
  <c r="E144" i="4" s="1"/>
  <c r="C144" i="4"/>
  <c r="E135" i="4"/>
  <c r="A134" i="4"/>
  <c r="E128" i="4"/>
  <c r="F129" i="4" s="1"/>
  <c r="A128" i="4"/>
  <c r="E127" i="4"/>
  <c r="A127" i="4"/>
  <c r="A122" i="4"/>
  <c r="A133" i="4" s="1"/>
  <c r="C121" i="4"/>
  <c r="E121" i="4" s="1"/>
  <c r="A121" i="4"/>
  <c r="A132" i="4" s="1"/>
  <c r="E116" i="4"/>
  <c r="F117" i="4" s="1"/>
  <c r="D116" i="4"/>
  <c r="C116" i="4"/>
  <c r="A116" i="4"/>
  <c r="C109" i="4"/>
  <c r="A109" i="4"/>
  <c r="D108" i="4"/>
  <c r="C108" i="4"/>
  <c r="E108" i="4" s="1"/>
  <c r="A108" i="4"/>
  <c r="C107" i="4"/>
  <c r="A107" i="4"/>
  <c r="C106" i="4"/>
  <c r="C122" i="4" s="1"/>
  <c r="E122" i="4" s="1"/>
  <c r="D98" i="4"/>
  <c r="E96" i="4"/>
  <c r="D96" i="4"/>
  <c r="E95" i="4"/>
  <c r="E97" i="4" s="1"/>
  <c r="E91" i="4"/>
  <c r="E86" i="4"/>
  <c r="D86" i="4"/>
  <c r="E85" i="4"/>
  <c r="E87" i="4" s="1"/>
  <c r="E81" i="4"/>
  <c r="D78" i="4"/>
  <c r="E76" i="4"/>
  <c r="D76" i="4"/>
  <c r="E75" i="4"/>
  <c r="E77" i="4" s="1"/>
  <c r="E71" i="4"/>
  <c r="E66" i="4"/>
  <c r="D66" i="4"/>
  <c r="E65" i="4"/>
  <c r="E67" i="4" s="1"/>
  <c r="D65" i="4"/>
  <c r="B59" i="4"/>
  <c r="E195" i="4" s="1"/>
  <c r="A55" i="4"/>
  <c r="E54" i="4"/>
  <c r="A54" i="4"/>
  <c r="A50" i="4"/>
  <c r="E49" i="4"/>
  <c r="C194" i="4" s="1"/>
  <c r="A49" i="4"/>
  <c r="E48" i="4"/>
  <c r="C183" i="4" s="1"/>
  <c r="A48" i="4"/>
  <c r="E47" i="4"/>
  <c r="C133" i="4" s="1"/>
  <c r="E133" i="4" s="1"/>
  <c r="A47" i="4"/>
  <c r="E46" i="4"/>
  <c r="C153" i="4" s="1"/>
  <c r="A46" i="4"/>
  <c r="A40" i="4"/>
  <c r="A39" i="4"/>
  <c r="A38" i="4"/>
  <c r="A37" i="4"/>
  <c r="A36" i="4"/>
  <c r="A33" i="4"/>
  <c r="A32" i="4"/>
  <c r="A31" i="4"/>
  <c r="A30" i="4"/>
  <c r="A29" i="4"/>
  <c r="A26" i="4"/>
  <c r="A25" i="4"/>
  <c r="A24" i="4"/>
  <c r="A23" i="4"/>
  <c r="A22" i="4"/>
  <c r="A21" i="4"/>
  <c r="A20" i="4"/>
  <c r="A19" i="4"/>
  <c r="A18" i="4"/>
  <c r="A17" i="4"/>
  <c r="A16" i="4"/>
  <c r="D287" i="3"/>
  <c r="D262" i="3"/>
  <c r="D261" i="3"/>
  <c r="D260" i="3"/>
  <c r="D259" i="3"/>
  <c r="E247" i="3"/>
  <c r="E248" i="3" s="1"/>
  <c r="F249" i="3" s="1"/>
  <c r="F251" i="3" s="1"/>
  <c r="E32" i="3" s="1"/>
  <c r="D247" i="3"/>
  <c r="E245" i="3"/>
  <c r="D245" i="3"/>
  <c r="D246" i="3" s="1"/>
  <c r="E246" i="3" s="1"/>
  <c r="C239" i="3"/>
  <c r="E237" i="3"/>
  <c r="C237" i="3"/>
  <c r="E235" i="3"/>
  <c r="D238" i="3" s="1"/>
  <c r="E238" i="3" s="1"/>
  <c r="D239" i="3" s="1"/>
  <c r="E239" i="3" s="1"/>
  <c r="F240" i="3" s="1"/>
  <c r="E31" i="3" s="1"/>
  <c r="D230" i="3"/>
  <c r="C230" i="3"/>
  <c r="E230" i="3" s="1"/>
  <c r="F231" i="3" s="1"/>
  <c r="E30" i="3" s="1"/>
  <c r="B220" i="3"/>
  <c r="E216" i="3"/>
  <c r="C214" i="3"/>
  <c r="E214" i="3" s="1"/>
  <c r="E213" i="3"/>
  <c r="C213" i="3"/>
  <c r="E208" i="3"/>
  <c r="C207" i="3"/>
  <c r="C202" i="3"/>
  <c r="E196" i="3"/>
  <c r="D196" i="3"/>
  <c r="E192" i="3"/>
  <c r="C191" i="3"/>
  <c r="C212" i="3" s="1"/>
  <c r="D185" i="3"/>
  <c r="D201" i="3" s="1"/>
  <c r="C185" i="3"/>
  <c r="C201" i="3" s="1"/>
  <c r="E201" i="3" s="1"/>
  <c r="C181" i="3"/>
  <c r="E180" i="3"/>
  <c r="D180" i="3"/>
  <c r="E170" i="3"/>
  <c r="D168" i="3"/>
  <c r="E168" i="3" s="1"/>
  <c r="C168" i="3"/>
  <c r="E167" i="3"/>
  <c r="D167" i="3"/>
  <c r="C167" i="3"/>
  <c r="D166" i="3"/>
  <c r="E166" i="3" s="1"/>
  <c r="C166" i="3"/>
  <c r="D165" i="3"/>
  <c r="E165" i="3" s="1"/>
  <c r="C165" i="3"/>
  <c r="D164" i="3"/>
  <c r="E164" i="3" s="1"/>
  <c r="C164" i="3"/>
  <c r="D163" i="3"/>
  <c r="E163" i="3" s="1"/>
  <c r="D169" i="3" s="1"/>
  <c r="C163" i="3"/>
  <c r="E158" i="3"/>
  <c r="D156" i="3"/>
  <c r="C156" i="3"/>
  <c r="E156" i="3" s="1"/>
  <c r="D155" i="3"/>
  <c r="E155" i="3" s="1"/>
  <c r="C155" i="3"/>
  <c r="E154" i="3"/>
  <c r="D154" i="3"/>
  <c r="C154" i="3"/>
  <c r="D153" i="3"/>
  <c r="E153" i="3" s="1"/>
  <c r="C153" i="3"/>
  <c r="D152" i="3"/>
  <c r="C152" i="3"/>
  <c r="E152" i="3" s="1"/>
  <c r="D151" i="3"/>
  <c r="E151" i="3" s="1"/>
  <c r="C151" i="3"/>
  <c r="E150" i="3"/>
  <c r="D150" i="3"/>
  <c r="C150" i="3"/>
  <c r="D149" i="3"/>
  <c r="E149" i="3" s="1"/>
  <c r="C149" i="3"/>
  <c r="D148" i="3"/>
  <c r="C148" i="3"/>
  <c r="E148" i="3" s="1"/>
  <c r="D147" i="3"/>
  <c r="C147" i="3"/>
  <c r="E142" i="3"/>
  <c r="D140" i="3"/>
  <c r="E140" i="3" s="1"/>
  <c r="C140" i="3"/>
  <c r="D139" i="3"/>
  <c r="C139" i="3"/>
  <c r="E139" i="3" s="1"/>
  <c r="E138" i="3"/>
  <c r="D138" i="3"/>
  <c r="C138" i="3"/>
  <c r="E137" i="3"/>
  <c r="D137" i="3"/>
  <c r="C137" i="3"/>
  <c r="D136" i="3"/>
  <c r="E136" i="3" s="1"/>
  <c r="C136" i="3"/>
  <c r="D135" i="3"/>
  <c r="C135" i="3"/>
  <c r="E135" i="3" s="1"/>
  <c r="E134" i="3"/>
  <c r="D134" i="3"/>
  <c r="C134" i="3"/>
  <c r="E133" i="3"/>
  <c r="D133" i="3"/>
  <c r="C133" i="3"/>
  <c r="D132" i="3"/>
  <c r="E132" i="3" s="1"/>
  <c r="C132" i="3"/>
  <c r="E131" i="3"/>
  <c r="D131" i="3"/>
  <c r="C131" i="3"/>
  <c r="E130" i="3"/>
  <c r="D130" i="3"/>
  <c r="C130" i="3"/>
  <c r="E129" i="3"/>
  <c r="D129" i="3"/>
  <c r="C129" i="3"/>
  <c r="E119" i="3"/>
  <c r="A118" i="3"/>
  <c r="E117" i="3"/>
  <c r="C117" i="3"/>
  <c r="E112" i="3"/>
  <c r="C110" i="3"/>
  <c r="E110" i="3" s="1"/>
  <c r="E103" i="3"/>
  <c r="C103" i="3"/>
  <c r="A97" i="3"/>
  <c r="A104" i="3" s="1"/>
  <c r="A111" i="3" s="1"/>
  <c r="D96" i="3"/>
  <c r="C96" i="3"/>
  <c r="A96" i="3"/>
  <c r="A103" i="3" s="1"/>
  <c r="A110" i="3" s="1"/>
  <c r="A117" i="3" s="1"/>
  <c r="A95" i="3"/>
  <c r="A102" i="3" s="1"/>
  <c r="A109" i="3" s="1"/>
  <c r="A116" i="3" s="1"/>
  <c r="E89" i="3"/>
  <c r="C88" i="3"/>
  <c r="C97" i="3" s="1"/>
  <c r="D84" i="3"/>
  <c r="E84" i="3" s="1"/>
  <c r="D81" i="3"/>
  <c r="E79" i="3"/>
  <c r="E75" i="3"/>
  <c r="C74" i="3"/>
  <c r="D68" i="3"/>
  <c r="E67" i="3"/>
  <c r="E63" i="3"/>
  <c r="C62" i="3"/>
  <c r="D56" i="3"/>
  <c r="C56" i="3"/>
  <c r="E56" i="3" s="1"/>
  <c r="D57" i="3" s="1"/>
  <c r="E57" i="3" s="1"/>
  <c r="E55" i="3"/>
  <c r="E46" i="3"/>
  <c r="E47" i="3" s="1"/>
  <c r="A46" i="3"/>
  <c r="A25" i="3" s="1"/>
  <c r="A42" i="3"/>
  <c r="E41" i="3"/>
  <c r="C157" i="3" s="1"/>
  <c r="A41" i="3"/>
  <c r="A40" i="3"/>
  <c r="A34" i="3"/>
  <c r="A33" i="3"/>
  <c r="A32" i="3"/>
  <c r="A31" i="3"/>
  <c r="A30" i="3"/>
  <c r="A29" i="3"/>
  <c r="A28" i="3"/>
  <c r="A24" i="3"/>
  <c r="A23" i="3"/>
  <c r="A22" i="3"/>
  <c r="A21" i="3"/>
  <c r="A20" i="3"/>
  <c r="A19" i="3"/>
  <c r="A18" i="3"/>
  <c r="A17" i="3"/>
  <c r="A16" i="3"/>
  <c r="D760" i="2"/>
  <c r="D735" i="2"/>
  <c r="D734" i="2"/>
  <c r="D733" i="2"/>
  <c r="D732" i="2"/>
  <c r="D731" i="2"/>
  <c r="D730" i="2"/>
  <c r="D729" i="2"/>
  <c r="E712" i="2"/>
  <c r="E701" i="2"/>
  <c r="C700" i="2"/>
  <c r="C711" i="2" s="1"/>
  <c r="C695" i="2"/>
  <c r="D694" i="2"/>
  <c r="E679" i="2"/>
  <c r="D676" i="2"/>
  <c r="E676" i="2" s="1"/>
  <c r="E677" i="2" s="1"/>
  <c r="D678" i="2" s="1"/>
  <c r="E668" i="2"/>
  <c r="C667" i="2"/>
  <c r="E665" i="2"/>
  <c r="E666" i="2" s="1"/>
  <c r="D667" i="2" s="1"/>
  <c r="D665" i="2"/>
  <c r="C665" i="2"/>
  <c r="C664" i="2"/>
  <c r="E664" i="2" s="1"/>
  <c r="C662" i="2"/>
  <c r="C674" i="2" s="1"/>
  <c r="C675" i="2" s="1"/>
  <c r="D661" i="2"/>
  <c r="E661" i="2" s="1"/>
  <c r="D664" i="2" s="1"/>
  <c r="D649" i="2"/>
  <c r="E649" i="2" s="1"/>
  <c r="E647" i="2"/>
  <c r="D647" i="2"/>
  <c r="D648" i="2" s="1"/>
  <c r="E648" i="2" s="1"/>
  <c r="E640" i="2"/>
  <c r="C640" i="2"/>
  <c r="E638" i="2"/>
  <c r="C633" i="2"/>
  <c r="B623" i="2"/>
  <c r="C642" i="2" s="1"/>
  <c r="E619" i="2"/>
  <c r="C616" i="2"/>
  <c r="E616" i="2" s="1"/>
  <c r="D615" i="2"/>
  <c r="E611" i="2"/>
  <c r="E604" i="2"/>
  <c r="E600" i="2"/>
  <c r="C599" i="2"/>
  <c r="C617" i="2" s="1"/>
  <c r="E617" i="2" s="1"/>
  <c r="C594" i="2"/>
  <c r="E593" i="2"/>
  <c r="D596" i="2" s="1"/>
  <c r="D593" i="2"/>
  <c r="D604" i="2" s="1"/>
  <c r="D582" i="2"/>
  <c r="E582" i="2" s="1"/>
  <c r="E580" i="2"/>
  <c r="D580" i="2"/>
  <c r="D581" i="2" s="1"/>
  <c r="E581" i="2" s="1"/>
  <c r="C573" i="2"/>
  <c r="E573" i="2" s="1"/>
  <c r="E571" i="2"/>
  <c r="E568" i="2"/>
  <c r="D569" i="2" s="1"/>
  <c r="D568" i="2"/>
  <c r="E567" i="2"/>
  <c r="C567" i="2"/>
  <c r="E565" i="2"/>
  <c r="C560" i="2"/>
  <c r="B550" i="2"/>
  <c r="C569" i="2" s="1"/>
  <c r="E546" i="2"/>
  <c r="C543" i="2"/>
  <c r="E543" i="2" s="1"/>
  <c r="D542" i="2"/>
  <c r="C542" i="2"/>
  <c r="E538" i="2"/>
  <c r="C532" i="2"/>
  <c r="C531" i="2"/>
  <c r="E522" i="2"/>
  <c r="C521" i="2"/>
  <c r="C537" i="2" s="1"/>
  <c r="C516" i="2"/>
  <c r="C511" i="2"/>
  <c r="F503" i="2"/>
  <c r="E50" i="2" s="1"/>
  <c r="E500" i="2"/>
  <c r="F501" i="2" s="1"/>
  <c r="E499" i="2"/>
  <c r="D499" i="2"/>
  <c r="E498" i="2"/>
  <c r="D498" i="2"/>
  <c r="D497" i="2"/>
  <c r="E497" i="2" s="1"/>
  <c r="C497" i="2"/>
  <c r="C499" i="2" s="1"/>
  <c r="C492" i="2"/>
  <c r="C490" i="2"/>
  <c r="E490" i="2" s="1"/>
  <c r="D491" i="2" s="1"/>
  <c r="E491" i="2" s="1"/>
  <c r="D492" i="2" s="1"/>
  <c r="E492" i="2" s="1"/>
  <c r="E488" i="2"/>
  <c r="C486" i="2"/>
  <c r="D485" i="2"/>
  <c r="E485" i="2" s="1"/>
  <c r="D486" i="2" s="1"/>
  <c r="C484" i="2"/>
  <c r="E484" i="2" s="1"/>
  <c r="E482" i="2"/>
  <c r="D477" i="2"/>
  <c r="C477" i="2"/>
  <c r="E477" i="2" s="1"/>
  <c r="F478" i="2" s="1"/>
  <c r="B467" i="2"/>
  <c r="E463" i="2"/>
  <c r="C459" i="2"/>
  <c r="E455" i="2"/>
  <c r="C449" i="2"/>
  <c r="E448" i="2"/>
  <c r="D448" i="2"/>
  <c r="C448" i="2"/>
  <c r="E439" i="2"/>
  <c r="C438" i="2"/>
  <c r="C460" i="2" s="1"/>
  <c r="E460" i="2" s="1"/>
  <c r="C433" i="2"/>
  <c r="C435" i="2" s="1"/>
  <c r="D432" i="2"/>
  <c r="C432" i="2"/>
  <c r="E432" i="2" s="1"/>
  <c r="C431" i="2"/>
  <c r="C430" i="2"/>
  <c r="C428" i="2"/>
  <c r="D427" i="2"/>
  <c r="D443" i="2" s="1"/>
  <c r="E443" i="2" s="1"/>
  <c r="D414" i="2"/>
  <c r="E414" i="2" s="1"/>
  <c r="D412" i="2"/>
  <c r="D413" i="2" s="1"/>
  <c r="E413" i="2" s="1"/>
  <c r="E415" i="2" s="1"/>
  <c r="F416" i="2" s="1"/>
  <c r="F418" i="2" s="1"/>
  <c r="E42" i="2" s="1"/>
  <c r="C406" i="2"/>
  <c r="E406" i="2" s="1"/>
  <c r="E404" i="2"/>
  <c r="D407" i="2" s="1"/>
  <c r="E407" i="2" s="1"/>
  <c r="D408" i="2" s="1"/>
  <c r="C403" i="2"/>
  <c r="C401" i="2"/>
  <c r="E401" i="2" s="1"/>
  <c r="E399" i="2"/>
  <c r="D402" i="2" s="1"/>
  <c r="E402" i="2" s="1"/>
  <c r="D403" i="2" s="1"/>
  <c r="C394" i="2"/>
  <c r="B384" i="2"/>
  <c r="E380" i="2"/>
  <c r="E378" i="2"/>
  <c r="C378" i="2"/>
  <c r="D377" i="2"/>
  <c r="E372" i="2"/>
  <c r="E361" i="2"/>
  <c r="C360" i="2"/>
  <c r="C358" i="2"/>
  <c r="C355" i="2"/>
  <c r="C357" i="2" s="1"/>
  <c r="D354" i="2"/>
  <c r="D342" i="2"/>
  <c r="D340" i="2"/>
  <c r="D341" i="2" s="1"/>
  <c r="E341" i="2" s="1"/>
  <c r="C333" i="2"/>
  <c r="E331" i="2"/>
  <c r="D332" i="2" s="1"/>
  <c r="E332" i="2" s="1"/>
  <c r="D333" i="2" s="1"/>
  <c r="C331" i="2"/>
  <c r="E329" i="2"/>
  <c r="D324" i="2"/>
  <c r="C324" i="2"/>
  <c r="E324" i="2" s="1"/>
  <c r="F325" i="2" s="1"/>
  <c r="B314" i="2"/>
  <c r="C408" i="2" s="1"/>
  <c r="E310" i="2"/>
  <c r="C308" i="2"/>
  <c r="E308" i="2" s="1"/>
  <c r="C307" i="2"/>
  <c r="E307" i="2" s="1"/>
  <c r="D306" i="2"/>
  <c r="H305" i="2"/>
  <c r="E302" i="2"/>
  <c r="C297" i="2"/>
  <c r="D295" i="2"/>
  <c r="E295" i="2" s="1"/>
  <c r="E291" i="2"/>
  <c r="C290" i="2"/>
  <c r="C288" i="2"/>
  <c r="C287" i="2"/>
  <c r="C285" i="2"/>
  <c r="E284" i="2"/>
  <c r="D376" i="2" s="1"/>
  <c r="D284" i="2"/>
  <c r="E274" i="2"/>
  <c r="C273" i="2"/>
  <c r="D272" i="2"/>
  <c r="C272" i="2"/>
  <c r="E272" i="2" s="1"/>
  <c r="D271" i="2"/>
  <c r="E271" i="2" s="1"/>
  <c r="C271" i="2"/>
  <c r="D270" i="2"/>
  <c r="C270" i="2"/>
  <c r="E270" i="2" s="1"/>
  <c r="D269" i="2"/>
  <c r="C269" i="2"/>
  <c r="D268" i="2"/>
  <c r="C268" i="2"/>
  <c r="E268" i="2" s="1"/>
  <c r="D267" i="2"/>
  <c r="E267" i="2" s="1"/>
  <c r="C267" i="2"/>
  <c r="E266" i="2"/>
  <c r="D266" i="2"/>
  <c r="C266" i="2"/>
  <c r="D265" i="2"/>
  <c r="C265" i="2"/>
  <c r="D264" i="2"/>
  <c r="C264" i="2"/>
  <c r="E264" i="2" s="1"/>
  <c r="E259" i="2"/>
  <c r="E257" i="2"/>
  <c r="D257" i="2"/>
  <c r="C257" i="2"/>
  <c r="D256" i="2"/>
  <c r="E256" i="2" s="1"/>
  <c r="C256" i="2"/>
  <c r="E255" i="2"/>
  <c r="D255" i="2"/>
  <c r="C255" i="2"/>
  <c r="D254" i="2"/>
  <c r="E254" i="2" s="1"/>
  <c r="C254" i="2"/>
  <c r="D253" i="2"/>
  <c r="E253" i="2" s="1"/>
  <c r="D258" i="2" s="1"/>
  <c r="C253" i="2"/>
  <c r="E252" i="2"/>
  <c r="D252" i="2"/>
  <c r="C252" i="2"/>
  <c r="E247" i="2"/>
  <c r="D245" i="2"/>
  <c r="E245" i="2" s="1"/>
  <c r="C245" i="2"/>
  <c r="D244" i="2"/>
  <c r="E244" i="2" s="1"/>
  <c r="C244" i="2"/>
  <c r="D243" i="2"/>
  <c r="E243" i="2" s="1"/>
  <c r="C243" i="2"/>
  <c r="D242" i="2"/>
  <c r="C242" i="2"/>
  <c r="E242" i="2" s="1"/>
  <c r="D241" i="2"/>
  <c r="C241" i="2"/>
  <c r="E240" i="2"/>
  <c r="D240" i="2"/>
  <c r="C240" i="2"/>
  <c r="E235" i="2"/>
  <c r="E233" i="2"/>
  <c r="D233" i="2"/>
  <c r="C233" i="2"/>
  <c r="D232" i="2"/>
  <c r="E232" i="2" s="1"/>
  <c r="C232" i="2"/>
  <c r="D231" i="2"/>
  <c r="C231" i="2"/>
  <c r="D230" i="2"/>
  <c r="E230" i="2" s="1"/>
  <c r="C230" i="2"/>
  <c r="D229" i="2"/>
  <c r="E229" i="2" s="1"/>
  <c r="C229" i="2"/>
  <c r="E228" i="2"/>
  <c r="D228" i="2"/>
  <c r="C228" i="2"/>
  <c r="D227" i="2"/>
  <c r="C227" i="2"/>
  <c r="D226" i="2"/>
  <c r="C226" i="2"/>
  <c r="E225" i="2"/>
  <c r="D225" i="2"/>
  <c r="C225" i="2"/>
  <c r="E224" i="2"/>
  <c r="D224" i="2"/>
  <c r="C224" i="2"/>
  <c r="E219" i="2"/>
  <c r="D217" i="2"/>
  <c r="E217" i="2" s="1"/>
  <c r="C217" i="2"/>
  <c r="E216" i="2"/>
  <c r="D216" i="2"/>
  <c r="C216" i="2"/>
  <c r="D215" i="2"/>
  <c r="E215" i="2" s="1"/>
  <c r="C215" i="2"/>
  <c r="D214" i="2"/>
  <c r="C214" i="2"/>
  <c r="D213" i="2"/>
  <c r="C213" i="2"/>
  <c r="E213" i="2" s="1"/>
  <c r="D212" i="2"/>
  <c r="E212" i="2" s="1"/>
  <c r="C212" i="2"/>
  <c r="D211" i="2"/>
  <c r="E211" i="2" s="1"/>
  <c r="C211" i="2"/>
  <c r="D210" i="2"/>
  <c r="C210" i="2"/>
  <c r="D209" i="2"/>
  <c r="E209" i="2" s="1"/>
  <c r="C209" i="2"/>
  <c r="D208" i="2"/>
  <c r="E208" i="2" s="1"/>
  <c r="C208" i="2"/>
  <c r="D207" i="2"/>
  <c r="E207" i="2" s="1"/>
  <c r="C207" i="2"/>
  <c r="D206" i="2"/>
  <c r="E206" i="2" s="1"/>
  <c r="C206" i="2"/>
  <c r="D205" i="2"/>
  <c r="E205" i="2" s="1"/>
  <c r="C205" i="2"/>
  <c r="E196" i="2"/>
  <c r="C194" i="2"/>
  <c r="E194" i="2" s="1"/>
  <c r="E187" i="2"/>
  <c r="C186" i="2"/>
  <c r="E186" i="2" s="1"/>
  <c r="A186" i="2"/>
  <c r="A195" i="2" s="1"/>
  <c r="C185" i="2"/>
  <c r="E185" i="2" s="1"/>
  <c r="A185" i="2"/>
  <c r="A194" i="2" s="1"/>
  <c r="A175" i="2"/>
  <c r="A184" i="2" s="1"/>
  <c r="A193" i="2" s="1"/>
  <c r="C168" i="2"/>
  <c r="A168" i="2"/>
  <c r="A177" i="2" s="1"/>
  <c r="C167" i="2"/>
  <c r="E167" i="2" s="1"/>
  <c r="A167" i="2"/>
  <c r="A176" i="2" s="1"/>
  <c r="D166" i="2"/>
  <c r="A166" i="2"/>
  <c r="A165" i="2"/>
  <c r="A174" i="2" s="1"/>
  <c r="A183" i="2" s="1"/>
  <c r="A192" i="2" s="1"/>
  <c r="D164" i="2"/>
  <c r="A164" i="2"/>
  <c r="A173" i="2" s="1"/>
  <c r="A182" i="2" s="1"/>
  <c r="A191" i="2" s="1"/>
  <c r="E157" i="2"/>
  <c r="C156" i="2"/>
  <c r="D152" i="2"/>
  <c r="E152" i="2" s="1"/>
  <c r="E149" i="2"/>
  <c r="D168" i="2" s="1"/>
  <c r="E145" i="2"/>
  <c r="C144" i="2"/>
  <c r="E140" i="2"/>
  <c r="D140" i="2"/>
  <c r="E137" i="2"/>
  <c r="D167" i="2" s="1"/>
  <c r="E133" i="2"/>
  <c r="C132" i="2"/>
  <c r="D128" i="2"/>
  <c r="E128" i="2" s="1"/>
  <c r="E129" i="2" s="1"/>
  <c r="E125" i="2"/>
  <c r="E121" i="2"/>
  <c r="C120" i="2"/>
  <c r="E116" i="2"/>
  <c r="E117" i="2" s="1"/>
  <c r="D116" i="2"/>
  <c r="E115" i="2"/>
  <c r="D165" i="2" s="1"/>
  <c r="E111" i="2"/>
  <c r="C110" i="2"/>
  <c r="D108" i="2"/>
  <c r="E107" i="2"/>
  <c r="E105" i="2"/>
  <c r="D106" i="2" s="1"/>
  <c r="E106" i="2" s="1"/>
  <c r="E96" i="2"/>
  <c r="A96" i="2"/>
  <c r="A95" i="2"/>
  <c r="E94" i="2"/>
  <c r="A94" i="2"/>
  <c r="E93" i="2"/>
  <c r="A93" i="2"/>
  <c r="E92" i="2"/>
  <c r="A92" i="2"/>
  <c r="A91" i="2"/>
  <c r="E90" i="2"/>
  <c r="A90" i="2"/>
  <c r="E86" i="2"/>
  <c r="C195" i="2" s="1"/>
  <c r="E195" i="2" s="1"/>
  <c r="A86" i="2"/>
  <c r="E85" i="2"/>
  <c r="A85" i="2"/>
  <c r="E84" i="2"/>
  <c r="C184" i="2" s="1"/>
  <c r="E184" i="2" s="1"/>
  <c r="A84" i="2"/>
  <c r="A83" i="2"/>
  <c r="A82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E63" i="2"/>
  <c r="A63" i="2"/>
  <c r="A62" i="2"/>
  <c r="A61" i="2"/>
  <c r="A60" i="2"/>
  <c r="A59" i="2"/>
  <c r="A58" i="2"/>
  <c r="A57" i="2"/>
  <c r="A56" i="2"/>
  <c r="A55" i="2"/>
  <c r="A54" i="2"/>
  <c r="A50" i="2"/>
  <c r="A49" i="2"/>
  <c r="E48" i="2"/>
  <c r="A48" i="2"/>
  <c r="A47" i="2"/>
  <c r="A46" i="2"/>
  <c r="A42" i="2"/>
  <c r="A41" i="2"/>
  <c r="A40" i="2"/>
  <c r="A39" i="2"/>
  <c r="A38" i="2"/>
  <c r="A35" i="2"/>
  <c r="A34" i="2"/>
  <c r="A33" i="2"/>
  <c r="E32" i="2"/>
  <c r="A32" i="2"/>
  <c r="A31" i="2"/>
  <c r="A30" i="2"/>
  <c r="A27" i="2"/>
  <c r="A26" i="2"/>
  <c r="A25" i="2"/>
  <c r="A24" i="2"/>
  <c r="A23" i="2"/>
  <c r="A22" i="2"/>
  <c r="A21" i="2"/>
  <c r="A20" i="2"/>
  <c r="A19" i="2"/>
  <c r="A18" i="2"/>
  <c r="A17" i="2"/>
  <c r="A16" i="2"/>
  <c r="L146" i="1"/>
  <c r="K146" i="1"/>
  <c r="I146" i="1"/>
  <c r="G146" i="1"/>
  <c r="D146" i="1"/>
  <c r="K145" i="1"/>
  <c r="I145" i="1"/>
  <c r="G145" i="1"/>
  <c r="D145" i="1"/>
  <c r="L145" i="1" s="1"/>
  <c r="K144" i="1"/>
  <c r="L144" i="1" s="1"/>
  <c r="I144" i="1"/>
  <c r="G144" i="1"/>
  <c r="D144" i="1"/>
  <c r="K143" i="1"/>
  <c r="I143" i="1"/>
  <c r="G143" i="1"/>
  <c r="D143" i="1"/>
  <c r="L143" i="1" s="1"/>
  <c r="K142" i="1"/>
  <c r="I142" i="1"/>
  <c r="G142" i="1"/>
  <c r="L142" i="1" s="1"/>
  <c r="D142" i="1"/>
  <c r="K141" i="1"/>
  <c r="I141" i="1"/>
  <c r="G141" i="1"/>
  <c r="D141" i="1"/>
  <c r="L141" i="1" s="1"/>
  <c r="K140" i="1"/>
  <c r="I140" i="1"/>
  <c r="G140" i="1"/>
  <c r="D140" i="1"/>
  <c r="L140" i="1" s="1"/>
  <c r="L139" i="1"/>
  <c r="K139" i="1"/>
  <c r="I139" i="1"/>
  <c r="G139" i="1"/>
  <c r="D139" i="1"/>
  <c r="K138" i="1"/>
  <c r="I138" i="1"/>
  <c r="G138" i="1"/>
  <c r="D138" i="1"/>
  <c r="I130" i="1"/>
  <c r="G130" i="1"/>
  <c r="J130" i="1" s="1"/>
  <c r="D130" i="1"/>
  <c r="I129" i="1"/>
  <c r="G129" i="1"/>
  <c r="D129" i="1"/>
  <c r="J129" i="1" s="1"/>
  <c r="J128" i="1"/>
  <c r="I128" i="1"/>
  <c r="G128" i="1"/>
  <c r="D128" i="1"/>
  <c r="I127" i="1"/>
  <c r="G127" i="1"/>
  <c r="J127" i="1" s="1"/>
  <c r="D127" i="1"/>
  <c r="I126" i="1"/>
  <c r="G126" i="1"/>
  <c r="D126" i="1"/>
  <c r="J126" i="1" s="1"/>
  <c r="I125" i="1"/>
  <c r="J125" i="1" s="1"/>
  <c r="G125" i="1"/>
  <c r="D125" i="1"/>
  <c r="I124" i="1"/>
  <c r="G124" i="1"/>
  <c r="J124" i="1" s="1"/>
  <c r="D124" i="1"/>
  <c r="I123" i="1"/>
  <c r="G123" i="1"/>
  <c r="D123" i="1"/>
  <c r="J123" i="1" s="1"/>
  <c r="I122" i="1"/>
  <c r="G122" i="1"/>
  <c r="J122" i="1" s="1"/>
  <c r="D122" i="1"/>
  <c r="I121" i="1"/>
  <c r="G121" i="1"/>
  <c r="J121" i="1" s="1"/>
  <c r="D121" i="1"/>
  <c r="I120" i="1"/>
  <c r="G120" i="1"/>
  <c r="D120" i="1"/>
  <c r="J120" i="1" s="1"/>
  <c r="I119" i="1"/>
  <c r="G119" i="1"/>
  <c r="D119" i="1"/>
  <c r="J119" i="1" s="1"/>
  <c r="P112" i="1"/>
  <c r="C734" i="2" s="1"/>
  <c r="E734" i="2" s="1"/>
  <c r="O112" i="1"/>
  <c r="P111" i="1"/>
  <c r="C733" i="2" s="1"/>
  <c r="E733" i="2" s="1"/>
  <c r="O111" i="1"/>
  <c r="N110" i="1"/>
  <c r="K110" i="1"/>
  <c r="I110" i="1"/>
  <c r="G110" i="1"/>
  <c r="D110" i="1"/>
  <c r="O110" i="1" s="1"/>
  <c r="N109" i="1"/>
  <c r="K109" i="1"/>
  <c r="O109" i="1" s="1"/>
  <c r="I109" i="1"/>
  <c r="G109" i="1"/>
  <c r="D109" i="1"/>
  <c r="N108" i="1"/>
  <c r="K108" i="1"/>
  <c r="I108" i="1"/>
  <c r="G108" i="1"/>
  <c r="D108" i="1"/>
  <c r="O108" i="1" s="1"/>
  <c r="N107" i="1"/>
  <c r="K107" i="1"/>
  <c r="I107" i="1"/>
  <c r="O107" i="1" s="1"/>
  <c r="G107" i="1"/>
  <c r="D107" i="1"/>
  <c r="N106" i="1"/>
  <c r="K106" i="1"/>
  <c r="I106" i="1"/>
  <c r="G106" i="1"/>
  <c r="D106" i="1"/>
  <c r="O106" i="1" s="1"/>
  <c r="N105" i="1"/>
  <c r="K105" i="1"/>
  <c r="I105" i="1"/>
  <c r="G105" i="1"/>
  <c r="O105" i="1" s="1"/>
  <c r="D105" i="1"/>
  <c r="N104" i="1"/>
  <c r="K104" i="1"/>
  <c r="I104" i="1"/>
  <c r="G104" i="1"/>
  <c r="D104" i="1"/>
  <c r="O104" i="1" s="1"/>
  <c r="N103" i="1"/>
  <c r="K103" i="1"/>
  <c r="I103" i="1"/>
  <c r="G103" i="1"/>
  <c r="O103" i="1" s="1"/>
  <c r="D103" i="1"/>
  <c r="N102" i="1"/>
  <c r="K102" i="1"/>
  <c r="I102" i="1"/>
  <c r="G102" i="1"/>
  <c r="D102" i="1"/>
  <c r="O102" i="1" s="1"/>
  <c r="N101" i="1"/>
  <c r="K101" i="1"/>
  <c r="I101" i="1"/>
  <c r="G101" i="1"/>
  <c r="O101" i="1" s="1"/>
  <c r="D101" i="1"/>
  <c r="N100" i="1"/>
  <c r="K100" i="1"/>
  <c r="I100" i="1"/>
  <c r="G100" i="1"/>
  <c r="D100" i="1"/>
  <c r="O100" i="1" s="1"/>
  <c r="N99" i="1"/>
  <c r="K99" i="1"/>
  <c r="I99" i="1"/>
  <c r="G99" i="1"/>
  <c r="O99" i="1" s="1"/>
  <c r="D99" i="1"/>
  <c r="N98" i="1"/>
  <c r="K98" i="1"/>
  <c r="I98" i="1"/>
  <c r="G98" i="1"/>
  <c r="D98" i="1"/>
  <c r="H86" i="1"/>
  <c r="C262" i="3" s="1"/>
  <c r="E262" i="3" s="1"/>
  <c r="H85" i="1"/>
  <c r="C261" i="3" s="1"/>
  <c r="E261" i="3" s="1"/>
  <c r="H84" i="1"/>
  <c r="C260" i="3" s="1"/>
  <c r="E260" i="3" s="1"/>
  <c r="H83" i="1"/>
  <c r="C259" i="3" s="1"/>
  <c r="E259" i="3" s="1"/>
  <c r="F263" i="3" s="1"/>
  <c r="F265" i="3" s="1"/>
  <c r="E33" i="3" s="1"/>
  <c r="H82" i="1"/>
  <c r="C735" i="2" s="1"/>
  <c r="E735" i="2" s="1"/>
  <c r="G82" i="1"/>
  <c r="H81" i="1"/>
  <c r="C732" i="2" s="1"/>
  <c r="E732" i="2" s="1"/>
  <c r="H80" i="1"/>
  <c r="C731" i="2" s="1"/>
  <c r="E731" i="2" s="1"/>
  <c r="H79" i="1"/>
  <c r="C730" i="2" s="1"/>
  <c r="E730" i="2" s="1"/>
  <c r="H78" i="1"/>
  <c r="C729" i="2" s="1"/>
  <c r="E729" i="2" s="1"/>
  <c r="W67" i="1"/>
  <c r="U67" i="1"/>
  <c r="X67" i="1" s="1"/>
  <c r="Y67" i="1" s="1"/>
  <c r="B292" i="4" s="1"/>
  <c r="C295" i="4" s="1"/>
  <c r="C296" i="4" s="1"/>
  <c r="E296" i="4" s="1"/>
  <c r="F297" i="4" s="1"/>
  <c r="E37" i="4" s="1"/>
  <c r="W66" i="1"/>
  <c r="X66" i="1" s="1"/>
  <c r="Y66" i="1" s="1"/>
  <c r="B236" i="4" s="1"/>
  <c r="C239" i="4" s="1"/>
  <c r="C240" i="4" s="1"/>
  <c r="E240" i="4" s="1"/>
  <c r="F241" i="4" s="1"/>
  <c r="E30" i="4" s="1"/>
  <c r="U66" i="1"/>
  <c r="S65" i="1"/>
  <c r="R65" i="1"/>
  <c r="Q65" i="1"/>
  <c r="P65" i="1"/>
  <c r="W64" i="1"/>
  <c r="U64" i="1"/>
  <c r="X64" i="1" s="1"/>
  <c r="Y64" i="1" s="1"/>
  <c r="B221" i="3" s="1"/>
  <c r="C224" i="3" s="1"/>
  <c r="C225" i="3" s="1"/>
  <c r="E225" i="3" s="1"/>
  <c r="F226" i="3" s="1"/>
  <c r="E29" i="3" s="1"/>
  <c r="S63" i="1"/>
  <c r="R63" i="1"/>
  <c r="Q63" i="1"/>
  <c r="P63" i="1"/>
  <c r="N63" i="1"/>
  <c r="D515" i="2" s="1"/>
  <c r="M63" i="1"/>
  <c r="W62" i="1"/>
  <c r="U62" i="1"/>
  <c r="N62" i="1"/>
  <c r="D510" i="2" s="1"/>
  <c r="M62" i="1"/>
  <c r="S61" i="1"/>
  <c r="R61" i="1"/>
  <c r="Q61" i="1"/>
  <c r="P61" i="1"/>
  <c r="W60" i="1"/>
  <c r="U60" i="1"/>
  <c r="X60" i="1" s="1"/>
  <c r="Y60" i="1" s="1"/>
  <c r="B468" i="2" s="1"/>
  <c r="C471" i="2" s="1"/>
  <c r="C472" i="2" s="1"/>
  <c r="E472" i="2" s="1"/>
  <c r="F473" i="2" s="1"/>
  <c r="E47" i="2" s="1"/>
  <c r="W59" i="1"/>
  <c r="X59" i="1" s="1"/>
  <c r="Y59" i="1" s="1"/>
  <c r="B716" i="2" s="1"/>
  <c r="C719" i="2" s="1"/>
  <c r="C720" i="2" s="1"/>
  <c r="E720" i="2" s="1"/>
  <c r="F721" i="2" s="1"/>
  <c r="E74" i="2" s="1"/>
  <c r="U59" i="1"/>
  <c r="W58" i="1"/>
  <c r="X58" i="1" s="1"/>
  <c r="Y58" i="1" s="1"/>
  <c r="B683" i="2" s="1"/>
  <c r="C686" i="2" s="1"/>
  <c r="C687" i="2" s="1"/>
  <c r="E687" i="2" s="1"/>
  <c r="F688" i="2" s="1"/>
  <c r="E70" i="2" s="1"/>
  <c r="U58" i="1"/>
  <c r="X57" i="1"/>
  <c r="Y57" i="1" s="1"/>
  <c r="B624" i="2" s="1"/>
  <c r="C627" i="2" s="1"/>
  <c r="C628" i="2" s="1"/>
  <c r="E628" i="2" s="1"/>
  <c r="F629" i="2" s="1"/>
  <c r="W57" i="1"/>
  <c r="W56" i="1"/>
  <c r="U56" i="1"/>
  <c r="X56" i="1" s="1"/>
  <c r="Y56" i="1" s="1"/>
  <c r="B385" i="2" s="1"/>
  <c r="C388" i="2" s="1"/>
  <c r="C389" i="2" s="1"/>
  <c r="E389" i="2" s="1"/>
  <c r="F390" i="2" s="1"/>
  <c r="E39" i="2" s="1"/>
  <c r="X55" i="1"/>
  <c r="Y55" i="1" s="1"/>
  <c r="B315" i="2" s="1"/>
  <c r="C318" i="2" s="1"/>
  <c r="C319" i="2" s="1"/>
  <c r="E319" i="2" s="1"/>
  <c r="F320" i="2" s="1"/>
  <c r="E31" i="2" s="1"/>
  <c r="W55" i="1"/>
  <c r="U55" i="1"/>
  <c r="E26" i="1"/>
  <c r="E25" i="1"/>
  <c r="E24" i="1"/>
  <c r="E23" i="1"/>
  <c r="E22" i="1"/>
  <c r="E21" i="1"/>
  <c r="E20" i="1"/>
  <c r="E19" i="1"/>
  <c r="E18" i="1"/>
  <c r="E17" i="1"/>
  <c r="D118" i="2" l="1"/>
  <c r="D130" i="2"/>
  <c r="X62" i="1"/>
  <c r="Y62" i="1" s="1"/>
  <c r="B551" i="2" s="1"/>
  <c r="C554" i="2" s="1"/>
  <c r="C555" i="2" s="1"/>
  <c r="E555" i="2" s="1"/>
  <c r="F556" i="2" s="1"/>
  <c r="F736" i="2"/>
  <c r="F738" i="2" s="1"/>
  <c r="E75" i="2" s="1"/>
  <c r="C193" i="2"/>
  <c r="E193" i="2" s="1"/>
  <c r="C246" i="2"/>
  <c r="E667" i="2"/>
  <c r="F668" i="2" s="1"/>
  <c r="E68" i="2" s="1"/>
  <c r="C678" i="2"/>
  <c r="E678" i="2" s="1"/>
  <c r="F679" i="2" s="1"/>
  <c r="E69" i="2" s="1"/>
  <c r="E194" i="4"/>
  <c r="F195" i="4" s="1"/>
  <c r="E83" i="2"/>
  <c r="C165" i="2"/>
  <c r="E165" i="2" s="1"/>
  <c r="E82" i="2"/>
  <c r="E153" i="2"/>
  <c r="E227" i="2"/>
  <c r="E569" i="2"/>
  <c r="E96" i="3"/>
  <c r="D183" i="3"/>
  <c r="D212" i="3"/>
  <c r="E226" i="2"/>
  <c r="D234" i="2" s="1"/>
  <c r="C258" i="2"/>
  <c r="E258" i="2" s="1"/>
  <c r="F259" i="2" s="1"/>
  <c r="C176" i="2"/>
  <c r="E176" i="2" s="1"/>
  <c r="C175" i="2"/>
  <c r="E175" i="2" s="1"/>
  <c r="E486" i="2"/>
  <c r="F493" i="2" s="1"/>
  <c r="E49" i="2" s="1"/>
  <c r="D365" i="2"/>
  <c r="E365" i="2" s="1"/>
  <c r="E354" i="2"/>
  <c r="D357" i="2" s="1"/>
  <c r="E357" i="2" s="1"/>
  <c r="D358" i="2" s="1"/>
  <c r="E358" i="2" s="1"/>
  <c r="E359" i="2" s="1"/>
  <c r="D360" i="2" s="1"/>
  <c r="E360" i="2" s="1"/>
  <c r="F361" i="2" s="1"/>
  <c r="E36" i="2" s="1"/>
  <c r="D394" i="2"/>
  <c r="E394" i="2" s="1"/>
  <c r="F395" i="2" s="1"/>
  <c r="E40" i="2" s="1"/>
  <c r="E650" i="2"/>
  <c r="F651" i="2" s="1"/>
  <c r="F653" i="2" s="1"/>
  <c r="E66" i="2" s="1"/>
  <c r="E214" i="2"/>
  <c r="C376" i="2"/>
  <c r="E376" i="2" s="1"/>
  <c r="D379" i="2" s="1"/>
  <c r="E379" i="2" s="1"/>
  <c r="F380" i="2" s="1"/>
  <c r="E38" i="2" s="1"/>
  <c r="C371" i="2"/>
  <c r="E91" i="2"/>
  <c r="E97" i="2" s="1"/>
  <c r="E403" i="2"/>
  <c r="E560" i="2"/>
  <c r="F561" i="2" s="1"/>
  <c r="E583" i="2"/>
  <c r="F584" i="2" s="1"/>
  <c r="F586" i="2" s="1"/>
  <c r="E58" i="2" s="1"/>
  <c r="D97" i="3"/>
  <c r="E85" i="3"/>
  <c r="E147" i="3"/>
  <c r="D157" i="3" s="1"/>
  <c r="E210" i="2"/>
  <c r="D218" i="2" s="1"/>
  <c r="E231" i="2"/>
  <c r="E515" i="2"/>
  <c r="D518" i="2" s="1"/>
  <c r="D531" i="2"/>
  <c r="E531" i="2" s="1"/>
  <c r="E141" i="2"/>
  <c r="E95" i="2"/>
  <c r="C177" i="2"/>
  <c r="E177" i="2" s="1"/>
  <c r="C450" i="2"/>
  <c r="D435" i="2"/>
  <c r="E435" i="2" s="1"/>
  <c r="L138" i="1"/>
  <c r="O98" i="1"/>
  <c r="E269" i="2"/>
  <c r="C377" i="2"/>
  <c r="E377" i="2" s="1"/>
  <c r="D560" i="2"/>
  <c r="E510" i="2"/>
  <c r="D513" i="2" s="1"/>
  <c r="D526" i="2"/>
  <c r="E526" i="2" s="1"/>
  <c r="C164" i="2"/>
  <c r="E164" i="2" s="1"/>
  <c r="E168" i="2"/>
  <c r="E333" i="2"/>
  <c r="F334" i="2" s="1"/>
  <c r="E33" i="2" s="1"/>
  <c r="D183" i="4"/>
  <c r="E183" i="4" s="1"/>
  <c r="F184" i="4" s="1"/>
  <c r="D168" i="4"/>
  <c r="E168" i="4" s="1"/>
  <c r="F169" i="4" s="1"/>
  <c r="C166" i="2"/>
  <c r="E166" i="2" s="1"/>
  <c r="D574" i="2"/>
  <c r="E574" i="2" s="1"/>
  <c r="D575" i="2" s="1"/>
  <c r="D641" i="2"/>
  <c r="E641" i="2" s="1"/>
  <c r="D642" i="2" s="1"/>
  <c r="D95" i="3"/>
  <c r="D58" i="3"/>
  <c r="E58" i="3" s="1"/>
  <c r="E59" i="3" s="1"/>
  <c r="E212" i="3"/>
  <c r="D215" i="3" s="1"/>
  <c r="E215" i="3" s="1"/>
  <c r="F216" i="3" s="1"/>
  <c r="E28" i="3" s="1"/>
  <c r="E264" i="4"/>
  <c r="E459" i="2"/>
  <c r="D462" i="2" s="1"/>
  <c r="E462" i="2" s="1"/>
  <c r="F463" i="2" s="1"/>
  <c r="E46" i="2" s="1"/>
  <c r="C184" i="3"/>
  <c r="C183" i="3"/>
  <c r="C186" i="3"/>
  <c r="C27" i="5"/>
  <c r="E408" i="2"/>
  <c r="F409" i="2" s="1"/>
  <c r="E41" i="2" s="1"/>
  <c r="E241" i="2"/>
  <c r="D246" i="2" s="1"/>
  <c r="E265" i="2"/>
  <c r="D273" i="2" s="1"/>
  <c r="E273" i="2" s="1"/>
  <c r="F274" i="2" s="1"/>
  <c r="E542" i="2"/>
  <c r="C597" i="2"/>
  <c r="C596" i="2"/>
  <c r="E596" i="2" s="1"/>
  <c r="D597" i="2" s="1"/>
  <c r="E597" i="2" s="1"/>
  <c r="E598" i="2" s="1"/>
  <c r="D599" i="2" s="1"/>
  <c r="E599" i="2" s="1"/>
  <c r="F600" i="2" s="1"/>
  <c r="E60" i="2" s="1"/>
  <c r="E642" i="2"/>
  <c r="F643" i="2" s="1"/>
  <c r="E65" i="2" s="1"/>
  <c r="D141" i="3"/>
  <c r="F123" i="4"/>
  <c r="E22" i="4" s="1"/>
  <c r="D153" i="4"/>
  <c r="E153" i="4" s="1"/>
  <c r="F154" i="4" s="1"/>
  <c r="E157" i="3"/>
  <c r="F158" i="3" s="1"/>
  <c r="E181" i="4"/>
  <c r="C519" i="2"/>
  <c r="C518" i="2"/>
  <c r="D705" i="2"/>
  <c r="E705" i="2" s="1"/>
  <c r="E694" i="2"/>
  <c r="D697" i="2" s="1"/>
  <c r="E97" i="3"/>
  <c r="C698" i="2"/>
  <c r="C697" i="2"/>
  <c r="D68" i="4"/>
  <c r="D88" i="4"/>
  <c r="C272" i="3"/>
  <c r="C322" i="4"/>
  <c r="C745" i="2"/>
  <c r="C367" i="2"/>
  <c r="C461" i="2"/>
  <c r="E461" i="2" s="1"/>
  <c r="D633" i="2"/>
  <c r="E633" i="2" s="1"/>
  <c r="F634" i="2" s="1"/>
  <c r="E64" i="2" s="1"/>
  <c r="D672" i="2"/>
  <c r="E672" i="2" s="1"/>
  <c r="C610" i="2"/>
  <c r="C134" i="4"/>
  <c r="E134" i="4" s="1"/>
  <c r="C265" i="4"/>
  <c r="C284" i="4"/>
  <c r="E284" i="4" s="1"/>
  <c r="D286" i="4" s="1"/>
  <c r="E286" i="4" s="1"/>
  <c r="F287" i="4" s="1"/>
  <c r="E36" i="4" s="1"/>
  <c r="D287" i="2"/>
  <c r="E287" i="2" s="1"/>
  <c r="D288" i="2" s="1"/>
  <c r="E288" i="2" s="1"/>
  <c r="E289" i="2" s="1"/>
  <c r="D290" i="2" s="1"/>
  <c r="E290" i="2" s="1"/>
  <c r="F291" i="2" s="1"/>
  <c r="C306" i="2"/>
  <c r="E306" i="2" s="1"/>
  <c r="D309" i="2" s="1"/>
  <c r="E309" i="2" s="1"/>
  <c r="F310" i="2" s="1"/>
  <c r="E30" i="2" s="1"/>
  <c r="E412" i="2"/>
  <c r="C436" i="2"/>
  <c r="C454" i="2"/>
  <c r="C514" i="2"/>
  <c r="C575" i="2"/>
  <c r="E575" i="2" s="1"/>
  <c r="E42" i="3"/>
  <c r="C68" i="3"/>
  <c r="E68" i="3" s="1"/>
  <c r="C95" i="3"/>
  <c r="E95" i="3" s="1"/>
  <c r="F98" i="3" s="1"/>
  <c r="E20" i="3" s="1"/>
  <c r="E185" i="3"/>
  <c r="D188" i="3" s="1"/>
  <c r="D107" i="4"/>
  <c r="E107" i="4" s="1"/>
  <c r="D265" i="4"/>
  <c r="E265" i="4" s="1"/>
  <c r="E266" i="4" s="1"/>
  <c r="D267" i="4" s="1"/>
  <c r="E267" i="4" s="1"/>
  <c r="F268" i="4" s="1"/>
  <c r="E34" i="4" s="1"/>
  <c r="E51" i="4"/>
  <c r="C208" i="4"/>
  <c r="C227" i="4"/>
  <c r="E227" i="4" s="1"/>
  <c r="C285" i="4"/>
  <c r="E285" i="4" s="1"/>
  <c r="D301" i="4"/>
  <c r="E301" i="4" s="1"/>
  <c r="F302" i="4" s="1"/>
  <c r="E38" i="4" s="1"/>
  <c r="C278" i="4"/>
  <c r="C28" i="6"/>
  <c r="C615" i="2"/>
  <c r="E615" i="2" s="1"/>
  <c r="D618" i="2" s="1"/>
  <c r="E618" i="2" s="1"/>
  <c r="F619" i="2" s="1"/>
  <c r="E62" i="2" s="1"/>
  <c r="C209" i="4"/>
  <c r="C228" i="4"/>
  <c r="E228" i="4" s="1"/>
  <c r="C30" i="5"/>
  <c r="E55" i="4"/>
  <c r="E56" i="4" s="1"/>
  <c r="C132" i="4"/>
  <c r="E132" i="4" s="1"/>
  <c r="C301" i="2"/>
  <c r="C340" i="2"/>
  <c r="C342" i="2" s="1"/>
  <c r="E342" i="2" s="1"/>
  <c r="E343" i="2" s="1"/>
  <c r="F344" i="2" s="1"/>
  <c r="F346" i="2" s="1"/>
  <c r="E34" i="2" s="1"/>
  <c r="D459" i="2"/>
  <c r="C81" i="3"/>
  <c r="E81" i="3" s="1"/>
  <c r="D82" i="3" s="1"/>
  <c r="E82" i="3" s="1"/>
  <c r="C229" i="4"/>
  <c r="E229" i="4" s="1"/>
  <c r="E261" i="4"/>
  <c r="D264" i="4" s="1"/>
  <c r="C544" i="2"/>
  <c r="E544" i="2" s="1"/>
  <c r="E101" i="4"/>
  <c r="E340" i="2"/>
  <c r="E40" i="3"/>
  <c r="D109" i="4"/>
  <c r="E109" i="4" s="1"/>
  <c r="E427" i="2"/>
  <c r="C513" i="2"/>
  <c r="E513" i="2" s="1"/>
  <c r="D514" i="2" s="1"/>
  <c r="E514" i="2" s="1"/>
  <c r="D60" i="3" l="1"/>
  <c r="D436" i="2"/>
  <c r="E436" i="2" s="1"/>
  <c r="C451" i="2"/>
  <c r="D452" i="2" s="1"/>
  <c r="E452" i="2" s="1"/>
  <c r="E28" i="2"/>
  <c r="F110" i="4"/>
  <c r="E21" i="4" s="1"/>
  <c r="F197" i="4"/>
  <c r="E24" i="4" s="1"/>
  <c r="C368" i="2"/>
  <c r="D369" i="2" s="1"/>
  <c r="E369" i="2" s="1"/>
  <c r="E370" i="2" s="1"/>
  <c r="D371" i="2" s="1"/>
  <c r="E371" i="2"/>
  <c r="F372" i="2" s="1"/>
  <c r="E37" i="2" s="1"/>
  <c r="C191" i="2"/>
  <c r="E191" i="2" s="1"/>
  <c r="C182" i="2"/>
  <c r="E182" i="2" s="1"/>
  <c r="F187" i="2" s="1"/>
  <c r="E24" i="2" s="1"/>
  <c r="E87" i="2"/>
  <c r="C218" i="2"/>
  <c r="E218" i="2" s="1"/>
  <c r="F219" i="2" s="1"/>
  <c r="C173" i="2"/>
  <c r="E173" i="2" s="1"/>
  <c r="E56" i="2"/>
  <c r="E55" i="2"/>
  <c r="D142" i="2"/>
  <c r="D86" i="3"/>
  <c r="C35" i="5"/>
  <c r="C533" i="2"/>
  <c r="E518" i="2"/>
  <c r="D519" i="2" s="1"/>
  <c r="E519" i="2" s="1"/>
  <c r="C298" i="2"/>
  <c r="D299" i="2" s="1"/>
  <c r="E299" i="2" s="1"/>
  <c r="E300" i="2" s="1"/>
  <c r="D301" i="2" s="1"/>
  <c r="E301" i="2" s="1"/>
  <c r="F302" i="2" s="1"/>
  <c r="E71" i="3"/>
  <c r="D69" i="3"/>
  <c r="E69" i="3" s="1"/>
  <c r="D70" i="3"/>
  <c r="E70" i="3" s="1"/>
  <c r="C28" i="5"/>
  <c r="C29" i="5" s="1"/>
  <c r="C32" i="5" s="1"/>
  <c r="D430" i="2"/>
  <c r="E430" i="2" s="1"/>
  <c r="D431" i="2" s="1"/>
  <c r="E431" i="2" s="1"/>
  <c r="E437" i="2" s="1"/>
  <c r="D438" i="2" s="1"/>
  <c r="E438" i="2" s="1"/>
  <c r="F439" i="2" s="1"/>
  <c r="E44" i="2" s="1"/>
  <c r="C445" i="2"/>
  <c r="C446" i="2" s="1"/>
  <c r="D447" i="2" s="1"/>
  <c r="E447" i="2" s="1"/>
  <c r="E453" i="2" s="1"/>
  <c r="D454" i="2" s="1"/>
  <c r="E454" i="2" s="1"/>
  <c r="F455" i="2" s="1"/>
  <c r="E45" i="2" s="1"/>
  <c r="E278" i="4"/>
  <c r="F279" i="4" s="1"/>
  <c r="E35" i="4" s="1"/>
  <c r="E33" i="4" s="1"/>
  <c r="E610" i="2"/>
  <c r="F611" i="2" s="1"/>
  <c r="E61" i="2" s="1"/>
  <c r="E183" i="3"/>
  <c r="D184" i="3" s="1"/>
  <c r="E184" i="3" s="1"/>
  <c r="C274" i="4"/>
  <c r="C275" i="4" s="1"/>
  <c r="D276" i="4" s="1"/>
  <c r="E276" i="4" s="1"/>
  <c r="E277" i="4" s="1"/>
  <c r="D278" i="4" s="1"/>
  <c r="C198" i="3"/>
  <c r="C141" i="3"/>
  <c r="E141" i="3" s="1"/>
  <c r="F142" i="3" s="1"/>
  <c r="C102" i="3"/>
  <c r="E102" i="3" s="1"/>
  <c r="E43" i="3"/>
  <c r="C109" i="3"/>
  <c r="E109" i="3" s="1"/>
  <c r="C116" i="3"/>
  <c r="E116" i="3" s="1"/>
  <c r="D230" i="4"/>
  <c r="E230" i="4" s="1"/>
  <c r="F231" i="4" s="1"/>
  <c r="E29" i="4" s="1"/>
  <c r="E697" i="2"/>
  <c r="D698" i="2" s="1"/>
  <c r="E698" i="2" s="1"/>
  <c r="E699" i="2" s="1"/>
  <c r="D700" i="2" s="1"/>
  <c r="E700" i="2" s="1"/>
  <c r="F701" i="2" s="1"/>
  <c r="E72" i="2" s="1"/>
  <c r="C218" i="4"/>
  <c r="E208" i="4"/>
  <c r="D209" i="4" s="1"/>
  <c r="E209" i="4" s="1"/>
  <c r="E210" i="4" s="1"/>
  <c r="D211" i="4" s="1"/>
  <c r="E211" i="4" s="1"/>
  <c r="F212" i="4" s="1"/>
  <c r="C707" i="2"/>
  <c r="E246" i="2"/>
  <c r="F247" i="2" s="1"/>
  <c r="D154" i="2"/>
  <c r="E520" i="2"/>
  <c r="D521" i="2" s="1"/>
  <c r="E521" i="2" s="1"/>
  <c r="F522" i="2" s="1"/>
  <c r="E52" i="2" s="1"/>
  <c r="C169" i="3"/>
  <c r="E169" i="3" s="1"/>
  <c r="F170" i="3" s="1"/>
  <c r="C104" i="3"/>
  <c r="E104" i="3" s="1"/>
  <c r="C118" i="3"/>
  <c r="E118" i="3" s="1"/>
  <c r="C111" i="3"/>
  <c r="E111" i="3" s="1"/>
  <c r="C189" i="3"/>
  <c r="C188" i="3"/>
  <c r="E188" i="3" s="1"/>
  <c r="D189" i="3" s="1"/>
  <c r="E189" i="3" s="1"/>
  <c r="C234" i="2"/>
  <c r="E234" i="2" s="1"/>
  <c r="F235" i="2" s="1"/>
  <c r="C183" i="2"/>
  <c r="E183" i="2" s="1"/>
  <c r="C192" i="2"/>
  <c r="E192" i="2" s="1"/>
  <c r="C174" i="2"/>
  <c r="E174" i="2" s="1"/>
  <c r="C606" i="2"/>
  <c r="C607" i="2" s="1"/>
  <c r="D608" i="2" s="1"/>
  <c r="E608" i="2" s="1"/>
  <c r="E609" i="2" s="1"/>
  <c r="D610" i="2" s="1"/>
  <c r="F576" i="2"/>
  <c r="E57" i="2" s="1"/>
  <c r="F169" i="2"/>
  <c r="E22" i="2" s="1"/>
  <c r="E67" i="2"/>
  <c r="C528" i="2"/>
  <c r="C529" i="2" s="1"/>
  <c r="D530" i="2" s="1"/>
  <c r="E530" i="2" s="1"/>
  <c r="F135" i="4"/>
  <c r="E23" i="4" s="1"/>
  <c r="D545" i="2"/>
  <c r="E545" i="2" s="1"/>
  <c r="F546" i="2" s="1"/>
  <c r="E54" i="2" s="1"/>
  <c r="E29" i="2" l="1"/>
  <c r="E27" i="4"/>
  <c r="D72" i="3"/>
  <c r="C219" i="4"/>
  <c r="D220" i="4" s="1"/>
  <c r="E220" i="4" s="1"/>
  <c r="E221" i="4" s="1"/>
  <c r="D222" i="4" s="1"/>
  <c r="E222" i="4" s="1"/>
  <c r="F223" i="4" s="1"/>
  <c r="E28" i="4" s="1"/>
  <c r="E43" i="2"/>
  <c r="C203" i="3"/>
  <c r="C204" i="3" s="1"/>
  <c r="D205" i="3" s="1"/>
  <c r="E205" i="3" s="1"/>
  <c r="F172" i="3"/>
  <c r="E23" i="3" s="1"/>
  <c r="C19" i="5"/>
  <c r="C25" i="5" s="1"/>
  <c r="C34" i="5" s="1"/>
  <c r="C36" i="5" s="1"/>
  <c r="C37" i="5" s="1"/>
  <c r="E35" i="2"/>
  <c r="E190" i="3"/>
  <c r="D191" i="3" s="1"/>
  <c r="E191" i="3" s="1"/>
  <c r="F192" i="3" s="1"/>
  <c r="F112" i="3"/>
  <c r="E22" i="3" s="1"/>
  <c r="C534" i="2"/>
  <c r="D535" i="2" s="1"/>
  <c r="E535" i="2" s="1"/>
  <c r="E536" i="2" s="1"/>
  <c r="D537" i="2" s="1"/>
  <c r="E537" i="2" s="1"/>
  <c r="F538" i="2" s="1"/>
  <c r="C199" i="3"/>
  <c r="D200" i="3" s="1"/>
  <c r="E200" i="3" s="1"/>
  <c r="E206" i="3" s="1"/>
  <c r="D207" i="3" s="1"/>
  <c r="E207" i="3" s="1"/>
  <c r="F208" i="3" s="1"/>
  <c r="E27" i="3" s="1"/>
  <c r="F178" i="2"/>
  <c r="E23" i="2" s="1"/>
  <c r="E59" i="2"/>
  <c r="E71" i="2"/>
  <c r="F196" i="2"/>
  <c r="E27" i="2"/>
  <c r="F119" i="3"/>
  <c r="F105" i="3"/>
  <c r="E21" i="3" s="1"/>
  <c r="C708" i="2"/>
  <c r="D709" i="2" s="1"/>
  <c r="E709" i="2" s="1"/>
  <c r="E710" i="2" s="1"/>
  <c r="D711" i="2" s="1"/>
  <c r="E711" i="2" s="1"/>
  <c r="F712" i="2" s="1"/>
  <c r="E73" i="2" s="1"/>
  <c r="F276" i="2"/>
  <c r="E25" i="2" s="1"/>
  <c r="E53" i="2" l="1"/>
  <c r="F724" i="2"/>
  <c r="E26" i="2" s="1"/>
  <c r="C72" i="3"/>
  <c r="C98" i="4"/>
  <c r="E98" i="4" s="1"/>
  <c r="E99" i="4" s="1"/>
  <c r="D100" i="4" s="1"/>
  <c r="E100" i="4" s="1"/>
  <c r="F101" i="4" s="1"/>
  <c r="E20" i="4" s="1"/>
  <c r="C88" i="4"/>
  <c r="E88" i="4" s="1"/>
  <c r="E89" i="4" s="1"/>
  <c r="D90" i="4" s="1"/>
  <c r="E90" i="4" s="1"/>
  <c r="F91" i="4" s="1"/>
  <c r="E19" i="4" s="1"/>
  <c r="C78" i="4"/>
  <c r="E78" i="4" s="1"/>
  <c r="E79" i="4" s="1"/>
  <c r="D80" i="4" s="1"/>
  <c r="E80" i="4" s="1"/>
  <c r="F81" i="4" s="1"/>
  <c r="E18" i="4" s="1"/>
  <c r="C68" i="4"/>
  <c r="E68" i="4" s="1"/>
  <c r="E69" i="4" s="1"/>
  <c r="D70" i="4" s="1"/>
  <c r="E70" i="4" s="1"/>
  <c r="F71" i="4" s="1"/>
  <c r="C86" i="3"/>
  <c r="E86" i="3" s="1"/>
  <c r="E87" i="3" s="1"/>
  <c r="D88" i="3" s="1"/>
  <c r="E88" i="3" s="1"/>
  <c r="F89" i="3" s="1"/>
  <c r="E19" i="3" s="1"/>
  <c r="C118" i="2"/>
  <c r="E118" i="2" s="1"/>
  <c r="E119" i="2" s="1"/>
  <c r="D120" i="2" s="1"/>
  <c r="E120" i="2" s="1"/>
  <c r="F121" i="2" s="1"/>
  <c r="E18" i="2" s="1"/>
  <c r="C60" i="3"/>
  <c r="E60" i="3" s="1"/>
  <c r="E61" i="3" s="1"/>
  <c r="D62" i="3" s="1"/>
  <c r="E62" i="3" s="1"/>
  <c r="F63" i="3" s="1"/>
  <c r="C130" i="2"/>
  <c r="E130" i="2" s="1"/>
  <c r="E131" i="2" s="1"/>
  <c r="D132" i="2" s="1"/>
  <c r="E132" i="2" s="1"/>
  <c r="F133" i="2" s="1"/>
  <c r="E19" i="2" s="1"/>
  <c r="C142" i="2"/>
  <c r="E142" i="2" s="1"/>
  <c r="E143" i="2" s="1"/>
  <c r="D144" i="2" s="1"/>
  <c r="E144" i="2" s="1"/>
  <c r="F145" i="2" s="1"/>
  <c r="E20" i="2" s="1"/>
  <c r="C154" i="2"/>
  <c r="E154" i="2" s="1"/>
  <c r="E155" i="2" s="1"/>
  <c r="D156" i="2" s="1"/>
  <c r="E156" i="2" s="1"/>
  <c r="F157" i="2" s="1"/>
  <c r="E21" i="2" s="1"/>
  <c r="C108" i="2"/>
  <c r="E108" i="2" s="1"/>
  <c r="E109" i="2" s="1"/>
  <c r="D110" i="2" s="1"/>
  <c r="E110" i="2" s="1"/>
  <c r="F111" i="2" s="1"/>
  <c r="E72" i="3"/>
  <c r="E73" i="3" s="1"/>
  <c r="D74" i="3" s="1"/>
  <c r="E74" i="3" s="1"/>
  <c r="F75" i="3" s="1"/>
  <c r="E18" i="3" s="1"/>
  <c r="E26" i="4"/>
  <c r="F314" i="4"/>
  <c r="E25" i="4" s="1"/>
  <c r="E26" i="3"/>
  <c r="F254" i="3"/>
  <c r="E24" i="3" s="1"/>
  <c r="E17" i="4" l="1"/>
  <c r="F137" i="4"/>
  <c r="E25" i="3"/>
  <c r="F122" i="3"/>
  <c r="E17" i="3"/>
  <c r="F198" i="2"/>
  <c r="E17" i="2"/>
  <c r="E51" i="2"/>
  <c r="F267" i="3" l="1"/>
  <c r="E16" i="3"/>
  <c r="F740" i="2"/>
  <c r="E16" i="2"/>
  <c r="E16" i="4"/>
  <c r="F317" i="4"/>
  <c r="D322" i="4" l="1"/>
  <c r="E322" i="4" s="1"/>
  <c r="F323" i="4" s="1"/>
  <c r="F325" i="4" s="1"/>
  <c r="E40" i="4" s="1"/>
  <c r="E41" i="4"/>
  <c r="D745" i="2"/>
  <c r="E745" i="2" s="1"/>
  <c r="F746" i="2" s="1"/>
  <c r="F748" i="2" s="1"/>
  <c r="E76" i="2" s="1"/>
  <c r="D272" i="3"/>
  <c r="E272" i="3" s="1"/>
  <c r="F273" i="3" s="1"/>
  <c r="F275" i="3" s="1"/>
  <c r="E34" i="3" s="1"/>
  <c r="E35" i="3" s="1"/>
  <c r="F29" i="3" l="1"/>
  <c r="F33" i="3"/>
  <c r="F30" i="3"/>
  <c r="F32" i="3"/>
  <c r="F31" i="3"/>
  <c r="F28" i="3"/>
  <c r="F20" i="3"/>
  <c r="F27" i="3"/>
  <c r="F22" i="3"/>
  <c r="F23" i="3"/>
  <c r="F21" i="3"/>
  <c r="F18" i="3"/>
  <c r="F24" i="3"/>
  <c r="F19" i="3"/>
  <c r="F26" i="3"/>
  <c r="F25" i="3"/>
  <c r="F17" i="3"/>
  <c r="F16" i="3"/>
  <c r="F34" i="3"/>
  <c r="E77" i="2"/>
  <c r="F32" i="4"/>
  <c r="F37" i="4"/>
  <c r="F39" i="4"/>
  <c r="F30" i="4"/>
  <c r="F31" i="4"/>
  <c r="F34" i="4"/>
  <c r="F38" i="4"/>
  <c r="F36" i="4"/>
  <c r="F22" i="4"/>
  <c r="F23" i="4"/>
  <c r="F33" i="4"/>
  <c r="F35" i="4"/>
  <c r="F24" i="4"/>
  <c r="F21" i="4"/>
  <c r="F29" i="4"/>
  <c r="F28" i="4"/>
  <c r="F27" i="4"/>
  <c r="F25" i="4"/>
  <c r="F26" i="4"/>
  <c r="F19" i="4"/>
  <c r="F20" i="4"/>
  <c r="F18" i="4"/>
  <c r="F17" i="4"/>
  <c r="F16" i="4"/>
  <c r="F40" i="4"/>
  <c r="F328" i="4"/>
  <c r="F41" i="4" l="1"/>
  <c r="F32" i="2"/>
  <c r="F47" i="2"/>
  <c r="F39" i="2"/>
  <c r="F48" i="2"/>
  <c r="F63" i="2"/>
  <c r="F74" i="2"/>
  <c r="F42" i="2"/>
  <c r="F31" i="2"/>
  <c r="F50" i="2"/>
  <c r="F70" i="2"/>
  <c r="F60" i="2"/>
  <c r="F65" i="2"/>
  <c r="F58" i="2"/>
  <c r="F66" i="2"/>
  <c r="F68" i="2"/>
  <c r="F69" i="2"/>
  <c r="F38" i="2"/>
  <c r="F75" i="2"/>
  <c r="F49" i="2"/>
  <c r="F36" i="2"/>
  <c r="F62" i="2"/>
  <c r="F33" i="2"/>
  <c r="F64" i="2"/>
  <c r="F41" i="2"/>
  <c r="F46" i="2"/>
  <c r="F34" i="2"/>
  <c r="F30" i="2"/>
  <c r="F40" i="2"/>
  <c r="F37" i="2"/>
  <c r="F72" i="2"/>
  <c r="F54" i="2"/>
  <c r="F52" i="2"/>
  <c r="F45" i="2"/>
  <c r="F44" i="2"/>
  <c r="F28" i="2"/>
  <c r="F22" i="2"/>
  <c r="F67" i="2"/>
  <c r="F24" i="2"/>
  <c r="F55" i="2"/>
  <c r="F56" i="2"/>
  <c r="F57" i="2"/>
  <c r="F61" i="2"/>
  <c r="F27" i="2"/>
  <c r="F35" i="2"/>
  <c r="F43" i="2"/>
  <c r="F71" i="2"/>
  <c r="F25" i="2"/>
  <c r="F59" i="2"/>
  <c r="F23" i="2"/>
  <c r="F73" i="2"/>
  <c r="F29" i="2"/>
  <c r="F18" i="2"/>
  <c r="F26" i="2"/>
  <c r="F19" i="2"/>
  <c r="F21" i="2"/>
  <c r="F20" i="2"/>
  <c r="F53" i="2"/>
  <c r="F51" i="2"/>
  <c r="F17" i="2"/>
  <c r="F16" i="2"/>
  <c r="F76" i="2"/>
  <c r="F35" i="3"/>
  <c r="F280" i="3"/>
  <c r="F282" i="3" s="1"/>
  <c r="F285" i="3" s="1"/>
  <c r="F289" i="3" s="1"/>
  <c r="F753" i="2"/>
  <c r="F755" i="2" s="1"/>
  <c r="F758" i="2" s="1"/>
  <c r="F762" i="2" s="1"/>
  <c r="F77" i="2" l="1"/>
</calcChain>
</file>

<file path=xl/comments1.xml><?xml version="1.0" encoding="utf-8"?>
<comments xmlns="http://schemas.openxmlformats.org/spreadsheetml/2006/main">
  <authors>
    <author/>
  </authors>
  <commentList>
    <comment ref="G78" authorId="0" shapeId="0">
      <text>
        <r>
          <rPr>
            <sz val="10"/>
            <color rgb="FF000000"/>
            <rFont val="Arial"/>
            <charset val="1"/>
          </rPr>
          <t>======
ID#AAABnktOmi8
Rafael Zacher    (2025-07-22 13:59:28)
Serão utilizados por 44 agentes de limpeza, segundo o manual de limpeza urbana - TCE/GO, item 3.3.4 - 06 unidades por capinador por ano.</t>
        </r>
      </text>
    </comment>
    <comment ref="G79" authorId="0" shapeId="0">
      <text>
        <r>
          <rPr>
            <sz val="10"/>
            <color rgb="FF000000"/>
            <rFont val="Arial"/>
            <charset val="1"/>
          </rPr>
          <t>======
ID#AAABmkBgE_E
Rafael Zacher    (2025-07-15 14:33:40)
Serão utilizados por 44 agentes de limpeza, segundo o manual de limpeza urbana - TCE/GO, item 3.3.4 - 06 unidades por capinador por ano.</t>
        </r>
      </text>
    </comment>
    <comment ref="G80" authorId="0" shapeId="0">
      <text>
        <r>
          <rPr>
            <sz val="10"/>
            <color rgb="FF000000"/>
            <rFont val="Arial"/>
            <charset val="1"/>
          </rPr>
          <t>======
ID#AAABmkBgE_I
Rafael Zacher    (2025-07-15 14:34:09)
Serão utilizados por 44 agentes de limpeza, segundo o manual de limpeza urbana - TCE/GO, item 3.3.4 - 06 unidades por capinador por ano.</t>
        </r>
      </text>
    </comment>
    <comment ref="G81" authorId="0" shapeId="0">
      <text>
        <r>
          <rPr>
            <sz val="10"/>
            <color rgb="FF000000"/>
            <rFont val="Arial"/>
            <charset val="1"/>
          </rPr>
          <t>======
ID#AAABmkBgE_Q
Rafael Zacher    (2025-07-15 14:40:32)
Serão utilizados por 44
agentes de limpeza, segundo o manual de limpeza urbana - TCE/GO, item 4.3.5 - 01 unidades por ajudante por ano.</t>
        </r>
      </text>
    </comment>
    <comment ref="G83" authorId="0" shapeId="0">
      <text>
        <r>
          <rPr>
            <sz val="10"/>
            <color rgb="FF000000"/>
            <rFont val="Arial"/>
            <charset val="1"/>
          </rPr>
          <t>======
ID#AAABmkBgE_Y
Rafael Zacher    (2025-07-15 14:53:54)
Serão utilizados por 59 agentes de limpeza, segundo o manual de limpeza urbana - TCE/GO, item 2.3.5 - 08 unidades por ajudante por ano. São 60 agentes, mas um agente será ajudante do motorista</t>
        </r>
      </text>
    </comment>
    <comment ref="G84" authorId="0" shapeId="0">
      <text>
        <r>
          <rPr>
            <sz val="10"/>
            <color rgb="FF000000"/>
            <rFont val="Arial"/>
            <charset val="1"/>
          </rPr>
          <t>======
ID#AAABmkBgE_g
Rafael Zacher    (2025-07-15 14:56:36)
Segundo, o manual de limpeza urbana - TCE/GO, item 2.3.5 - 06 unidades por lutocares por ano. São 28 lutocares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14" authorId="0" shapeId="0">
      <text>
        <r>
          <rPr>
            <sz val="10"/>
            <color rgb="FF000000"/>
            <rFont val="Arial"/>
            <charset val="1"/>
          </rPr>
          <t>======
ID#AAABj5x5Lfk
    (2025-05-20 16:59:22)
Qualquer custo previsto no edital e não contemplado nesta planilha modelo deverá ser devidamente incluído</t>
        </r>
      </text>
    </comment>
    <comment ref="B99" authorId="0" shapeId="0">
      <text>
        <r>
          <rPr>
            <sz val="10"/>
            <color rgb="FF000000"/>
            <rFont val="Arial"/>
            <charset val="1"/>
          </rPr>
          <t>======
ID#AAABj5x5LxY
    (2025-05-20 16:59:23)
Informar o fator de utilização das equipes de coleta. 
Por exemplo:
Equipes com utilização integral = 100%
Equipes com utilização parcial = n° horas trabalhadas por semana /44 horas</t>
        </r>
      </text>
    </comment>
    <comment ref="D105" authorId="0" shapeId="0">
      <text>
        <r>
          <rPr>
            <sz val="10"/>
            <color rgb="FF000000"/>
            <rFont val="Arial"/>
            <charset val="1"/>
          </rPr>
          <t>======
ID#AAABj5x5Ls8
    (2025-05-20 16:59:23)
Informar o Piso da categoria fixado na Convenção Coletiva</t>
        </r>
      </text>
    </comment>
    <comment ref="C108" authorId="0" shapeId="0">
      <text>
        <r>
          <rPr>
            <sz val="10"/>
            <color rgb="FF000000"/>
            <rFont val="Arial"/>
            <charset val="1"/>
          </rPr>
          <t>======
ID#AAABj5x5LhY
    (2025-05-20 16:59:22)
Preencher a planilha Encargos Sociais e CAGED</t>
        </r>
      </text>
    </comment>
    <comment ref="C110" authorId="0" shapeId="0">
      <text>
        <r>
          <rPr>
            <sz val="10"/>
            <color rgb="FF000000"/>
            <rFont val="Arial"/>
            <charset val="1"/>
          </rPr>
          <t>======
ID#AAABj5x5LuU
    (2025-05-20 16:59:23)
Informar a quantidade de trabalhadores na função</t>
        </r>
      </text>
    </comment>
    <comment ref="D115" authorId="0" shapeId="0">
      <text>
        <r>
          <rPr>
            <sz val="10"/>
            <color rgb="FF000000"/>
            <rFont val="Arial"/>
            <charset val="1"/>
          </rPr>
          <t>======
ID#AAABj5x5K80
    (2025-05-20 16:59:22)
Informar o Piso da categoria fixado na Convenção Coletiva</t>
        </r>
      </text>
    </comment>
    <comment ref="C118" authorId="0" shapeId="0">
      <text>
        <r>
          <rPr>
            <sz val="10"/>
            <color rgb="FF000000"/>
            <rFont val="Arial"/>
            <charset val="1"/>
          </rPr>
          <t>======
ID#AAABj5x5Lys
    (2025-05-20 16:59:23)
Preencher a planilha Encargos Sociais e CAGED</t>
        </r>
      </text>
    </comment>
    <comment ref="C120" authorId="0" shapeId="0">
      <text>
        <r>
          <rPr>
            <sz val="10"/>
            <color rgb="FF000000"/>
            <rFont val="Arial"/>
            <charset val="1"/>
          </rPr>
          <t>======
ID#AAABj5x5LUI
    (2025-05-20 16:59:22)
Informar a quantidade de trabalhadores na função</t>
        </r>
      </text>
    </comment>
    <comment ref="D125" authorId="0" shapeId="0">
      <text>
        <r>
          <rPr>
            <sz val="10"/>
            <color rgb="FF000000"/>
            <rFont val="Arial"/>
            <charset val="1"/>
          </rPr>
          <t>======
ID#AAABj5x5LxE
    (2025-05-20 16:59:23)
Informar o Piso da categoria fixado na Convenção Coletiva</t>
        </r>
      </text>
    </comment>
    <comment ref="D126" authorId="0" shapeId="0">
      <text>
        <r>
          <rPr>
            <sz val="10"/>
            <color rgb="FF000000"/>
            <rFont val="Arial"/>
            <charset val="1"/>
          </rPr>
          <t>======
ID#AAABj5x5LkI
    (2025-05-20 16:59:23)
Informar o valor do salário Mínimo Nacional</t>
        </r>
      </text>
    </comment>
    <comment ref="C127" authorId="0" shapeId="0">
      <text>
        <r>
          <rPr>
            <sz val="10"/>
            <color rgb="FF000000"/>
            <rFont val="Arial"/>
            <charset val="1"/>
          </rPr>
          <t>======
ID#AAABj5x5Lqo
    (2025-05-20 16:59:23)
Informar 1 se a base de cálculo for o Salário Mínimo Nacional; Informar 2 se a base de cálculo for o Piso da Categoria;</t>
        </r>
      </text>
    </comment>
    <comment ref="C128" authorId="0" shapeId="0">
      <text>
        <r>
          <rPr>
            <sz val="10"/>
            <color rgb="FF000000"/>
            <rFont val="Arial"/>
            <charset val="1"/>
          </rPr>
          <t>======
ID#AAABj5x5LNU
    (2025-05-20 16:59:22)
Percentual estabelecido nas Normas de Segurança de Trabalho ou pelo laudo de responsável técnico devidamente habilitado</t>
        </r>
      </text>
    </comment>
    <comment ref="C130" authorId="0" shapeId="0">
      <text>
        <r>
          <rPr>
            <sz val="10"/>
            <color rgb="FF000000"/>
            <rFont val="Arial"/>
            <charset val="1"/>
          </rPr>
          <t>======
ID#AAABj5x5LfI
    (2025-05-20 16:59:22)
Preencher a planilha Encargos Sociais e CAGED</t>
        </r>
      </text>
    </comment>
    <comment ref="C132" authorId="0" shapeId="0">
      <text>
        <r>
          <rPr>
            <sz val="10"/>
            <color rgb="FF000000"/>
            <rFont val="Arial"/>
            <charset val="1"/>
          </rPr>
          <t>======
ID#AAABj5x5LWE
    (2025-05-20 16:59:22)
Informar a quantidade de trabalhadores na função</t>
        </r>
      </text>
    </comment>
    <comment ref="D137" authorId="0" shapeId="0">
      <text>
        <r>
          <rPr>
            <sz val="10"/>
            <color rgb="FF000000"/>
            <rFont val="Arial"/>
            <charset val="1"/>
          </rPr>
          <t>======
ID#AAABj5x5Lq8
    (2025-05-20 16:59:23)
Informar o Piso da categoria fixado na Convenção Coletiva</t>
        </r>
      </text>
    </comment>
    <comment ref="D138" authorId="0" shapeId="0">
      <text>
        <r>
          <rPr>
            <sz val="10"/>
            <color rgb="FF000000"/>
            <rFont val="Arial"/>
            <charset val="1"/>
          </rPr>
          <t>======
ID#AAABj5x5LcE
    (2025-05-20 16:59:22)
Informar o valor do salário Mínimo Nacional</t>
        </r>
      </text>
    </comment>
    <comment ref="C139" authorId="0" shapeId="0">
      <text>
        <r>
          <rPr>
            <sz val="10"/>
            <color rgb="FF000000"/>
            <rFont val="Arial"/>
            <charset val="1"/>
          </rPr>
          <t>======
ID#AAABj5x5LO8
    (2025-05-20 16:59:22)
Informar 1 se a base de cálculo for o Salário Mínimo Nacional; Informar 2 se a base de cálculo for o Piso da Categoria;</t>
        </r>
      </text>
    </comment>
    <comment ref="C140" authorId="0" shapeId="0">
      <text>
        <r>
          <rPr>
            <sz val="10"/>
            <color rgb="FF000000"/>
            <rFont val="Arial"/>
            <charset val="1"/>
          </rPr>
          <t>======
ID#AAABj5x5Lt8
    (2025-05-20 16:59:23)
Percentual estabelecido nas Normas de Segurança de Trabalho ou pelo laudo de responsável técnico devidamente habilitado</t>
        </r>
      </text>
    </comment>
    <comment ref="C142" authorId="0" shapeId="0">
      <text>
        <r>
          <rPr>
            <sz val="10"/>
            <color rgb="FF000000"/>
            <rFont val="Arial"/>
            <charset val="1"/>
          </rPr>
          <t>======
ID#AAABj5x5Lfw
    (2025-05-20 16:59:22)
Preencher a planilha Encargos Sociais e CAGED</t>
        </r>
      </text>
    </comment>
    <comment ref="C144" authorId="0" shapeId="0">
      <text>
        <r>
          <rPr>
            <sz val="10"/>
            <color rgb="FF000000"/>
            <rFont val="Arial"/>
            <charset val="1"/>
          </rPr>
          <t>======
ID#AAABj5x5Lzk
    (2025-05-20 16:59:23)
Informar a quantidade de trabalhadores na função</t>
        </r>
      </text>
    </comment>
    <comment ref="D149" authorId="0" shapeId="0">
      <text>
        <r>
          <rPr>
            <sz val="10"/>
            <color rgb="FF000000"/>
            <rFont val="Arial"/>
            <charset val="1"/>
          </rPr>
          <t>======
ID#AAABj5x5Lk8
    (2025-05-20 16:59:23)
Informar o Piso da categoria fixado na Convenção Coletiva</t>
        </r>
      </text>
    </comment>
    <comment ref="D150" authorId="0" shapeId="0">
      <text>
        <r>
          <rPr>
            <sz val="10"/>
            <color rgb="FF000000"/>
            <rFont val="Arial"/>
            <charset val="1"/>
          </rPr>
          <t>======
ID#AAABj5x5LlA
    (2025-05-20 16:59:23)
Informar o valor do salário Mínimo Nacional</t>
        </r>
      </text>
    </comment>
    <comment ref="C152" authorId="0" shapeId="0">
      <text>
        <r>
          <rPr>
            <sz val="10"/>
            <color rgb="FF000000"/>
            <rFont val="Arial"/>
            <charset val="1"/>
          </rPr>
          <t>======
ID#AAABj5x5LLA
    (2025-05-20 16:59:22)
Percentual estabelecido nas Normas de Segurança de Trabalho ou pelo laudo de responsável técnico devidamente habilitado</t>
        </r>
      </text>
    </comment>
    <comment ref="C154" authorId="0" shapeId="0">
      <text>
        <r>
          <rPr>
            <sz val="10"/>
            <color rgb="FF000000"/>
            <rFont val="Arial"/>
            <charset val="1"/>
          </rPr>
          <t>======
ID#AAABj5x5LoM
    (2025-05-20 16:59:23)
Preencher a planilha Encargos Sociais e CAGED</t>
        </r>
      </text>
    </comment>
    <comment ref="C156" authorId="0" shapeId="0">
      <text>
        <r>
          <rPr>
            <sz val="10"/>
            <color rgb="FF000000"/>
            <rFont val="Arial"/>
            <charset val="1"/>
          </rPr>
          <t>======
ID#AAABj5x5Lhw
    (2025-05-20 16:59:22)
Informar a quantidade de trabalhadores na função</t>
        </r>
      </text>
    </comment>
    <comment ref="D162" authorId="0" shapeId="0">
      <text>
        <r>
          <rPr>
            <sz val="10"/>
            <color rgb="FF000000"/>
            <rFont val="Arial"/>
            <charset val="1"/>
          </rPr>
          <t>======
ID#AAABj5x5LmY
    (2025-05-20 16:59:23)
Informar o valor unitário do VT no município</t>
        </r>
      </text>
    </comment>
    <comment ref="C163" authorId="0" shapeId="0">
      <text>
        <r>
          <rPr>
            <sz val="10"/>
            <color rgb="FF000000"/>
            <rFont val="Arial"/>
            <charset val="1"/>
          </rPr>
          <t>======
ID#AAABj5x5Lgc
    (2025-05-20 16:59:22)
Informar o número médio de dias trabalhados por mês</t>
        </r>
      </text>
    </comment>
    <comment ref="D164" authorId="0" shapeId="0">
      <text>
        <r>
          <rPr>
            <sz val="10"/>
            <color rgb="FF000000"/>
            <rFont val="Arial"/>
            <charset val="1"/>
          </rPr>
          <t>======
ID#AAABj5x5LZ4
    (2025-05-20 16:59:22)
Valor Unitário considerando o desconto legal de até 6% do salário</t>
        </r>
      </text>
    </comment>
    <comment ref="D165" authorId="0" shapeId="0">
      <text>
        <r>
          <rPr>
            <sz val="10"/>
            <color rgb="FF000000"/>
            <rFont val="Arial"/>
            <charset val="1"/>
          </rPr>
          <t>======
ID#AAABj5x5LOU
    (2025-05-20 16:59:22)
Valor Unitário considerando o desconto legal de até 6% do salário</t>
        </r>
      </text>
    </comment>
    <comment ref="D166" authorId="0" shapeId="0">
      <text>
        <r>
          <rPr>
            <sz val="10"/>
            <color rgb="FF000000"/>
            <rFont val="Arial"/>
            <charset val="1"/>
          </rPr>
          <t>======
ID#AAABj5x5LZk
    (2025-05-20 16:59:22)
Valor Unitário considerando o desconto legal de até 6% do salário</t>
        </r>
      </text>
    </comment>
    <comment ref="D167" authorId="0" shapeId="0">
      <text>
        <r>
          <rPr>
            <sz val="10"/>
            <color rgb="FF000000"/>
            <rFont val="Arial"/>
            <charset val="1"/>
          </rPr>
          <t>======
ID#AAABj5x5Ltw
    (2025-05-20 16:59:23)
Valor Unitário considerando o desconto legal de até 6% do salário</t>
        </r>
      </text>
    </comment>
    <comment ref="D168" authorId="0" shapeId="0">
      <text>
        <r>
          <rPr>
            <sz val="10"/>
            <color rgb="FF000000"/>
            <rFont val="Arial"/>
            <charset val="1"/>
          </rPr>
          <t>======
ID#AAABj5x5LnY
    (2025-05-20 16:59:23)
Valor Unitário considerando o desconto legal de até 6% do salário</t>
        </r>
      </text>
    </comment>
    <comment ref="D173" authorId="0" shapeId="0">
      <text>
        <r>
          <rPr>
            <sz val="10"/>
            <color rgb="FF000000"/>
            <rFont val="Arial"/>
            <charset val="1"/>
          </rPr>
          <t>======
ID#AAABj5x5Lgg
    (2025-05-20 16:59:22)
Informar o valor unitário diário do vale refeição, considerando o desconto aplicável ao funcionário, conforme Convenção Coletiva da categoria.</t>
        </r>
      </text>
    </comment>
    <comment ref="D174" authorId="0" shapeId="0">
      <text>
        <r>
          <rPr>
            <sz val="10"/>
            <color rgb="FF000000"/>
            <rFont val="Arial"/>
            <charset val="1"/>
          </rPr>
          <t>======
ID#AAABj5x5Ln8
    (2025-05-20 16:59:23)
Informar o valor unitário diário do vale refeição, considerando o desconto aplicável ao funcionário, conforme Convenção Coletiva da categoria.</t>
        </r>
      </text>
    </comment>
    <comment ref="D175" authorId="0" shapeId="0">
      <text>
        <r>
          <rPr>
            <sz val="10"/>
            <color rgb="FF000000"/>
            <rFont val="Arial"/>
            <charset val="1"/>
          </rPr>
          <t>======
ID#AAABj5x5LdY
    (2025-05-20 16:59:22)
Informar o valor unitário diário do vale refeição, considerando o desconto aplicável ao funcionário, conforme Convenção Coletiva da categoria.</t>
        </r>
      </text>
    </comment>
    <comment ref="D176" authorId="0" shapeId="0">
      <text>
        <r>
          <rPr>
            <sz val="10"/>
            <color rgb="FF000000"/>
            <rFont val="Arial"/>
            <charset val="1"/>
          </rPr>
          <t>======
ID#AAABj5x5Lao
    (2025-05-20 16:59:22)
Informar o valor unitário diário do vale refeição, considerando o desconto aplicável ao funcionário, conforme Convenção Coletiva da categoria.</t>
        </r>
      </text>
    </comment>
    <comment ref="D177" authorId="0" shapeId="0">
      <text>
        <r>
          <rPr>
            <sz val="10"/>
            <color rgb="FF000000"/>
            <rFont val="Arial"/>
            <charset val="1"/>
          </rPr>
          <t>======
ID#AAABj5x5Lrw
    (2025-05-20 16:59:23)
Informar o valor unitário diário do vale refeição, considerando o desconto aplicável ao funcionário, conforme Convenção Coletiva da categoria.</t>
        </r>
      </text>
    </comment>
    <comment ref="D182" authorId="0" shapeId="0">
      <text>
        <r>
          <rPr>
            <sz val="10"/>
            <color rgb="FF000000"/>
            <rFont val="Arial"/>
            <charset val="1"/>
          </rPr>
          <t>======
ID#AAABj5x5LOo
    (2025-05-20 16:59:22)
Informar o valor mensal do auxilio alimentação, considerando o desconto aplicável ao funcionário, conforme Convenção Coletiva da categoria</t>
        </r>
      </text>
    </comment>
    <comment ref="D183" authorId="0" shapeId="0">
      <text>
        <r>
          <rPr>
            <sz val="10"/>
            <color rgb="FF000000"/>
            <rFont val="Arial"/>
            <charset val="1"/>
          </rPr>
          <t>======
ID#AAABj5x5LRg
    (2025-05-20 16:59:22)
Informar o valor mensal do auxilio alimentação, considerando o desconto aplicável ao funcionário, conforme Convenção Coletiva da categoria</t>
        </r>
      </text>
    </comment>
    <comment ref="D184" authorId="0" shapeId="0">
      <text>
        <r>
          <rPr>
            <sz val="10"/>
            <color rgb="FF000000"/>
            <rFont val="Arial"/>
            <charset val="1"/>
          </rPr>
          <t>======
ID#AAABj5x5Lck
    (2025-05-20 16:59:22)
Informar o valor mensal do auxilio alimentação, considerando o desconto aplicável ao funcionário, conforme Convenção Coletiva da categoria</t>
        </r>
      </text>
    </comment>
    <comment ref="D185" authorId="0" shapeId="0">
      <text>
        <r>
          <rPr>
            <sz val="10"/>
            <color rgb="FF000000"/>
            <rFont val="Arial"/>
            <charset val="1"/>
          </rPr>
          <t>======
ID#AAABj5x5LsE
    (2025-05-20 16:59:23)
Informar o valor mensal do auxilio alimentação, considerando o desconto aplicável ao funcionário, conforme Convenção Coletiva da categoria</t>
        </r>
      </text>
    </comment>
    <comment ref="D186" authorId="0" shapeId="0">
      <text>
        <r>
          <rPr>
            <sz val="10"/>
            <color rgb="FF000000"/>
            <rFont val="Arial"/>
            <charset val="1"/>
          </rPr>
          <t>======
ID#AAABj5x5LfY
    (2025-05-20 16:59:22)
Informar o valor mensal do auxilio alimentação, considerando o desconto aplicável ao funcionário, conforme Convenção Coletiva da categoria</t>
        </r>
      </text>
    </comment>
    <comment ref="C205" authorId="0" shapeId="0">
      <text>
        <r>
          <rPr>
            <sz val="10"/>
            <color rgb="FF000000"/>
            <rFont val="Arial"/>
            <charset val="1"/>
          </rPr>
          <t>======
ID#AAABj5x5LUY
    (2025-05-20 16:59:22)
Informar a durabilidade estimada em meses, para cada EPI</t>
        </r>
      </text>
    </comment>
    <comment ref="D205" authorId="0" shapeId="0">
      <text>
        <r>
          <rPr>
            <sz val="10"/>
            <color rgb="FF000000"/>
            <rFont val="Arial"/>
            <charset val="1"/>
          </rPr>
          <t>======
ID#AAABj5x5Lg8
    (2025-05-20 16:59:22)
Informar o valor unitário estimado para aquisição de cada EPI</t>
        </r>
      </text>
    </comment>
    <comment ref="C206" authorId="0" shapeId="0">
      <text>
        <r>
          <rPr>
            <sz val="10"/>
            <color rgb="FF000000"/>
            <rFont val="Arial"/>
            <charset val="1"/>
          </rPr>
          <t>======
ID#AAABj5x5LZs
    (2025-05-20 16:59:22)
Informar a durabilidade estimada em meses, para cada EPI</t>
        </r>
      </text>
    </comment>
    <comment ref="D206" authorId="0" shapeId="0">
      <text>
        <r>
          <rPr>
            <sz val="10"/>
            <color rgb="FF000000"/>
            <rFont val="Arial"/>
            <charset val="1"/>
          </rPr>
          <t>======
ID#AAABj5x5K8E
    (2025-05-20 16:59:22)
Informar o valor unitário estimado para aquisição de cada EPI</t>
        </r>
      </text>
    </comment>
    <comment ref="C207" authorId="0" shapeId="0">
      <text>
        <r>
          <rPr>
            <sz val="10"/>
            <color rgb="FF000000"/>
            <rFont val="Arial"/>
            <charset val="1"/>
          </rPr>
          <t>======
ID#AAABj5x5LIQ
    (2025-05-20 16:59:22)
Informar a durabilidade estimada em meses, para cada EPI</t>
        </r>
      </text>
    </comment>
    <comment ref="D207" authorId="0" shapeId="0">
      <text>
        <r>
          <rPr>
            <sz val="10"/>
            <color rgb="FF000000"/>
            <rFont val="Arial"/>
            <charset val="1"/>
          </rPr>
          <t>======
ID#AAABj5x5LQ8
    (2025-05-20 16:59:22)
Informar o valor unitário estimado para aquisição de cada EPI</t>
        </r>
      </text>
    </comment>
    <comment ref="C208" authorId="0" shapeId="0">
      <text>
        <r>
          <rPr>
            <sz val="10"/>
            <color rgb="FF000000"/>
            <rFont val="Arial"/>
            <charset val="1"/>
          </rPr>
          <t>======
ID#AAABj5x5Ldc
    (2025-05-20 16:59:22)
Informar a durabilidade estimada em meses, para cada EPI</t>
        </r>
      </text>
    </comment>
    <comment ref="D208" authorId="0" shapeId="0">
      <text>
        <r>
          <rPr>
            <sz val="10"/>
            <color rgb="FF000000"/>
            <rFont val="Arial"/>
            <charset val="1"/>
          </rPr>
          <t>======
ID#AAABj5x5Lrk
    (2025-05-20 16:59:23)
Informar o valor unitário estimado para aquisição de cada EPI</t>
        </r>
      </text>
    </comment>
    <comment ref="C209" authorId="0" shapeId="0">
      <text>
        <r>
          <rPr>
            <sz val="10"/>
            <color rgb="FF000000"/>
            <rFont val="Arial"/>
            <charset val="1"/>
          </rPr>
          <t>======
ID#AAABj5x5LbM
    (2025-05-20 16:59:22)
Informar a durabilidade estimada em meses, para cada EPI</t>
        </r>
      </text>
    </comment>
    <comment ref="D209" authorId="0" shapeId="0">
      <text>
        <r>
          <rPr>
            <sz val="10"/>
            <color rgb="FF000000"/>
            <rFont val="Arial"/>
            <charset val="1"/>
          </rPr>
          <t>======
ID#AAABj5x5Ltk
    (2025-05-20 16:59:23)
Informar o valor unitário estimado para aquisição de cada EPI</t>
        </r>
      </text>
    </comment>
    <comment ref="C210" authorId="0" shapeId="0">
      <text>
        <r>
          <rPr>
            <sz val="10"/>
            <color rgb="FF000000"/>
            <rFont val="Arial"/>
            <charset val="1"/>
          </rPr>
          <t>======
ID#AAABj5x5LWg
    (2025-05-20 16:59:22)
Informar a durabilidade estimada em meses, para cada EPI</t>
        </r>
      </text>
    </comment>
    <comment ref="D210" authorId="0" shapeId="0">
      <text>
        <r>
          <rPr>
            <sz val="10"/>
            <color rgb="FF000000"/>
            <rFont val="Arial"/>
            <charset val="1"/>
          </rPr>
          <t>======
ID#AAABj5x5LQI
    (2025-05-20 16:59:22)
Informar o valor unitário estimado para aquisição de cada EPI</t>
        </r>
      </text>
    </comment>
    <comment ref="C211" authorId="0" shapeId="0">
      <text>
        <r>
          <rPr>
            <sz val="10"/>
            <color rgb="FF000000"/>
            <rFont val="Arial"/>
            <charset val="1"/>
          </rPr>
          <t>======
ID#AAABj5x5Law
    (2025-05-20 16:59:22)
Informar a durabilidade estimada em meses, para cada EPI</t>
        </r>
      </text>
    </comment>
    <comment ref="D211" authorId="0" shapeId="0">
      <text>
        <r>
          <rPr>
            <sz val="10"/>
            <color rgb="FF000000"/>
            <rFont val="Arial"/>
            <charset val="1"/>
          </rPr>
          <t>======
ID#AAABj5x5K-c
    (2025-05-20 16:59:22)
Informar o valor unitário estimado para aquisição de cada EPI</t>
        </r>
      </text>
    </comment>
    <comment ref="C212" authorId="0" shapeId="0">
      <text>
        <r>
          <rPr>
            <sz val="10"/>
            <color rgb="FF000000"/>
            <rFont val="Arial"/>
            <charset val="1"/>
          </rPr>
          <t>======
ID#AAABj5x5LSQ
    (2025-05-20 16:59:22)
Informar a durabilidade estimada em meses, para cada EPI</t>
        </r>
      </text>
    </comment>
    <comment ref="D212" authorId="0" shapeId="0">
      <text>
        <r>
          <rPr>
            <sz val="10"/>
            <color rgb="FF000000"/>
            <rFont val="Arial"/>
            <charset val="1"/>
          </rPr>
          <t>======
ID#AAABj5x5Lyw
    (2025-05-20 16:59:23)
Informar o valor unitário estimado para aquisição de cada EPI</t>
        </r>
      </text>
    </comment>
    <comment ref="C213" authorId="0" shapeId="0">
      <text>
        <r>
          <rPr>
            <sz val="10"/>
            <color rgb="FF000000"/>
            <rFont val="Arial"/>
            <charset val="1"/>
          </rPr>
          <t>======
ID#AAABj5x5LKk
    (2025-05-20 16:59:22)
Informar a durabilidade estimada em meses, para cada EPI</t>
        </r>
      </text>
    </comment>
    <comment ref="D213" authorId="0" shapeId="0">
      <text>
        <r>
          <rPr>
            <sz val="10"/>
            <color rgb="FF000000"/>
            <rFont val="Arial"/>
            <charset val="1"/>
          </rPr>
          <t>======
ID#AAABj5x5L0M
    (2025-05-20 16:59:23)
Informar o valor unitário estimado para aquisição de cada EPI</t>
        </r>
      </text>
    </comment>
    <comment ref="C214" authorId="0" shapeId="0">
      <text>
        <r>
          <rPr>
            <sz val="10"/>
            <color rgb="FF000000"/>
            <rFont val="Arial"/>
            <charset val="1"/>
          </rPr>
          <t>======
ID#AAABj5x5Lx8
    (2025-05-20 16:59:23)
Informar a durabilidade estimada em meses, para cada EPI</t>
        </r>
      </text>
    </comment>
    <comment ref="D214" authorId="0" shapeId="0">
      <text>
        <r>
          <rPr>
            <sz val="10"/>
            <color rgb="FF000000"/>
            <rFont val="Arial"/>
            <charset val="1"/>
          </rPr>
          <t>======
ID#AAABj5x5LeI
    (2025-05-20 16:59:22)
Informar o valor unitário estimado para aquisição de cada EPI</t>
        </r>
      </text>
    </comment>
    <comment ref="C215" authorId="0" shapeId="0">
      <text>
        <r>
          <rPr>
            <sz val="10"/>
            <color rgb="FF000000"/>
            <rFont val="Arial"/>
            <charset val="1"/>
          </rPr>
          <t>======
ID#AAABj5x5LRE
    (2025-05-20 16:59:22)
Informar a durabilidade estimada em meses, para cada EPI</t>
        </r>
      </text>
    </comment>
    <comment ref="D215" authorId="0" shapeId="0">
      <text>
        <r>
          <rPr>
            <sz val="10"/>
            <color rgb="FF000000"/>
            <rFont val="Arial"/>
            <charset val="1"/>
          </rPr>
          <t>======
ID#AAABj5x5LvU
    (2025-05-20 16:59:23)
Informar o valor unitário estimado para aquisição de cada EPI</t>
        </r>
      </text>
    </comment>
    <comment ref="C216" authorId="0" shapeId="0">
      <text>
        <r>
          <rPr>
            <sz val="10"/>
            <color rgb="FF000000"/>
            <rFont val="Arial"/>
            <charset val="1"/>
          </rPr>
          <t>======
ID#AAABj5x5Ld8
    (2025-05-20 16:59:22)
Informar a durabilidade estimada em meses, para cada EPI</t>
        </r>
      </text>
    </comment>
    <comment ref="D216" authorId="0" shapeId="0">
      <text>
        <r>
          <rPr>
            <sz val="10"/>
            <color rgb="FF000000"/>
            <rFont val="Arial"/>
            <charset val="1"/>
          </rPr>
          <t>======
ID#AAABj5x5LLk
    (2025-05-20 16:59:22)
Informar o valor unitário estimado para aquisição de cada EPI</t>
        </r>
      </text>
    </comment>
    <comment ref="C217" authorId="0" shapeId="0">
      <text>
        <r>
          <rPr>
            <sz val="10"/>
            <color rgb="FF000000"/>
            <rFont val="Arial"/>
            <charset val="1"/>
          </rPr>
          <t>======
ID#AAABj5x5Lq4
    (2025-05-20 16:59:23)
Informar a durabilidade estimada em meses, para cada EPI</t>
        </r>
      </text>
    </comment>
    <comment ref="D217" authorId="0" shapeId="0">
      <text>
        <r>
          <rPr>
            <sz val="10"/>
            <color rgb="FF000000"/>
            <rFont val="Arial"/>
            <charset val="1"/>
          </rPr>
          <t>======
ID#AAABj5x5LgQ
    (2025-05-20 16:59:22)
Informar o valor unitário estimado para aquisição de cada EPI</t>
        </r>
      </text>
    </comment>
    <comment ref="C224" authorId="0" shapeId="0">
      <text>
        <r>
          <rPr>
            <sz val="10"/>
            <color rgb="FF000000"/>
            <rFont val="Arial"/>
            <charset val="1"/>
          </rPr>
          <t>======
ID#AAABj5x5LhQ
    (2025-05-20 16:59:22)
Informar a durabilidade estimada em meses, para cada EPI</t>
        </r>
      </text>
    </comment>
    <comment ref="D224" authorId="0" shapeId="0">
      <text>
        <r>
          <rPr>
            <sz val="10"/>
            <color rgb="FF000000"/>
            <rFont val="Arial"/>
            <charset val="1"/>
          </rPr>
          <t>======
ID#AAABj5x5LK0
    (2025-05-20 16:59:22)
Informar o valor unitário estimado para aquisição de cada EPI</t>
        </r>
      </text>
    </comment>
    <comment ref="C225" authorId="0" shapeId="0">
      <text>
        <r>
          <rPr>
            <sz val="10"/>
            <color rgb="FF000000"/>
            <rFont val="Arial"/>
            <charset val="1"/>
          </rPr>
          <t>======
ID#AAABj5x5Lhg
    (2025-05-20 16:59:22)
Informar a durabilidade estimada em meses, para cada EPI</t>
        </r>
      </text>
    </comment>
    <comment ref="D225" authorId="0" shapeId="0">
      <text>
        <r>
          <rPr>
            <sz val="10"/>
            <color rgb="FF000000"/>
            <rFont val="Arial"/>
            <charset val="1"/>
          </rPr>
          <t>======
ID#AAABj5x5LtU
    (2025-05-20 16:59:23)
Informar o valor unitário estimado para aquisição de cada EPI</t>
        </r>
      </text>
    </comment>
    <comment ref="C226" authorId="0" shapeId="0">
      <text>
        <r>
          <rPr>
            <sz val="10"/>
            <color rgb="FF000000"/>
            <rFont val="Arial"/>
            <charset val="1"/>
          </rPr>
          <t>======
ID#AAABj5x5Lws
    (2025-05-20 16:59:23)
Informar a durabilidade estimada em meses, para cada EPI</t>
        </r>
      </text>
    </comment>
    <comment ref="D226" authorId="0" shapeId="0">
      <text>
        <r>
          <rPr>
            <sz val="10"/>
            <color rgb="FF000000"/>
            <rFont val="Arial"/>
            <charset val="1"/>
          </rPr>
          <t>======
ID#AAABj5x5LLU
    (2025-05-20 16:59:22)
Informar o valor unitário estimado para aquisição de cada EPI</t>
        </r>
      </text>
    </comment>
    <comment ref="C227" authorId="0" shapeId="0">
      <text>
        <r>
          <rPr>
            <sz val="10"/>
            <color rgb="FF000000"/>
            <rFont val="Arial"/>
            <charset val="1"/>
          </rPr>
          <t>======
ID#AAABj5x5LMM
    (2025-05-20 16:59:22)
Informar a durabilidade estimada em meses, para cada EPI</t>
        </r>
      </text>
    </comment>
    <comment ref="D227" authorId="0" shapeId="0">
      <text>
        <r>
          <rPr>
            <sz val="10"/>
            <color rgb="FF000000"/>
            <rFont val="Arial"/>
            <charset val="1"/>
          </rPr>
          <t>======
ID#AAABj5x5Lwc
    (2025-05-20 16:59:23)
Informar o valor unitário estimado para aquisição de cada EPI</t>
        </r>
      </text>
    </comment>
    <comment ref="C228" authorId="0" shapeId="0">
      <text>
        <r>
          <rPr>
            <sz val="10"/>
            <color rgb="FF000000"/>
            <rFont val="Arial"/>
            <charset val="1"/>
          </rPr>
          <t>======
ID#AAABj5x5Lwg
    (2025-05-20 16:59:23)
Informar a durabilidade estimada em meses, para cada EPI</t>
        </r>
      </text>
    </comment>
    <comment ref="D228" authorId="0" shapeId="0">
      <text>
        <r>
          <rPr>
            <sz val="10"/>
            <color rgb="FF000000"/>
            <rFont val="Arial"/>
            <charset val="1"/>
          </rPr>
          <t>======
ID#AAABj5x5LzM
    (2025-05-20 16:59:23)
Informar o valor unitário estimado para aquisição de cada EPI</t>
        </r>
      </text>
    </comment>
    <comment ref="C229" authorId="0" shapeId="0">
      <text>
        <r>
          <rPr>
            <sz val="10"/>
            <color rgb="FF000000"/>
            <rFont val="Arial"/>
            <charset val="1"/>
          </rPr>
          <t>======
ID#AAABj5x5Lf0
    (2025-05-20 16:59:22)
Informar a durabilidade estimada em meses, para cada EPI</t>
        </r>
      </text>
    </comment>
    <comment ref="D229" authorId="0" shapeId="0">
      <text>
        <r>
          <rPr>
            <sz val="10"/>
            <color rgb="FF000000"/>
            <rFont val="Arial"/>
            <charset val="1"/>
          </rPr>
          <t>======
ID#AAABj5x5LWY
    (2025-05-20 16:59:22)
Informar o valor unitário estimado para aquisição de cada EPI</t>
        </r>
      </text>
    </comment>
    <comment ref="C230" authorId="0" shapeId="0">
      <text>
        <r>
          <rPr>
            <sz val="10"/>
            <color rgb="FF000000"/>
            <rFont val="Arial"/>
            <charset val="1"/>
          </rPr>
          <t>======
ID#AAABj5x5LJw
    (2025-05-20 16:59:22)
Informar a durabilidade estimada em meses, para cada EPI</t>
        </r>
      </text>
    </comment>
    <comment ref="D230" authorId="0" shapeId="0">
      <text>
        <r>
          <rPr>
            <sz val="10"/>
            <color rgb="FF000000"/>
            <rFont val="Arial"/>
            <charset val="1"/>
          </rPr>
          <t>======
ID#AAABj5x5Lc8
    (2025-05-20 16:59:22)
Informar o valor unitário estimado para aquisição de cada EPI</t>
        </r>
      </text>
    </comment>
    <comment ref="C231" authorId="0" shapeId="0">
      <text>
        <r>
          <rPr>
            <sz val="10"/>
            <color rgb="FF000000"/>
            <rFont val="Arial"/>
            <charset val="1"/>
          </rPr>
          <t>======
ID#AAABj5x5LW4
    (2025-05-20 16:59:22)
Informar a durabilidade estimada em meses, para cada EPI</t>
        </r>
      </text>
    </comment>
    <comment ref="D231" authorId="0" shapeId="0">
      <text>
        <r>
          <rPr>
            <sz val="10"/>
            <color rgb="FF000000"/>
            <rFont val="Arial"/>
            <charset val="1"/>
          </rPr>
          <t>======
ID#AAABj5x5LjI
    (2025-05-20 16:59:23)
Informar o valor unitário estimado para aquisição de cada EPI</t>
        </r>
      </text>
    </comment>
    <comment ref="C232" authorId="0" shapeId="0">
      <text>
        <r>
          <rPr>
            <sz val="10"/>
            <color rgb="FF000000"/>
            <rFont val="Arial"/>
            <charset val="1"/>
          </rPr>
          <t>======
ID#AAABj5x5K7E
    (2025-05-20 16:59:22)
Informar a durabilidade estimada em meses, para cada EPI</t>
        </r>
      </text>
    </comment>
    <comment ref="D232" authorId="0" shapeId="0">
      <text>
        <r>
          <rPr>
            <sz val="10"/>
            <color rgb="FF000000"/>
            <rFont val="Arial"/>
            <charset val="1"/>
          </rPr>
          <t>======
ID#AAABj5x5K9k
    (2025-05-20 16:59:22)
Informar o valor unitário estimado para aquisição de cada EPI</t>
        </r>
      </text>
    </comment>
    <comment ref="C233" authorId="0" shapeId="0">
      <text>
        <r>
          <rPr>
            <sz val="10"/>
            <color rgb="FF000000"/>
            <rFont val="Arial"/>
            <charset val="1"/>
          </rPr>
          <t>======
ID#AAABj5x5Ln4
    (2025-05-20 16:59:23)
Informar a durabilidade estimada em meses, para cada EPI</t>
        </r>
      </text>
    </comment>
    <comment ref="D233" authorId="0" shapeId="0">
      <text>
        <r>
          <rPr>
            <sz val="10"/>
            <color rgb="FF000000"/>
            <rFont val="Arial"/>
            <charset val="1"/>
          </rPr>
          <t>======
ID#AAABj5x5Lx4
    (2025-05-20 16:59:23)
Informar o valor unitário estimado para aquisição de cada EPI</t>
        </r>
      </text>
    </comment>
    <comment ref="C240" authorId="0" shapeId="0">
      <text>
        <r>
          <rPr>
            <sz val="10"/>
            <color rgb="FF000000"/>
            <rFont val="Arial"/>
            <charset val="1"/>
          </rPr>
          <t>======
ID#AAABj5x5LKA
    (2025-05-20 16:59:22)
Informar a durabilidade estimada em meses, para cada EPI</t>
        </r>
      </text>
    </comment>
    <comment ref="D240" authorId="0" shapeId="0">
      <text>
        <r>
          <rPr>
            <sz val="10"/>
            <color rgb="FF000000"/>
            <rFont val="Arial"/>
            <charset val="1"/>
          </rPr>
          <t>======
ID#AAABj5x5Lvo
    (2025-05-20 16:59:23)
Informar o valor unitário estimado para aquisição de cada EPI</t>
        </r>
      </text>
    </comment>
    <comment ref="C241" authorId="0" shapeId="0">
      <text>
        <r>
          <rPr>
            <sz val="10"/>
            <color rgb="FF000000"/>
            <rFont val="Arial"/>
            <charset val="1"/>
          </rPr>
          <t>======
ID#AAABj5x5LeM
    (2025-05-20 16:59:22)
Informar a durabilidade estimada em meses, para cada EPI</t>
        </r>
      </text>
    </comment>
    <comment ref="D241" authorId="0" shapeId="0">
      <text>
        <r>
          <rPr>
            <sz val="10"/>
            <color rgb="FF000000"/>
            <rFont val="Arial"/>
            <charset val="1"/>
          </rPr>
          <t>======
ID#AAABj5x5K7I
    (2025-05-20 16:59:22)
Informar o valor unitário estimado para aquisição de cada EPI</t>
        </r>
      </text>
    </comment>
    <comment ref="C242" authorId="0" shapeId="0">
      <text>
        <r>
          <rPr>
            <sz val="10"/>
            <color rgb="FF000000"/>
            <rFont val="Arial"/>
            <charset val="1"/>
          </rPr>
          <t>======
ID#AAABj5x5Lbo
    (2025-05-20 16:59:22)
Informar a durabilidade estimada em meses, para cada EPI</t>
        </r>
      </text>
    </comment>
    <comment ref="D242" authorId="0" shapeId="0">
      <text>
        <r>
          <rPr>
            <sz val="10"/>
            <color rgb="FF000000"/>
            <rFont val="Arial"/>
            <charset val="1"/>
          </rPr>
          <t>======
ID#AAABj5x5LmE
    (2025-05-20 16:59:23)
Informar o valor unitário estimado para aquisição de cada EPI</t>
        </r>
      </text>
    </comment>
    <comment ref="C243" authorId="0" shapeId="0">
      <text>
        <r>
          <rPr>
            <sz val="10"/>
            <color rgb="FF000000"/>
            <rFont val="Arial"/>
            <charset val="1"/>
          </rPr>
          <t>======
ID#AAABj5x5Loc
    (2025-05-20 16:59:23)
Informar a durabilidade estimada em meses, para cada EPI</t>
        </r>
      </text>
    </comment>
    <comment ref="D243" authorId="0" shapeId="0">
      <text>
        <r>
          <rPr>
            <sz val="10"/>
            <color rgb="FF000000"/>
            <rFont val="Arial"/>
            <charset val="1"/>
          </rPr>
          <t>======
ID#AAABj5x5LyQ
    (2025-05-20 16:59:23)
Informar o valor unitário estimado para aquisição de cada EPI</t>
        </r>
      </text>
    </comment>
    <comment ref="C244" authorId="0" shapeId="0">
      <text>
        <r>
          <rPr>
            <sz val="10"/>
            <color rgb="FF000000"/>
            <rFont val="Arial"/>
            <charset val="1"/>
          </rPr>
          <t>======
ID#AAABj5x5LW8
    (2025-05-20 16:59:22)
Informar a durabilidade estimada em meses, para cada EPI</t>
        </r>
      </text>
    </comment>
    <comment ref="D244" authorId="0" shapeId="0">
      <text>
        <r>
          <rPr>
            <sz val="10"/>
            <color rgb="FF000000"/>
            <rFont val="Arial"/>
            <charset val="1"/>
          </rPr>
          <t>======
ID#AAABj5x5LqQ
    (2025-05-20 16:59:23)
Informar o valor unitário estimado para aquisição de cada EPI</t>
        </r>
      </text>
    </comment>
    <comment ref="C245" authorId="0" shapeId="0">
      <text>
        <r>
          <rPr>
            <sz val="10"/>
            <color rgb="FF000000"/>
            <rFont val="Arial"/>
            <charset val="1"/>
          </rPr>
          <t>======
ID#AAABj5x5LVw
    (2025-05-20 16:59:22)
Informar a durabilidade estimada em meses, para cada EPI</t>
        </r>
      </text>
    </comment>
    <comment ref="D245" authorId="0" shapeId="0">
      <text>
        <r>
          <rPr>
            <sz val="10"/>
            <color rgb="FF000000"/>
            <rFont val="Arial"/>
            <charset val="1"/>
          </rPr>
          <t>======
ID#AAABj5x5LuM
    (2025-05-20 16:59:23)
Informar o valor unitário estimado para aquisição de cada EPI</t>
        </r>
      </text>
    </comment>
    <comment ref="C252" authorId="0" shapeId="0">
      <text>
        <r>
          <rPr>
            <sz val="10"/>
            <color rgb="FF000000"/>
            <rFont val="Arial"/>
            <charset val="1"/>
          </rPr>
          <t>======
ID#AAABj5x5LMs
    (2025-05-20 16:59:22)
Informar a durabilidade estimada em meses, para cada EPI</t>
        </r>
      </text>
    </comment>
    <comment ref="D252" authorId="0" shapeId="0">
      <text>
        <r>
          <rPr>
            <sz val="10"/>
            <color rgb="FF000000"/>
            <rFont val="Arial"/>
            <charset val="1"/>
          </rPr>
          <t>======
ID#AAABj5x5LZc
    (2025-05-20 16:59:22)
Informar o valor unitário estimado para aquisição de cada EPI</t>
        </r>
      </text>
    </comment>
    <comment ref="C253" authorId="0" shapeId="0">
      <text>
        <r>
          <rPr>
            <sz val="10"/>
            <color rgb="FF000000"/>
            <rFont val="Arial"/>
            <charset val="1"/>
          </rPr>
          <t>======
ID#AAABj5x5Lxg
    (2025-05-20 16:59:23)
Informar a durabilidade estimada em meses, para cada EPI</t>
        </r>
      </text>
    </comment>
    <comment ref="D253" authorId="0" shapeId="0">
      <text>
        <r>
          <rPr>
            <sz val="10"/>
            <color rgb="FF000000"/>
            <rFont val="Arial"/>
            <charset val="1"/>
          </rPr>
          <t>======
ID#AAABj5x5K6E
    (2025-05-20 16:59:22)
Informar o valor unitário estimado para aquisição de cada EPI</t>
        </r>
      </text>
    </comment>
    <comment ref="C254" authorId="0" shapeId="0">
      <text>
        <r>
          <rPr>
            <sz val="10"/>
            <color rgb="FF000000"/>
            <rFont val="Arial"/>
            <charset val="1"/>
          </rPr>
          <t>======
ID#AAABj5x5LhU
    (2025-05-20 16:59:22)
Informar a durabilidade estimada em meses, para cada EPI</t>
        </r>
      </text>
    </comment>
    <comment ref="D254" authorId="0" shapeId="0">
      <text>
        <r>
          <rPr>
            <sz val="10"/>
            <color rgb="FF000000"/>
            <rFont val="Arial"/>
            <charset val="1"/>
          </rPr>
          <t>======
ID#AAABj5x5K7s
    (2025-05-20 16:59:22)
Informar o valor unitário estimado para aquisição de cada EPI</t>
        </r>
      </text>
    </comment>
    <comment ref="C255" authorId="0" shapeId="0">
      <text>
        <r>
          <rPr>
            <sz val="10"/>
            <color rgb="FF000000"/>
            <rFont val="Arial"/>
            <charset val="1"/>
          </rPr>
          <t>======
ID#AAABj5x5LW0
    (2025-05-20 16:59:22)
Informar a durabilidade estimada em meses, para cada EPI</t>
        </r>
      </text>
    </comment>
    <comment ref="D255" authorId="0" shapeId="0">
      <text>
        <r>
          <rPr>
            <sz val="10"/>
            <color rgb="FF000000"/>
            <rFont val="Arial"/>
            <charset val="1"/>
          </rPr>
          <t>======
ID#AAABj5x5LaI
    (2025-05-20 16:59:22)
Informar o valor unitário estimado para aquisição de cada EPI</t>
        </r>
      </text>
    </comment>
    <comment ref="C256" authorId="0" shapeId="0">
      <text>
        <r>
          <rPr>
            <sz val="10"/>
            <color rgb="FF000000"/>
            <rFont val="Arial"/>
            <charset val="1"/>
          </rPr>
          <t>======
ID#AAABj5x5K78
    (2025-05-20 16:59:22)
Informar a durabilidade estimada em meses, para cada EPI</t>
        </r>
      </text>
    </comment>
    <comment ref="D256" authorId="0" shapeId="0">
      <text>
        <r>
          <rPr>
            <sz val="10"/>
            <color rgb="FF000000"/>
            <rFont val="Arial"/>
            <charset val="1"/>
          </rPr>
          <t>======
ID#AAABj5x5LK4
    (2025-05-20 16:59:22)
Informar o valor unitário estimado para aquisição de cada EPI</t>
        </r>
      </text>
    </comment>
    <comment ref="C257" authorId="0" shapeId="0">
      <text>
        <r>
          <rPr>
            <sz val="10"/>
            <color rgb="FF000000"/>
            <rFont val="Arial"/>
            <charset val="1"/>
          </rPr>
          <t>======
ID#AAABj5x5K7k
    (2025-05-20 16:59:22)
Informar a durabilidade estimada em meses, para cada EPI</t>
        </r>
      </text>
    </comment>
    <comment ref="D257" authorId="0" shapeId="0">
      <text>
        <r>
          <rPr>
            <sz val="10"/>
            <color rgb="FF000000"/>
            <rFont val="Arial"/>
            <charset val="1"/>
          </rPr>
          <t>======
ID#AAABj5x5LIg
    (2025-05-20 16:59:22)
Informar o valor unitário estimado para aquisição de cada EPI</t>
        </r>
      </text>
    </comment>
    <comment ref="C264" authorId="0" shapeId="0">
      <text>
        <r>
          <rPr>
            <sz val="10"/>
            <color rgb="FF000000"/>
            <rFont val="Arial"/>
            <charset val="1"/>
          </rPr>
          <t>======
ID#AAABj5x5LU4
    (2025-05-20 16:59:22)
Informar a durabilidade estimada em meses, para cada EPI</t>
        </r>
      </text>
    </comment>
    <comment ref="D264" authorId="0" shapeId="0">
      <text>
        <r>
          <rPr>
            <sz val="10"/>
            <color rgb="FF000000"/>
            <rFont val="Arial"/>
            <charset val="1"/>
          </rPr>
          <t>======
ID#AAABj5x5LyI
    (2025-05-20 16:59:23)
Informar o valor unitário estimado para aquisição de cada EPI</t>
        </r>
      </text>
    </comment>
    <comment ref="C265" authorId="0" shapeId="0">
      <text>
        <r>
          <rPr>
            <sz val="10"/>
            <color rgb="FF000000"/>
            <rFont val="Arial"/>
            <charset val="1"/>
          </rPr>
          <t>======
ID#AAABj5x5LVc
    (2025-05-20 16:59:22)
Informar a durabilidade estimada em meses, para cada EPI</t>
        </r>
      </text>
    </comment>
    <comment ref="D265" authorId="0" shapeId="0">
      <text>
        <r>
          <rPr>
            <sz val="10"/>
            <color rgb="FF000000"/>
            <rFont val="Arial"/>
            <charset val="1"/>
          </rPr>
          <t>======
ID#AAABj5x5LdI
    (2025-05-20 16:59:22)
Informar o valor unitário estimado para aquisição de cada EPI</t>
        </r>
      </text>
    </comment>
    <comment ref="C266" authorId="0" shapeId="0">
      <text>
        <r>
          <rPr>
            <sz val="10"/>
            <color rgb="FF000000"/>
            <rFont val="Arial"/>
            <charset val="1"/>
          </rPr>
          <t>======
ID#AAABj5x5LKI
    (2025-05-20 16:59:22)
Informar a durabilidade estimada em meses, para cada EPI</t>
        </r>
      </text>
    </comment>
    <comment ref="D266" authorId="0" shapeId="0">
      <text>
        <r>
          <rPr>
            <sz val="10"/>
            <color rgb="FF000000"/>
            <rFont val="Arial"/>
            <charset val="1"/>
          </rPr>
          <t>======
ID#AAABj5x5LRo
    (2025-05-20 16:59:22)
Informar o valor unitário estimado para aquisição de cada EPI</t>
        </r>
      </text>
    </comment>
    <comment ref="C267" authorId="0" shapeId="0">
      <text>
        <r>
          <rPr>
            <sz val="10"/>
            <color rgb="FF000000"/>
            <rFont val="Arial"/>
            <charset val="1"/>
          </rPr>
          <t>======
ID#AAABj5x5Lyc
    (2025-05-20 16:59:23)
Informar a durabilidade estimada em meses, para cada EPI</t>
        </r>
      </text>
    </comment>
    <comment ref="D267" authorId="0" shapeId="0">
      <text>
        <r>
          <rPr>
            <sz val="10"/>
            <color rgb="FF000000"/>
            <rFont val="Arial"/>
            <charset val="1"/>
          </rPr>
          <t>======
ID#AAABj5x5Lt0
    (2025-05-20 16:59:23)
Informar o valor unitário estimado para aquisição de cada EPI</t>
        </r>
      </text>
    </comment>
    <comment ref="C268" authorId="0" shapeId="0">
      <text>
        <r>
          <rPr>
            <sz val="10"/>
            <color rgb="FF000000"/>
            <rFont val="Arial"/>
            <charset val="1"/>
          </rPr>
          <t>======
ID#AAABj5x5LMw
    (2025-05-20 16:59:22)
Informar a durabilidade estimada em meses, para cada EPI</t>
        </r>
      </text>
    </comment>
    <comment ref="D268" authorId="0" shapeId="0">
      <text>
        <r>
          <rPr>
            <sz val="10"/>
            <color rgb="FF000000"/>
            <rFont val="Arial"/>
            <charset val="1"/>
          </rPr>
          <t>======
ID#AAABj5x5LNc
    (2025-05-20 16:59:22)
Informar o valor unitário estimado para aquisição de cada EPI</t>
        </r>
      </text>
    </comment>
    <comment ref="C269" authorId="0" shapeId="0">
      <text>
        <r>
          <rPr>
            <sz val="10"/>
            <color rgb="FF000000"/>
            <rFont val="Arial"/>
            <charset val="1"/>
          </rPr>
          <t>======
ID#AAABj5x5LL4
    (2025-05-20 16:59:22)
Informar a durabilidade estimada em meses, para cada EPI</t>
        </r>
      </text>
    </comment>
    <comment ref="D269" authorId="0" shapeId="0">
      <text>
        <r>
          <rPr>
            <sz val="10"/>
            <color rgb="FF000000"/>
            <rFont val="Arial"/>
            <charset val="1"/>
          </rPr>
          <t>======
ID#AAABj5x5LnA
    (2025-05-20 16:59:23)
Informar o valor unitário estimado para aquisição de cada EPI</t>
        </r>
      </text>
    </comment>
    <comment ref="C270" authorId="0" shapeId="0">
      <text>
        <r>
          <rPr>
            <sz val="10"/>
            <color rgb="FF000000"/>
            <rFont val="Arial"/>
            <charset val="1"/>
          </rPr>
          <t>======
ID#AAABj5x5Lcc
    (2025-05-20 16:59:22)
Informar a durabilidade estimada em meses, para cada EPI</t>
        </r>
      </text>
    </comment>
    <comment ref="D270" authorId="0" shapeId="0">
      <text>
        <r>
          <rPr>
            <sz val="10"/>
            <color rgb="FF000000"/>
            <rFont val="Arial"/>
            <charset val="1"/>
          </rPr>
          <t>======
ID#AAABj5x5K8A
    (2025-05-20 16:59:22)
Informar o valor unitário estimado para aquisição de cada EPI</t>
        </r>
      </text>
    </comment>
    <comment ref="C271" authorId="0" shapeId="0">
      <text>
        <r>
          <rPr>
            <sz val="10"/>
            <color rgb="FF000000"/>
            <rFont val="Arial"/>
            <charset val="1"/>
          </rPr>
          <t>======
ID#AAABj5x5Lo0
    (2025-05-20 16:59:23)
Informar a durabilidade estimada em meses, para cada EPI</t>
        </r>
      </text>
    </comment>
    <comment ref="D271" authorId="0" shapeId="0">
      <text>
        <r>
          <rPr>
            <sz val="10"/>
            <color rgb="FF000000"/>
            <rFont val="Arial"/>
            <charset val="1"/>
          </rPr>
          <t>======
ID#AAABj5x5LXg
    (2025-05-20 16:59:22)
Informar o valor unitário estimado para aquisição de cada EPI</t>
        </r>
      </text>
    </comment>
    <comment ref="C272" authorId="0" shapeId="0">
      <text>
        <r>
          <rPr>
            <sz val="10"/>
            <color rgb="FF000000"/>
            <rFont val="Arial"/>
            <charset val="1"/>
          </rPr>
          <t>======
ID#AAABj5x5LO4
    (2025-05-20 16:59:22)
Informar a durabilidade estimada em meses, para cada EPI</t>
        </r>
      </text>
    </comment>
    <comment ref="D272" authorId="0" shapeId="0">
      <text>
        <r>
          <rPr>
            <sz val="10"/>
            <color rgb="FF000000"/>
            <rFont val="Arial"/>
            <charset val="1"/>
          </rPr>
          <t>======
ID#AAABj5x5LTk
    (2025-05-20 16:59:22)
Informar o valor unitário estimado para aquisição de cada EPI</t>
        </r>
      </text>
    </comment>
    <comment ref="D284" authorId="0" shapeId="0">
      <text>
        <r>
          <rPr>
            <sz val="10"/>
            <color rgb="FF000000"/>
            <rFont val="Arial"/>
            <charset val="1"/>
          </rPr>
          <t>======
ID#AAABj5x5Lgs
    (2025-05-20 16:59:22)
Informar o preço unitário do chassis do caminhão de coleta</t>
        </r>
      </text>
    </comment>
    <comment ref="C285" authorId="0" shapeId="0">
      <text>
        <r>
          <rPr>
            <sz val="10"/>
            <color rgb="FF000000"/>
            <rFont val="Arial"/>
            <charset val="1"/>
          </rPr>
          <t>======
ID#AAABj5x5LXw
    (2025-05-20 16:59:22)
Informar a vida útil estimada para o caminhão, em anos</t>
        </r>
      </text>
    </comment>
    <comment ref="C286" authorId="0" shapeId="0">
      <text>
        <r>
          <rPr>
            <sz val="10"/>
            <color rgb="FF000000"/>
            <rFont val="Arial"/>
            <charset val="1"/>
          </rPr>
          <t>======
ID#AAABj5x5LLo
    (2025-05-20 16:59:22)
Na elaboração do orçamento-base da licitação, informar 0 (zero). Na proposta da licitante, informar a idade do veículo proposto.</t>
        </r>
      </text>
    </comment>
    <comment ref="C287" authorId="0" shapeId="0">
      <text>
        <r>
          <rPr>
            <sz val="10"/>
            <color rgb="FF000000"/>
            <rFont val="Arial"/>
            <charset val="1"/>
          </rPr>
          <t>======
ID#AAABj5x5LVg
    (2025-05-20 16:59:22)
Informar o valor da depreciação do caminhão, adotando o valor sugerido pelo TCE ou outro valor estimado</t>
        </r>
      </text>
    </comment>
    <comment ref="C290" authorId="0" shapeId="0">
      <text>
        <r>
          <rPr>
            <sz val="10"/>
            <color rgb="FF000000"/>
            <rFont val="Arial"/>
            <charset val="1"/>
          </rPr>
          <t>======
ID#AAABj5x5Lr0
    (2025-05-20 16:59:23)
Informar a quantidade de caminhões compactadores do respectivo modelo</t>
        </r>
      </text>
    </comment>
    <comment ref="C296" authorId="0" shapeId="0">
      <text>
        <r>
          <rPr>
            <sz val="10"/>
            <color rgb="FF000000"/>
            <rFont val="Arial"/>
            <charset val="1"/>
          </rPr>
          <t>======
ID#AAABj5x5K6s
    (2025-05-20 16:59:22)
Informar a taxa de juros anual para remuneração do capital. Recomenda-se o uso da Taxa SELIC</t>
        </r>
      </text>
    </comment>
    <comment ref="D307" authorId="0" shapeId="0">
      <text>
        <r>
          <rPr>
            <sz val="10"/>
            <color rgb="FF000000"/>
            <rFont val="Arial"/>
            <charset val="1"/>
          </rPr>
          <t>======
ID#AAABj5x5LLM
    (2025-05-20 16:59:22)
Informar o valor do seguro obrigatório e licenciamento anual de um caminhão</t>
        </r>
      </text>
    </comment>
    <comment ref="D308" authorId="0" shapeId="0">
      <text>
        <r>
          <rPr>
            <sz val="10"/>
            <color rgb="FF000000"/>
            <rFont val="Arial"/>
            <charset val="1"/>
          </rPr>
          <t>======
ID#AAABj5x5LTI
    (2025-05-20 16:59:22)
Informar o valor do seguro contra terceiros de um caminhão, se houver previsão no Projeto Básico</t>
        </r>
      </text>
    </comment>
    <comment ref="B314" authorId="0" shapeId="0">
      <text>
        <r>
          <rPr>
            <sz val="10"/>
            <color rgb="FF000000"/>
            <rFont val="Arial"/>
            <charset val="1"/>
          </rPr>
          <t>======
ID#AAABj5x5LkY
    (2025-05-20 16:59:23)
Informar a quilometragem mensal percorrida, de acordo com o projeto básico</t>
        </r>
      </text>
    </comment>
    <comment ref="C318" authorId="0" shapeId="0">
      <text>
        <r>
          <rPr>
            <sz val="10"/>
            <color rgb="FF000000"/>
            <rFont val="Arial"/>
            <charset val="1"/>
          </rPr>
          <t>======
ID#AAABj5x5LNE
    (2025-05-20 16:59:22)
Informar o consumo estimado do veículo em litros/mês</t>
        </r>
      </text>
    </comment>
    <comment ref="D324" authorId="0" shapeId="0">
      <text>
        <r>
          <rPr>
            <sz val="10"/>
            <color rgb="FF000000"/>
            <rFont val="Arial"/>
            <charset val="1"/>
          </rPr>
          <t>======
ID#AAABj5x5LpU
    (2025-05-20 16:59:23)
Informar o valor do veículo novo</t>
        </r>
      </text>
    </comment>
    <comment ref="D329" authorId="0" shapeId="0">
      <text>
        <r>
          <rPr>
            <sz val="10"/>
            <color rgb="FF000000"/>
            <rFont val="Arial"/>
            <charset val="1"/>
          </rPr>
          <t>======
ID#AAABj5x5Lkk
    (2025-05-20 16:59:23)
Informar o preço unitário de cada pneu</t>
        </r>
      </text>
    </comment>
    <comment ref="D331" authorId="0" shapeId="0">
      <text>
        <r>
          <rPr>
            <sz val="10"/>
            <color rgb="FF000000"/>
            <rFont val="Arial"/>
            <charset val="1"/>
          </rPr>
          <t>======
ID#AAABj5x5LdM
    (2025-05-20 16:59:22)
Informar o preço unitário de cada recapagem</t>
        </r>
      </text>
    </comment>
    <comment ref="C332" authorId="0" shapeId="0">
      <text>
        <r>
          <rPr>
            <sz val="10"/>
            <color rgb="FF000000"/>
            <rFont val="Arial"/>
            <charset val="1"/>
          </rPr>
          <t>======
ID#AAABj5x5LgE
    (2025-05-20 16:59:22)
Informar a durabilidade média dos pneus considerando todas as recapagens, em km</t>
        </r>
      </text>
    </comment>
    <comment ref="D354" authorId="0" shapeId="0">
      <text>
        <r>
          <rPr>
            <sz val="10"/>
            <color rgb="FF000000"/>
            <rFont val="Arial"/>
            <charset val="1"/>
          </rPr>
          <t>======
ID#AAABj5x5K7c
    (2025-05-20 16:59:22)
Informar o preço unitário do chassis do caminhão de coleta</t>
        </r>
      </text>
    </comment>
    <comment ref="C355" authorId="0" shapeId="0">
      <text>
        <r>
          <rPr>
            <sz val="10"/>
            <color rgb="FF000000"/>
            <rFont val="Arial"/>
            <charset val="1"/>
          </rPr>
          <t>======
ID#AAABj5x5LS4
    (2025-05-20 16:59:22)
Informar a vida útil estimada para o caminhão, em anos</t>
        </r>
      </text>
    </comment>
    <comment ref="C356" authorId="0" shapeId="0">
      <text>
        <r>
          <rPr>
            <sz val="10"/>
            <color rgb="FF000000"/>
            <rFont val="Arial"/>
            <charset val="1"/>
          </rPr>
          <t>======
ID#AAABj5x5Lbw
    (2025-05-20 16:59:22)
Na elaboração do orçamento-base da licitação, informar 0 (zero). Na proposta da licitante, informar a idade do veículo proposto.</t>
        </r>
      </text>
    </comment>
    <comment ref="C357" authorId="0" shapeId="0">
      <text>
        <r>
          <rPr>
            <sz val="10"/>
            <color rgb="FF000000"/>
            <rFont val="Arial"/>
            <charset val="1"/>
          </rPr>
          <t>======
ID#AAABj5x5Ly0
    (2025-05-20 16:59:23)
Informar o valor da depreciação do caminhão, adotando o valor sugerido pelo TCE ou outro valor estimado</t>
        </r>
      </text>
    </comment>
    <comment ref="C360" authorId="0" shapeId="0">
      <text>
        <r>
          <rPr>
            <sz val="10"/>
            <color rgb="FF000000"/>
            <rFont val="Arial"/>
            <charset val="1"/>
          </rPr>
          <t>======
ID#AAABj5x5Lpk
    (2025-05-20 16:59:23)
Informar a quantidade de caminhões compactadores do respectivo modelo</t>
        </r>
      </text>
    </comment>
    <comment ref="C366" authorId="0" shapeId="0">
      <text>
        <r>
          <rPr>
            <sz val="10"/>
            <color rgb="FF000000"/>
            <rFont val="Arial"/>
            <charset val="1"/>
          </rPr>
          <t>======
ID#AAABj5x5Lm0
    (2025-05-20 16:59:23)
Informar a taxa de juros anual para remuneração do capital. Recomenda-se o uso da Taxa SELIC</t>
        </r>
      </text>
    </comment>
    <comment ref="D377" authorId="0" shapeId="0">
      <text>
        <r>
          <rPr>
            <sz val="10"/>
            <color rgb="FF000000"/>
            <rFont val="Arial"/>
            <charset val="1"/>
          </rPr>
          <t>======
ID#AAABj5x5Lec
    (2025-05-20 16:59:22)
Informar o valor do seguro obrigatório e licenciamento anual de um caminhão</t>
        </r>
      </text>
    </comment>
    <comment ref="D378" authorId="0" shapeId="0">
      <text>
        <r>
          <rPr>
            <sz val="10"/>
            <color rgb="FF000000"/>
            <rFont val="Arial"/>
            <charset val="1"/>
          </rPr>
          <t>======
ID#AAABj5x5Lio
    (2025-05-20 16:59:23)
Informar o valor do seguro contra terceiros de um caminhão, se houver previsão no Projeto Básico</t>
        </r>
      </text>
    </comment>
    <comment ref="B384" authorId="0" shapeId="0">
      <text>
        <r>
          <rPr>
            <sz val="10"/>
            <color rgb="FF000000"/>
            <rFont val="Arial"/>
            <charset val="1"/>
          </rPr>
          <t>======
ID#AAABj5x5LhA
    (2025-05-20 16:59:22)
Informar a quilometragem mensal percorrida, de acordo com o projeto básico</t>
        </r>
      </text>
    </comment>
    <comment ref="C388" authorId="0" shapeId="0">
      <text>
        <r>
          <rPr>
            <sz val="10"/>
            <color rgb="FF000000"/>
            <rFont val="Arial"/>
            <charset val="1"/>
          </rPr>
          <t>======
ID#AAABj5x5Lwk
    (2025-05-20 16:59:23)
Informar o consumo estimado do veículo em litros/mês</t>
        </r>
      </text>
    </comment>
    <comment ref="D394" authorId="0" shapeId="0">
      <text>
        <r>
          <rPr>
            <sz val="10"/>
            <color rgb="FF000000"/>
            <rFont val="Arial"/>
            <charset val="1"/>
          </rPr>
          <t>======
ID#AAABj5x5LQE
    (2025-05-20 16:59:22)
Informar o custo de manutenção em R$/km rodado</t>
        </r>
      </text>
    </comment>
    <comment ref="C399" authorId="0" shapeId="0">
      <text>
        <r>
          <rPr>
            <sz val="10"/>
            <color rgb="FF000000"/>
            <rFont val="Arial"/>
            <charset val="1"/>
          </rPr>
          <t>======
ID#AAABj5x5K7w
    (2025-05-20 16:59:22)
Informar a quantidade de pneus novos de 1 caminhão</t>
        </r>
      </text>
    </comment>
    <comment ref="D399" authorId="0" shapeId="0">
      <text>
        <r>
          <rPr>
            <sz val="10"/>
            <color rgb="FF000000"/>
            <rFont val="Arial"/>
            <charset val="1"/>
          </rPr>
          <t>======
ID#AAABj5x5K84
    (2025-05-20 16:59:22)
Informar o preço unitário de cada pneu</t>
        </r>
      </text>
    </comment>
    <comment ref="D401" authorId="0" shapeId="0">
      <text>
        <r>
          <rPr>
            <sz val="10"/>
            <color rgb="FF000000"/>
            <rFont val="Arial"/>
            <charset val="1"/>
          </rPr>
          <t>======
ID#AAABj5x5LPY
    (2025-05-20 16:59:22)
Informar o preço unitário de cada recapagem</t>
        </r>
      </text>
    </comment>
    <comment ref="C402" authorId="0" shapeId="0">
      <text>
        <r>
          <rPr>
            <sz val="10"/>
            <color rgb="FF000000"/>
            <rFont val="Arial"/>
            <charset val="1"/>
          </rPr>
          <t>======
ID#AAABj5x5LnE
    (2025-05-20 16:59:23)
Informar a durabilidade média dos pneus considerando todas as recapagens, em km</t>
        </r>
      </text>
    </comment>
    <comment ref="D427" authorId="0" shapeId="0">
      <text>
        <r>
          <rPr>
            <sz val="10"/>
            <color rgb="FF000000"/>
            <rFont val="Arial"/>
            <charset val="1"/>
          </rPr>
          <t>======
ID#AAABj5x5Lco
    (2025-05-20 16:59:22)
Informar o preço unitário do chassis do caminhão de coleta</t>
        </r>
      </text>
    </comment>
    <comment ref="C428" authorId="0" shapeId="0">
      <text>
        <r>
          <rPr>
            <sz val="10"/>
            <color rgb="FF000000"/>
            <rFont val="Arial"/>
            <charset val="1"/>
          </rPr>
          <t>======
ID#AAABj5x5LPE
    (2025-05-20 16:59:22)
Informar a vida útil estimada para o caminhão, em anos</t>
        </r>
      </text>
    </comment>
    <comment ref="C429" authorId="0" shapeId="0">
      <text>
        <r>
          <rPr>
            <sz val="10"/>
            <color rgb="FF000000"/>
            <rFont val="Arial"/>
            <charset val="1"/>
          </rPr>
          <t>======
ID#AAABj5x5LqY
    (2025-05-20 16:59:23)
Na elaboração do orçamento-base da licitação, informar 0 (zero). Na proposta da licitante, informar a idade do veículo proposto.</t>
        </r>
      </text>
    </comment>
    <comment ref="C430" authorId="0" shapeId="0">
      <text>
        <r>
          <rPr>
            <sz val="10"/>
            <color rgb="FF000000"/>
            <rFont val="Arial"/>
            <charset val="1"/>
          </rPr>
          <t>======
ID#AAABj5x5LII
    (2025-05-20 16:59:22)
Informar o valor da depreciação do caminhão, adotando o valor sugerido pelo TCE ou outro valor estimado</t>
        </r>
      </text>
    </comment>
    <comment ref="D432" authorId="0" shapeId="0">
      <text>
        <r>
          <rPr>
            <sz val="10"/>
            <color rgb="FF000000"/>
            <rFont val="Arial"/>
            <charset val="1"/>
          </rPr>
          <t>======
ID#AAABj5x5LPs
    (2025-05-20 16:59:22)
Informar o preço unitário do equipamento compactador</t>
        </r>
      </text>
    </comment>
    <comment ref="C433" authorId="0" shapeId="0">
      <text>
        <r>
          <rPr>
            <sz val="10"/>
            <color rgb="FF000000"/>
            <rFont val="Arial"/>
            <charset val="1"/>
          </rPr>
          <t>======
ID#AAABj5x5Lg4
    (2025-05-20 16:59:22)
Informar a vida útil estimada para o compactador, em anos</t>
        </r>
      </text>
    </comment>
    <comment ref="C434" authorId="0" shapeId="0">
      <text>
        <r>
          <rPr>
            <sz val="10"/>
            <color rgb="FF000000"/>
            <rFont val="Arial"/>
            <charset val="1"/>
          </rPr>
          <t>======
ID#AAABj5x5LxM
    (2025-05-20 16:59:23)
Na elaboração do orçamento-base da licitação, informar 0 (zero). Na proposta da licitante, informar a idade do compactador proposto.</t>
        </r>
      </text>
    </comment>
    <comment ref="C435" authorId="0" shapeId="0">
      <text>
        <r>
          <rPr>
            <sz val="10"/>
            <color rgb="FF000000"/>
            <rFont val="Arial"/>
            <charset val="1"/>
          </rPr>
          <t>======
ID#AAABj5x5LMc
    (2025-05-20 16:59:22)
Informar o valor da depreciação do compactador, adotando o valor sugerido pelo TCE ou outro valor estimado</t>
        </r>
      </text>
    </comment>
    <comment ref="C438" authorId="0" shapeId="0">
      <text>
        <r>
          <rPr>
            <sz val="10"/>
            <color rgb="FF000000"/>
            <rFont val="Arial"/>
            <charset val="1"/>
          </rPr>
          <t>======
ID#AAABj5x5Lv0
    (2025-05-20 16:59:23)
Informar a quantidade de caminhões compactadores do respectivo modelo</t>
        </r>
      </text>
    </comment>
    <comment ref="C444" authorId="0" shapeId="0">
      <text>
        <r>
          <rPr>
            <sz val="10"/>
            <color rgb="FF000000"/>
            <rFont val="Arial"/>
            <charset val="1"/>
          </rPr>
          <t>======
ID#AAABj5x5LNQ
    (2025-05-20 16:59:22)
Informar a taxa de juros anual para remuneração do capital. Recomenda-se o uso da Taxa SELIC</t>
        </r>
      </text>
    </comment>
    <comment ref="D460" authorId="0" shapeId="0">
      <text>
        <r>
          <rPr>
            <sz val="10"/>
            <color rgb="FF000000"/>
            <rFont val="Arial"/>
            <charset val="1"/>
          </rPr>
          <t>======
ID#AAABj5x5LOs
    (2025-05-20 16:59:22)
Informar o valor do seguro obrigatório e licenciamento anual de um caminhão</t>
        </r>
      </text>
    </comment>
    <comment ref="D461" authorId="0" shapeId="0">
      <text>
        <r>
          <rPr>
            <sz val="10"/>
            <color rgb="FF000000"/>
            <rFont val="Arial"/>
            <charset val="1"/>
          </rPr>
          <t>======
ID#AAABj5x5LV0
    (2025-05-20 16:59:22)
Informar o valor do seguro contra terceiros de um caminhão, se houver previsão no Projeto Básico</t>
        </r>
      </text>
    </comment>
    <comment ref="B467" authorId="0" shapeId="0">
      <text>
        <r>
          <rPr>
            <sz val="10"/>
            <color rgb="FF000000"/>
            <rFont val="Arial"/>
            <charset val="1"/>
          </rPr>
          <t>======
ID#AAABj5x5LWQ
    (2025-05-20 16:59:22)
Informar a quilometragem mensal percorrida, de acordo com o projeto básico</t>
        </r>
      </text>
    </comment>
    <comment ref="C471" authorId="0" shapeId="0">
      <text>
        <r>
          <rPr>
            <sz val="10"/>
            <color rgb="FF000000"/>
            <rFont val="Arial"/>
            <charset val="1"/>
          </rPr>
          <t>======
ID#AAABj5x5LLw
    (2025-05-20 16:59:22)
Informar o consumo estimado do veículo em litros/mês</t>
        </r>
      </text>
    </comment>
    <comment ref="D471" authorId="0" shapeId="0">
      <text>
        <r>
          <rPr>
            <sz val="10"/>
            <color rgb="FF000000"/>
            <rFont val="Arial"/>
            <charset val="1"/>
          </rPr>
          <t>======
ID#AAABj5x5LfM
    (2025-05-20 16:59:22)
Informar o preço unitário do combustivel</t>
        </r>
      </text>
    </comment>
    <comment ref="D477" authorId="0" shapeId="0">
      <text>
        <r>
          <rPr>
            <sz val="10"/>
            <color rgb="FF000000"/>
            <rFont val="Arial"/>
            <charset val="1"/>
          </rPr>
          <t>======
ID#AAABj5x5LXs
    (2025-05-20 16:59:22)
Informar o custo de manutenção em R$/km rodado</t>
        </r>
      </text>
    </comment>
    <comment ref="C482" authorId="0" shapeId="0">
      <text>
        <r>
          <rPr>
            <sz val="10"/>
            <color rgb="FF000000"/>
            <rFont val="Arial"/>
            <charset val="1"/>
          </rPr>
          <t>======
ID#AAABj5x5Ldo
    (2025-05-20 16:59:22)
Informar a quantidade de pneus novos de 1 caminhão</t>
        </r>
      </text>
    </comment>
    <comment ref="D482" authorId="0" shapeId="0">
      <text>
        <r>
          <rPr>
            <sz val="10"/>
            <color rgb="FF000000"/>
            <rFont val="Arial"/>
            <charset val="1"/>
          </rPr>
          <t>======
ID#AAABj5x5Ld4
    (2025-05-20 16:59:22)
Informar o preço unitário de cada pneu</t>
        </r>
      </text>
    </comment>
    <comment ref="D484" authorId="0" shapeId="0">
      <text>
        <r>
          <rPr>
            <sz val="10"/>
            <color rgb="FF000000"/>
            <rFont val="Arial"/>
            <charset val="1"/>
          </rPr>
          <t>======
ID#AAABj5x5LbE
    (2025-05-20 16:59:22)
Informar o preço unitário de cada recapagem</t>
        </r>
      </text>
    </comment>
    <comment ref="C485" authorId="0" shapeId="0">
      <text>
        <r>
          <rPr>
            <sz val="10"/>
            <color rgb="FF000000"/>
            <rFont val="Arial"/>
            <charset val="1"/>
          </rPr>
          <t>======
ID#AAABj5x5LXQ
    (2025-05-20 16:59:22)
Informar a durabilidade média dos pneus considerando todas as recapagens, em km</t>
        </r>
      </text>
    </comment>
    <comment ref="C488" authorId="0" shapeId="0">
      <text>
        <r>
          <rPr>
            <sz val="10"/>
            <color rgb="FF000000"/>
            <rFont val="Arial"/>
            <charset val="1"/>
          </rPr>
          <t>======
ID#AAABj5x5La4
    (2025-05-20 16:59:22)
Informar a quantidade de pneus novos de 1 caminhão</t>
        </r>
      </text>
    </comment>
    <comment ref="D488" authorId="0" shapeId="0">
      <text>
        <r>
          <rPr>
            <sz val="10"/>
            <color rgb="FF000000"/>
            <rFont val="Arial"/>
            <charset val="1"/>
          </rPr>
          <t>======
ID#AAABj5x5LKg
    (2025-05-20 16:59:22)
Informar o preço unitário de cada pneu</t>
        </r>
      </text>
    </comment>
    <comment ref="D490" authorId="0" shapeId="0">
      <text>
        <r>
          <rPr>
            <sz val="10"/>
            <color rgb="FF000000"/>
            <rFont val="Arial"/>
            <charset val="1"/>
          </rPr>
          <t>======
ID#AAABj5x5Lss
    (2025-05-20 16:59:23)
Informar o preço unitário de cada recapagem</t>
        </r>
      </text>
    </comment>
    <comment ref="C491" authorId="0" shapeId="0">
      <text>
        <r>
          <rPr>
            <sz val="10"/>
            <color rgb="FF000000"/>
            <rFont val="Arial"/>
            <charset val="1"/>
          </rPr>
          <t>======
ID#AAABj5x5Lic
    (2025-05-20 16:59:23)
Informar a durabilidade média dos pneus considerando todas as recapagens, em km</t>
        </r>
      </text>
    </comment>
    <comment ref="D510" authorId="0" shapeId="0">
      <text>
        <r>
          <rPr>
            <sz val="10"/>
            <color rgb="FF000000"/>
            <rFont val="Arial"/>
            <charset val="1"/>
          </rPr>
          <t>======
ID#AAABj5x5Lzc
    (2025-05-20 16:59:23)
Informar o preço unitário do chassis do caminhão de coleta</t>
        </r>
      </text>
    </comment>
    <comment ref="C511" authorId="0" shapeId="0">
      <text>
        <r>
          <rPr>
            <sz val="10"/>
            <color rgb="FF000000"/>
            <rFont val="Arial"/>
            <charset val="1"/>
          </rPr>
          <t>======
ID#AAABj5x5K9o
    (2025-05-20 16:59:22)
Informar a vida útil estimada para o caminhão, em anos</t>
        </r>
      </text>
    </comment>
    <comment ref="C512" authorId="0" shapeId="0">
      <text>
        <r>
          <rPr>
            <sz val="10"/>
            <color rgb="FF000000"/>
            <rFont val="Arial"/>
            <charset val="1"/>
          </rPr>
          <t>======
ID#AAABj5x5Los
    (2025-05-20 16:59:23)
Na elaboração do orçamento-base da licitação, informar 0 (zero). Na proposta da licitante, informar a idade do veículo proposto.</t>
        </r>
      </text>
    </comment>
    <comment ref="C513" authorId="0" shapeId="0">
      <text>
        <r>
          <rPr>
            <sz val="10"/>
            <color rgb="FF000000"/>
            <rFont val="Arial"/>
            <charset val="1"/>
          </rPr>
          <t>======
ID#AAABj5x5LQM
    (2025-05-20 16:59:22)
Informar o valor da depreciação do caminhão, adotando o valor sugerido pelo TCE ou outro valor estimado</t>
        </r>
      </text>
    </comment>
    <comment ref="D515" authorId="0" shapeId="0">
      <text>
        <r>
          <rPr>
            <sz val="10"/>
            <color rgb="FF000000"/>
            <rFont val="Arial"/>
            <charset val="1"/>
          </rPr>
          <t>======
ID#AAABj5x5Llg
    (2025-05-20 16:59:23)
Informar o preço unitário do equipamento compactador</t>
        </r>
      </text>
    </comment>
    <comment ref="C516" authorId="0" shapeId="0">
      <text>
        <r>
          <rPr>
            <sz val="10"/>
            <color rgb="FF000000"/>
            <rFont val="Arial"/>
            <charset val="1"/>
          </rPr>
          <t>======
ID#AAABj5x5Lo8
    (2025-05-20 16:59:23)
Informar a vida útil estimada para o compactador, em anos</t>
        </r>
      </text>
    </comment>
    <comment ref="C517" authorId="0" shapeId="0">
      <text>
        <r>
          <rPr>
            <sz val="10"/>
            <color rgb="FF000000"/>
            <rFont val="Arial"/>
            <charset val="1"/>
          </rPr>
          <t>======
ID#AAABj5x5LnQ
    (2025-05-20 16:59:23)
Na elaboração do orçamento-base da licitação, informar 0 (zero). Na proposta da licitante, informar a idade do compactador proposto.</t>
        </r>
      </text>
    </comment>
    <comment ref="C518" authorId="0" shapeId="0">
      <text>
        <r>
          <rPr>
            <sz val="10"/>
            <color rgb="FF000000"/>
            <rFont val="Arial"/>
            <charset val="1"/>
          </rPr>
          <t>======
ID#AAABj5x5LLg
    (2025-05-20 16:59:22)
Informar o valor da depreciação do compactador, adotando o valor sugerido pelo TCE ou outro valor estimado</t>
        </r>
      </text>
    </comment>
    <comment ref="C521" authorId="0" shapeId="0">
      <text>
        <r>
          <rPr>
            <sz val="10"/>
            <color rgb="FF000000"/>
            <rFont val="Arial"/>
            <charset val="1"/>
          </rPr>
          <t>======
ID#AAABj5x5LJY
    (2025-05-20 16:59:22)
Informar a quantidade de caminhões compactadores do respectivo modelo</t>
        </r>
      </text>
    </comment>
    <comment ref="C527" authorId="0" shapeId="0">
      <text>
        <r>
          <rPr>
            <sz val="10"/>
            <color rgb="FF000000"/>
            <rFont val="Arial"/>
            <charset val="1"/>
          </rPr>
          <t>======
ID#AAABj5x5K9A
    (2025-05-20 16:59:22)
Informar a taxa de juros anual para remuneração do capital. Recomenda-se o uso da Taxa SELIC</t>
        </r>
      </text>
    </comment>
    <comment ref="D543" authorId="0" shapeId="0">
      <text>
        <r>
          <rPr>
            <sz val="10"/>
            <color rgb="FF000000"/>
            <rFont val="Arial"/>
            <charset val="1"/>
          </rPr>
          <t>======
ID#AAABj5x5LlY
    (2025-05-20 16:59:23)
Informar o valor do seguro obrigatório e licenciamento anual de um caminhão</t>
        </r>
      </text>
    </comment>
    <comment ref="D544" authorId="0" shapeId="0">
      <text>
        <r>
          <rPr>
            <sz val="10"/>
            <color rgb="FF000000"/>
            <rFont val="Arial"/>
            <charset val="1"/>
          </rPr>
          <t>======
ID#AAABj5x5LJU
    (2025-05-20 16:59:22)
Informar o valor do seguro contra terceiros de um caminhão, se houver previsão no Projeto Básico</t>
        </r>
      </text>
    </comment>
    <comment ref="B550" authorId="0" shapeId="0">
      <text>
        <r>
          <rPr>
            <sz val="10"/>
            <color rgb="FF000000"/>
            <rFont val="Arial"/>
            <charset val="1"/>
          </rPr>
          <t>======
ID#AAABj5x5LME
    (2025-05-20 16:59:22)
Informar a quilometragem mensal percorrida, de acordo com o projeto básico</t>
        </r>
      </text>
    </comment>
    <comment ref="C554" authorId="0" shapeId="0">
      <text>
        <r>
          <rPr>
            <sz val="10"/>
            <color rgb="FF000000"/>
            <rFont val="Arial"/>
            <charset val="1"/>
          </rPr>
          <t>======
ID#AAABj5x5LSg
    (2025-05-20 16:59:22)
Informar o consumo estimado do veículo em litros/mês</t>
        </r>
      </text>
    </comment>
    <comment ref="D554" authorId="0" shapeId="0">
      <text>
        <r>
          <rPr>
            <sz val="10"/>
            <color rgb="FF000000"/>
            <rFont val="Arial"/>
            <charset val="1"/>
          </rPr>
          <t>======
ID#AAABj5x5LOQ
    (2025-05-20 16:59:22)
Informar o preço unitário do combustivel</t>
        </r>
      </text>
    </comment>
    <comment ref="D560" authorId="0" shapeId="0">
      <text>
        <r>
          <rPr>
            <sz val="10"/>
            <color rgb="FF000000"/>
            <rFont val="Arial"/>
            <charset val="1"/>
          </rPr>
          <t>======
ID#AAABj5x5LrM
    (2025-05-20 16:59:23)
Informar o custo de manutenção em R$/km rodado</t>
        </r>
      </text>
    </comment>
    <comment ref="C565" authorId="0" shapeId="0">
      <text>
        <r>
          <rPr>
            <sz val="10"/>
            <color rgb="FF000000"/>
            <rFont val="Arial"/>
            <charset val="1"/>
          </rPr>
          <t>======
ID#AAABj5x5LLs
    (2025-05-20 16:59:22)
Informar a quantidade de pneus novos de 1 caminhão</t>
        </r>
      </text>
    </comment>
    <comment ref="D565" authorId="0" shapeId="0">
      <text>
        <r>
          <rPr>
            <sz val="10"/>
            <color rgb="FF000000"/>
            <rFont val="Arial"/>
            <charset val="1"/>
          </rPr>
          <t>======
ID#AAABj5x5LRI
    (2025-05-20 16:59:22)
Informar o preço unitário de cada pneu</t>
        </r>
      </text>
    </comment>
    <comment ref="C566" authorId="0" shapeId="0">
      <text>
        <r>
          <rPr>
            <sz val="10"/>
            <color rgb="FF000000"/>
            <rFont val="Arial"/>
            <charset val="1"/>
          </rPr>
          <t>======
ID#AAABj5x5LKE
    (2025-05-20 16:59:22)
Informar o número de recapagens por pneu</t>
        </r>
      </text>
    </comment>
    <comment ref="D567" authorId="0" shapeId="0">
      <text>
        <r>
          <rPr>
            <sz val="10"/>
            <color rgb="FF000000"/>
            <rFont val="Arial"/>
            <charset val="1"/>
          </rPr>
          <t>======
ID#AAABj5x5LOw
    (2025-05-20 16:59:22)
Informar o preço unitário de cada recapagem</t>
        </r>
      </text>
    </comment>
    <comment ref="C568" authorId="0" shapeId="0">
      <text>
        <r>
          <rPr>
            <sz val="10"/>
            <color rgb="FF000000"/>
            <rFont val="Arial"/>
            <charset val="1"/>
          </rPr>
          <t>======
ID#AAABj5x5Ll4
    (2025-05-20 16:59:23)
Informar a durabilidade média dos pneus considerando todas as recapagens, em km</t>
        </r>
      </text>
    </comment>
    <comment ref="C571" authorId="0" shapeId="0">
      <text>
        <r>
          <rPr>
            <sz val="10"/>
            <color rgb="FF000000"/>
            <rFont val="Arial"/>
            <charset val="1"/>
          </rPr>
          <t>======
ID#AAABj5x5K-g
    (2025-05-20 16:59:22)
Informar a quantidade de pneus novos de 1 caminhão</t>
        </r>
      </text>
    </comment>
    <comment ref="D571" authorId="0" shapeId="0">
      <text>
        <r>
          <rPr>
            <sz val="10"/>
            <color rgb="FF000000"/>
            <rFont val="Arial"/>
            <charset val="1"/>
          </rPr>
          <t>======
ID#AAABj5x5K6I
    (2025-05-20 16:59:22)
Informar o preço unitário de cada pneu</t>
        </r>
      </text>
    </comment>
    <comment ref="C572" authorId="0" shapeId="0">
      <text>
        <r>
          <rPr>
            <sz val="10"/>
            <color rgb="FF000000"/>
            <rFont val="Arial"/>
            <charset val="1"/>
          </rPr>
          <t>======
ID#AAABj5x5K68
    (2025-05-20 16:59:22)
Informar o número de recapagens por pneu</t>
        </r>
      </text>
    </comment>
    <comment ref="D573" authorId="0" shapeId="0">
      <text>
        <r>
          <rPr>
            <sz val="10"/>
            <color rgb="FF000000"/>
            <rFont val="Arial"/>
            <charset val="1"/>
          </rPr>
          <t>======
ID#AAABj5x5LSs
    (2025-05-20 16:59:22)
Informar o preço unitário de cada recapagem</t>
        </r>
      </text>
    </comment>
    <comment ref="C574" authorId="0" shapeId="0">
      <text>
        <r>
          <rPr>
            <sz val="10"/>
            <color rgb="FF000000"/>
            <rFont val="Arial"/>
            <charset val="1"/>
          </rPr>
          <t>======
ID#AAABj5x5LT0
    (2025-05-20 16:59:22)
Informar a durabilidade média dos pneus considerando todas as recapagens, em km</t>
        </r>
      </text>
    </comment>
    <comment ref="D593" authorId="0" shapeId="0">
      <text>
        <r>
          <rPr>
            <sz val="10"/>
            <color rgb="FF000000"/>
            <rFont val="Arial"/>
            <charset val="1"/>
          </rPr>
          <t>======
ID#AAABj5x5LMQ
    (2025-05-20 16:59:22)
Informar o preço unitário do chassis do caminhão de coleta</t>
        </r>
      </text>
    </comment>
    <comment ref="C594" authorId="0" shapeId="0">
      <text>
        <r>
          <rPr>
            <sz val="10"/>
            <color rgb="FF000000"/>
            <rFont val="Arial"/>
            <charset val="1"/>
          </rPr>
          <t>======
ID#AAABj5x5Lzw
    (2025-05-20 16:59:23)
Informar a vida útil estimada para o caminhão, em anos</t>
        </r>
      </text>
    </comment>
    <comment ref="C595" authorId="0" shapeId="0">
      <text>
        <r>
          <rPr>
            <sz val="10"/>
            <color rgb="FF000000"/>
            <rFont val="Arial"/>
            <charset val="1"/>
          </rPr>
          <t>======
ID#AAABj5x5LtA
    (2025-05-20 16:59:23)
Na elaboração do orçamento-base da licitação, informar 0 (zero). Na proposta da licitante, informar a idade do veículo proposto.</t>
        </r>
      </text>
    </comment>
    <comment ref="C596" authorId="0" shapeId="0">
      <text>
        <r>
          <rPr>
            <sz val="10"/>
            <color rgb="FF000000"/>
            <rFont val="Arial"/>
            <charset val="1"/>
          </rPr>
          <t>======
ID#AAABj5x5LoQ
    (2025-05-20 16:59:23)
Informar o valor da depreciação do caminhão, adotando o valor sugerido pelo TCE ou outro valor estimado</t>
        </r>
      </text>
    </comment>
    <comment ref="C599" authorId="0" shapeId="0">
      <text>
        <r>
          <rPr>
            <sz val="10"/>
            <color rgb="FF000000"/>
            <rFont val="Arial"/>
            <charset val="1"/>
          </rPr>
          <t>======
ID#AAABj5x5Lb0
    (2025-05-20 16:59:22)
Informar a quantidade de caminhões compactadores do respectivo modelo</t>
        </r>
      </text>
    </comment>
    <comment ref="C605" authorId="0" shapeId="0">
      <text>
        <r>
          <rPr>
            <sz val="10"/>
            <color rgb="FF000000"/>
            <rFont val="Arial"/>
            <charset val="1"/>
          </rPr>
          <t>======
ID#AAABj5x5LWA
    (2025-05-20 16:59:22)
Informar a taxa de juros anual para remuneração do capital. Recomenda-se o uso da Taxa SELIC</t>
        </r>
      </text>
    </comment>
    <comment ref="D616" authorId="0" shapeId="0">
      <text>
        <r>
          <rPr>
            <sz val="10"/>
            <color rgb="FF000000"/>
            <rFont val="Arial"/>
            <charset val="1"/>
          </rPr>
          <t>======
ID#AAABj5x5Lvs
    (2025-05-20 16:59:23)
Informar o valor do seguro obrigatório e licenciamento anual de um caminhão</t>
        </r>
      </text>
    </comment>
    <comment ref="B623" authorId="0" shapeId="0">
      <text>
        <r>
          <rPr>
            <sz val="10"/>
            <color rgb="FF000000"/>
            <rFont val="Arial"/>
            <charset val="1"/>
          </rPr>
          <t>======
ID#AAABj5x5Ll8
    (2025-05-20 16:59:23)
Informar a quilometragem mensal percorrida, de acordo com o projeto básico</t>
        </r>
      </text>
    </comment>
    <comment ref="C627" authorId="0" shapeId="0">
      <text>
        <r>
          <rPr>
            <sz val="10"/>
            <color rgb="FF000000"/>
            <rFont val="Arial"/>
            <charset val="1"/>
          </rPr>
          <t>======
ID#AAABj5x5LsI
    (2025-05-20 16:59:23)
Informar o consumo estimado do veículo em litros/mês</t>
        </r>
      </text>
    </comment>
    <comment ref="D633" authorId="0" shapeId="0">
      <text>
        <r>
          <rPr>
            <sz val="10"/>
            <color rgb="FF000000"/>
            <rFont val="Arial"/>
            <charset val="1"/>
          </rPr>
          <t>======
ID#AAABj5x5LT8
    (2025-05-20 16:59:22)
Informar o custo de manutenção em R$/km rodado</t>
        </r>
      </text>
    </comment>
    <comment ref="D638" authorId="0" shapeId="0">
      <text>
        <r>
          <rPr>
            <sz val="10"/>
            <color rgb="FF000000"/>
            <rFont val="Arial"/>
            <charset val="1"/>
          </rPr>
          <t>======
ID#AAABj5x5LbQ
    (2025-05-20 16:59:22)
Informar o preço unitário de cada pneu</t>
        </r>
      </text>
    </comment>
    <comment ref="C639" authorId="0" shapeId="0">
      <text>
        <r>
          <rPr>
            <sz val="10"/>
            <color rgb="FF000000"/>
            <rFont val="Arial"/>
            <charset val="1"/>
          </rPr>
          <t>======
ID#AAABj5x5K-0
    (2025-05-20 16:59:22)
Informar o número de recapagens por pneu</t>
        </r>
      </text>
    </comment>
    <comment ref="D640" authorId="0" shapeId="0">
      <text>
        <r>
          <rPr>
            <sz val="10"/>
            <color rgb="FF000000"/>
            <rFont val="Arial"/>
            <charset val="1"/>
          </rPr>
          <t>======
ID#AAABj5x5LzI
    (2025-05-20 16:59:23)
Informar o preço unitário de cada recapagem</t>
        </r>
      </text>
    </comment>
    <comment ref="C641" authorId="0" shapeId="0">
      <text>
        <r>
          <rPr>
            <sz val="10"/>
            <color rgb="FF000000"/>
            <rFont val="Arial"/>
            <charset val="1"/>
          </rPr>
          <t>======
ID#AAABj5x5Lyg
    (2025-05-20 16:59:23)
Informar a durabilidade média dos pneus considerando todas as recapagens, em km</t>
        </r>
      </text>
    </comment>
    <comment ref="D661" authorId="0" shapeId="0">
      <text>
        <r>
          <rPr>
            <sz val="10"/>
            <color rgb="FF000000"/>
            <rFont val="Arial"/>
            <charset val="1"/>
          </rPr>
          <t>======
ID#AAABj5x5LfU
    (2025-05-20 16:59:22)
Informar o preço unitário do chassis do caminhão de coleta</t>
        </r>
      </text>
    </comment>
    <comment ref="C662" authorId="0" shapeId="0">
      <text>
        <r>
          <rPr>
            <sz val="10"/>
            <color rgb="FF000000"/>
            <rFont val="Arial"/>
            <charset val="1"/>
          </rPr>
          <t>======
ID#AAABj5x5LI0
    (2025-05-20 16:59:22)
Informar a vida útil estimada para o caminhão, em anos</t>
        </r>
      </text>
    </comment>
    <comment ref="C663" authorId="0" shapeId="0">
      <text>
        <r>
          <rPr>
            <sz val="10"/>
            <color rgb="FF000000"/>
            <rFont val="Arial"/>
            <charset val="1"/>
          </rPr>
          <t>======
ID#AAABj5x5LxQ
    (2025-05-20 16:59:23)
Na elaboração do orçamento-base da licitação, informar 0 (zero). Na proposta da licitante, informar a idade do veículo proposto.</t>
        </r>
      </text>
    </comment>
    <comment ref="C664" authorId="0" shapeId="0">
      <text>
        <r>
          <rPr>
            <sz val="10"/>
            <color rgb="FF000000"/>
            <rFont val="Arial"/>
            <charset val="1"/>
          </rPr>
          <t>======
ID#AAABj5x5LQY
    (2025-05-20 16:59:22)
Informar o valor da depreciação do caminhão, adotando o valor sugerido pelo TCE ou outro valor estimado</t>
        </r>
      </text>
    </comment>
    <comment ref="C667" authorId="0" shapeId="0">
      <text>
        <r>
          <rPr>
            <sz val="10"/>
            <color rgb="FF000000"/>
            <rFont val="Arial"/>
            <charset val="1"/>
          </rPr>
          <t>======
ID#AAABj5x5Log
    (2025-05-20 16:59:23)
Informar a quantidade de caminhões compactadores do respectivo modelo</t>
        </r>
      </text>
    </comment>
    <comment ref="C673" authorId="0" shapeId="0">
      <text>
        <r>
          <rPr>
            <sz val="10"/>
            <color rgb="FF000000"/>
            <rFont val="Arial"/>
            <charset val="1"/>
          </rPr>
          <t>======
ID#AAABj5x5LU0
    (2025-05-20 16:59:22)
Informar a taxa de juros anual para remuneração do capital. Recomenda-se o uso da Taxa SELIC</t>
        </r>
      </text>
    </comment>
    <comment ref="C686" authorId="0" shapeId="0">
      <text>
        <r>
          <rPr>
            <sz val="10"/>
            <color rgb="FF000000"/>
            <rFont val="Arial"/>
            <charset val="1"/>
          </rPr>
          <t>======
ID#AAABj5x5Lsc
    (2025-05-20 16:59:23)
Informar o consumo estimado do veículo em litros/mês</t>
        </r>
      </text>
    </comment>
    <comment ref="D686" authorId="0" shapeId="0">
      <text>
        <r>
          <rPr>
            <sz val="10"/>
            <color rgb="FF000000"/>
            <rFont val="Arial"/>
            <charset val="1"/>
          </rPr>
          <t>======
ID#AAABj5x5LWU
    (2025-05-20 16:59:22)
Informar o preço unitário do combustivel</t>
        </r>
      </text>
    </comment>
    <comment ref="D694" authorId="0" shapeId="0">
      <text>
        <r>
          <rPr>
            <sz val="10"/>
            <color rgb="FF000000"/>
            <rFont val="Arial"/>
            <charset val="1"/>
          </rPr>
          <t>======
ID#AAABj5x5LPU
    (2025-05-20 16:59:22)
Informar o preço unitário do chassis do caminhão de coleta</t>
        </r>
      </text>
    </comment>
    <comment ref="C695" authorId="0" shapeId="0">
      <text>
        <r>
          <rPr>
            <sz val="10"/>
            <color rgb="FF000000"/>
            <rFont val="Arial"/>
            <charset val="1"/>
          </rPr>
          <t>======
ID#AAABj5x5LUQ
    (2025-05-20 16:59:22)
Informar a vida útil estimada para o caminhão, em anos</t>
        </r>
      </text>
    </comment>
    <comment ref="C696" authorId="0" shapeId="0">
      <text>
        <r>
          <rPr>
            <sz val="10"/>
            <color rgb="FF000000"/>
            <rFont val="Arial"/>
            <charset val="1"/>
          </rPr>
          <t>======
ID#AAABj5x5Lcg
    (2025-05-20 16:59:22)
Na elaboração do orçamento-base da licitação, informar 0 (zero). Na proposta da licitante, informar a idade do veículo proposto.</t>
        </r>
      </text>
    </comment>
    <comment ref="C697" authorId="0" shapeId="0">
      <text>
        <r>
          <rPr>
            <sz val="10"/>
            <color rgb="FF000000"/>
            <rFont val="Arial"/>
            <charset val="1"/>
          </rPr>
          <t>======
ID#AAABj5x5Ls4
    (2025-05-20 16:59:23)
Informar o valor da depreciação do caminhão, adotando o valor sugerido pelo TCE ou outro valor estimado</t>
        </r>
      </text>
    </comment>
    <comment ref="C700" authorId="0" shapeId="0">
      <text>
        <r>
          <rPr>
            <sz val="10"/>
            <color rgb="FF000000"/>
            <rFont val="Arial"/>
            <charset val="1"/>
          </rPr>
          <t>======
ID#AAABj5x5LaY
    (2025-05-20 16:59:22)
Informar a quantidade de caminhões compactadores do respectivo modelo</t>
        </r>
      </text>
    </comment>
    <comment ref="C706" authorId="0" shapeId="0">
      <text>
        <r>
          <rPr>
            <sz val="10"/>
            <color rgb="FF000000"/>
            <rFont val="Arial"/>
            <charset val="1"/>
          </rPr>
          <t>======
ID#AAABj5x5Lmk
    (2025-05-20 16:59:23)
Informar a taxa de juros anual para remuneração do capital. Recomenda-se o uso da Taxa SELIC</t>
        </r>
      </text>
    </comment>
    <comment ref="C719" authorId="0" shapeId="0">
      <text>
        <r>
          <rPr>
            <sz val="10"/>
            <color rgb="FF000000"/>
            <rFont val="Arial"/>
            <charset val="1"/>
          </rPr>
          <t>======
ID#AAABj5x5LRM
    (2025-05-20 16:59:22)
Informar o consumo estimado do veículo em litros/mês</t>
        </r>
      </text>
    </comment>
    <comment ref="D719" authorId="0" shapeId="0">
      <text>
        <r>
          <rPr>
            <sz val="10"/>
            <color rgb="FF000000"/>
            <rFont val="Arial"/>
            <charset val="1"/>
          </rPr>
          <t>======
ID#AAABj5x5Lko
    (2025-05-20 16:59:23)
Informar o preço unitário do combustivel</t>
        </r>
      </text>
    </comment>
    <comment ref="C729" authorId="0" shapeId="0">
      <text>
        <r>
          <rPr>
            <sz val="10"/>
            <color rgb="FF000000"/>
            <rFont val="Arial"/>
            <charset val="1"/>
          </rPr>
          <t>======
ID#AAABj5x5Ldg
    (2025-05-20 16:59:22)
Informar a quantidade estimada por mês. Por exemplo, se a durabilidade estimada é de 6 meses, informar 1/6; se a durabilidade estimada é de 3 meses informar 1/3, etc..</t>
        </r>
      </text>
    </comment>
    <comment ref="D729" authorId="0" shapeId="0">
      <text>
        <r>
          <rPr>
            <sz val="10"/>
            <color rgb="FF000000"/>
            <rFont val="Arial"/>
            <charset val="1"/>
          </rPr>
          <t>======
ID#AAABj5x5LzU
    (2025-05-20 16:59:23)
Informar o valor unitário estimado para aquisição de cada material</t>
        </r>
      </text>
    </comment>
    <comment ref="C730" authorId="0" shapeId="0">
      <text>
        <r>
          <rPr>
            <sz val="10"/>
            <color rgb="FF000000"/>
            <rFont val="Arial"/>
            <charset val="1"/>
          </rPr>
          <t>======
ID#AAABj5x5LRA
    (2025-05-20 16:59:22)
Informar a quantidade estimada por mês. Por exemplo, se a durabilidade estimada é de 6 meses, informar 1/6; se a durabilidade estimada é de 3 meses informar 1/3, etc..</t>
        </r>
      </text>
    </comment>
    <comment ref="D730" authorId="0" shapeId="0">
      <text>
        <r>
          <rPr>
            <sz val="10"/>
            <color rgb="FF000000"/>
            <rFont val="Arial"/>
            <charset val="1"/>
          </rPr>
          <t>======
ID#AAABj5x5K8I
    (2025-05-20 16:59:22)
Informar o valor unitário estimado para aquisição de cada material</t>
        </r>
      </text>
    </comment>
    <comment ref="C731" authorId="0" shapeId="0">
      <text>
        <r>
          <rPr>
            <sz val="10"/>
            <color rgb="FF000000"/>
            <rFont val="Arial"/>
            <charset val="1"/>
          </rPr>
          <t>======
ID#AAABj5x5Lxk
    (2025-05-20 16:59:23)
Informar a quantidade estimada por mês. Por exemplo, se a durabilidade estimada é de 6 meses, informar 1/6; se a durabilidade estimada é de 3 meses informar 1/3, etc..</t>
        </r>
      </text>
    </comment>
    <comment ref="D731" authorId="0" shapeId="0">
      <text>
        <r>
          <rPr>
            <sz val="10"/>
            <color rgb="FF000000"/>
            <rFont val="Arial"/>
            <charset val="1"/>
          </rPr>
          <t>======
ID#AAABj5x5Lq0
    (2025-05-20 16:59:23)
Informar o valor unitário estimado para aquisição de cada material</t>
        </r>
      </text>
    </comment>
    <comment ref="C732" authorId="0" shapeId="0">
      <text>
        <r>
          <rPr>
            <sz val="10"/>
            <color rgb="FF000000"/>
            <rFont val="Arial"/>
            <charset val="1"/>
          </rPr>
          <t>======
ID#AAABj5x5Ljc
    (2025-05-20 16:59:23)
Informar a quantidade estimada por mês. Por exemplo, se a durabilidade estimada é de 6 meses, informar 1/6; se a durabilidade estimada é de 3 meses informar 1/3, etc..</t>
        </r>
      </text>
    </comment>
    <comment ref="D732" authorId="0" shapeId="0">
      <text>
        <r>
          <rPr>
            <sz val="10"/>
            <color rgb="FF000000"/>
            <rFont val="Arial"/>
            <charset val="1"/>
          </rPr>
          <t>======
ID#AAABj5x5LgM
    (2025-05-20 16:59:22)
Informar o valor unitário estimado para aquisição de cada material</t>
        </r>
      </text>
    </comment>
    <comment ref="C733" authorId="0" shapeId="0">
      <text>
        <r>
          <rPr>
            <sz val="10"/>
            <color rgb="FF000000"/>
            <rFont val="Arial"/>
            <charset val="1"/>
          </rPr>
          <t>======
ID#AAABj5x5LMg
    (2025-05-20 16:59:22)
Informar a quantidade estimada por mês. Por exemplo, se a durabilidade estimada é de 6 meses, informar 1/6; se a durabilidade estimada é de 3 meses informar 1/3, etc..</t>
        </r>
      </text>
    </comment>
    <comment ref="D733" authorId="0" shapeId="0">
      <text>
        <r>
          <rPr>
            <sz val="10"/>
            <color rgb="FF000000"/>
            <rFont val="Arial"/>
            <charset val="1"/>
          </rPr>
          <t>======
ID#AAABj5x5LNs
    (2025-05-20 16:59:22)
Informar o valor unitário estimado para aquisição de cada material</t>
        </r>
      </text>
    </comment>
    <comment ref="C734" authorId="0" shapeId="0">
      <text>
        <r>
          <rPr>
            <sz val="10"/>
            <color rgb="FF000000"/>
            <rFont val="Arial"/>
            <charset val="1"/>
          </rPr>
          <t>======
ID#AAABj5x5Lk4
    (2025-05-20 16:59:23)
Informar a quantidade estimada por mês. Por exemplo, se a durabilidade estimada é de 6 meses, informar 1/6; se a durabilidade estimada é de 3 meses informar 1/3, etc..</t>
        </r>
      </text>
    </comment>
    <comment ref="D734" authorId="0" shapeId="0">
      <text>
        <r>
          <rPr>
            <sz val="10"/>
            <color rgb="FF000000"/>
            <rFont val="Arial"/>
            <charset val="1"/>
          </rPr>
          <t>======
ID#AAABj5x5Ljg
    (2025-05-20 16:59:23)
Informar o valor unitário estimado para aquisição de cada material</t>
        </r>
      </text>
    </comment>
    <comment ref="C745" authorId="0" shapeId="0">
      <text>
        <r>
          <rPr>
            <sz val="10"/>
            <color rgb="FF000000"/>
            <rFont val="Arial"/>
            <charset val="1"/>
          </rPr>
          <t>======
ID#AAABj5x5LTs
    (2025-05-20 16:59:22)
Preencher a aba 4.BDI</t>
        </r>
      </text>
    </comment>
    <comment ref="B752" authorId="0" shapeId="0">
      <text>
        <r>
          <rPr>
            <sz val="10"/>
            <color rgb="FF000000"/>
            <rFont val="Arial"/>
            <charset val="1"/>
          </rPr>
          <t>======
ID#AAABj5x5LT4
    (2025-05-20 16:59:22)
Informar o fator de utilização das equipes de coleta. 
Por exemplo:
Equipes com utilização integral = 100%
Equipes com utilização parcial = n° horas trabalhadas por semana /44 horas</t>
        </r>
      </text>
    </comment>
    <comment ref="D760" authorId="0" shapeId="0">
      <text>
        <r>
          <rPr>
            <sz val="10"/>
            <color rgb="FF000000"/>
            <rFont val="Arial"/>
            <charset val="1"/>
          </rPr>
          <t>======
ID#AAABj5x5LoU
    (2025-05-20 16:59:23)
Informar a quantidade média coletada nos últimos 12 meses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14" authorId="0" shapeId="0">
      <text>
        <r>
          <rPr>
            <sz val="10"/>
            <color rgb="FF000000"/>
            <rFont val="Arial"/>
            <charset val="1"/>
          </rPr>
          <t>======
ID#AAABj5x5Lrs
    (2025-05-20 16:59:23)
Qualquer custo previsto no edital e não contemplado nesta planilha modelo deverá ser devidamente incluído</t>
        </r>
      </text>
    </comment>
    <comment ref="B49" authorId="0" shapeId="0">
      <text>
        <r>
          <rPr>
            <sz val="10"/>
            <color rgb="FF000000"/>
            <rFont val="Arial"/>
            <charset val="1"/>
          </rPr>
          <t>======
ID#AAABj5x5LQg
    (2025-05-20 16:59:22)
Informar o fator de utilização das equipes de coleta. 
Por exemplo:
Equipes com utilização integral = 100%
Equipes com utilização parcial = n° horas trabalhadas por semana /44 horas</t>
        </r>
      </text>
    </comment>
    <comment ref="D55" authorId="0" shapeId="0">
      <text>
        <r>
          <rPr>
            <sz val="10"/>
            <color rgb="FF000000"/>
            <rFont val="Arial"/>
            <charset val="1"/>
          </rPr>
          <t>======
ID#AAABj5x5Lqs
    (2025-05-20 16:59:23)
Informar o Piso da categoria fixado na Convenção Coletiva</t>
        </r>
      </text>
    </comment>
    <comment ref="C56" authorId="0" shapeId="0">
      <text>
        <r>
          <rPr>
            <sz val="10"/>
            <color rgb="FF000000"/>
            <rFont val="Arial"/>
            <charset val="1"/>
          </rPr>
          <t>======
ID#AAABj5x5LR8
    (2025-05-20 16:59:22)
Informar o número de horas extras trabalhadas nos domingos e feriados em horário diurno</t>
        </r>
      </text>
    </comment>
    <comment ref="A57" authorId="0" shapeId="0">
      <text>
        <r>
          <rPr>
            <sz val="10"/>
            <color rgb="FF000000"/>
            <rFont val="Arial"/>
            <charset val="1"/>
          </rPr>
          <t>======
ID#AAABj5x5LwQ
    (2025-05-20 16:59:23)
Cálculo do descanso semanal remunerado incidente sobre as horas extras habitualmente prestadas. Considerada a média de 63 feriados + domingos e 302 dias trabalhados por ano</t>
        </r>
      </text>
    </comment>
    <comment ref="C60" authorId="0" shapeId="0">
      <text>
        <r>
          <rPr>
            <sz val="10"/>
            <color rgb="FF000000"/>
            <rFont val="Arial"/>
            <charset val="1"/>
          </rPr>
          <t>======
ID#AAABj5x5LLE
    (2025-05-20 16:59:22)
Preencher a planilha Encargos Sociais e CAGED</t>
        </r>
      </text>
    </comment>
    <comment ref="C62" authorId="0" shapeId="0">
      <text>
        <r>
          <rPr>
            <sz val="10"/>
            <color rgb="FF000000"/>
            <rFont val="Arial"/>
            <charset val="1"/>
          </rPr>
          <t>======
ID#AAABj5x5Lb8
    (2025-05-20 16:59:22)
Informar a quantidade de trabalhadores na função</t>
        </r>
      </text>
    </comment>
    <comment ref="D67" authorId="0" shapeId="0">
      <text>
        <r>
          <rPr>
            <sz val="10"/>
            <color rgb="FF000000"/>
            <rFont val="Arial"/>
            <charset val="1"/>
          </rPr>
          <t>======
ID#AAABj5x5L0E
    (2025-05-20 16:59:23)
Informar o Piso da categoria fixado na Convenção Coletiva</t>
        </r>
      </text>
    </comment>
    <comment ref="C68" authorId="0" shapeId="0">
      <text>
        <r>
          <rPr>
            <sz val="10"/>
            <color rgb="FF000000"/>
            <rFont val="Arial"/>
            <charset val="1"/>
          </rPr>
          <t>======
ID#AAABj5x5LNI
    (2025-05-20 16:59:22)
Informar o número de horas extras trabalhadas nos domingos e feriados em horário diurno</t>
        </r>
      </text>
    </comment>
    <comment ref="A69" authorId="0" shapeId="0">
      <text>
        <r>
          <rPr>
            <sz val="10"/>
            <color rgb="FF000000"/>
            <rFont val="Arial"/>
            <charset val="1"/>
          </rPr>
          <t>======
ID#AAABj5x5K9E
    (2025-05-20 16:59:22)
Cálculo do descanso semanal remunerado incidente sobre as horas extras habitualmente prestadas. Considerada a média de 63 feriados + domingos e 302 dias trabalhados por ano</t>
        </r>
      </text>
    </comment>
    <comment ref="C72" authorId="0" shapeId="0">
      <text>
        <r>
          <rPr>
            <sz val="10"/>
            <color rgb="FF000000"/>
            <rFont val="Arial"/>
            <charset val="1"/>
          </rPr>
          <t>======
ID#AAABj5x5LcI
    (2025-05-20 16:59:22)
Preencher a planilha Encargos Sociais e CAGED</t>
        </r>
      </text>
    </comment>
    <comment ref="C74" authorId="0" shapeId="0">
      <text>
        <r>
          <rPr>
            <sz val="10"/>
            <color rgb="FF000000"/>
            <rFont val="Arial"/>
            <charset val="1"/>
          </rPr>
          <t>======
ID#AAABj5x5LJA
    (2025-05-20 16:59:22)
Informar a quantidade de trabalhadores na função</t>
        </r>
      </text>
    </comment>
    <comment ref="D79" authorId="0" shapeId="0">
      <text>
        <r>
          <rPr>
            <sz val="10"/>
            <color rgb="FF000000"/>
            <rFont val="Arial"/>
            <charset val="1"/>
          </rPr>
          <t>======
ID#AAABj5x5LpA
    (2025-05-20 16:59:23)
Informar o Piso da categoria fixado na Convenção Coletiva</t>
        </r>
      </text>
    </comment>
    <comment ref="D80" authorId="0" shapeId="0">
      <text>
        <r>
          <rPr>
            <sz val="10"/>
            <color rgb="FF000000"/>
            <rFont val="Arial"/>
            <charset val="1"/>
          </rPr>
          <t>======
ID#AAABj5x5Lpo
    (2025-05-20 16:59:23)
Informar o valor do salário Mínimo Nacional</t>
        </r>
      </text>
    </comment>
    <comment ref="C81" authorId="0" shapeId="0">
      <text>
        <r>
          <rPr>
            <sz val="10"/>
            <color rgb="FF000000"/>
            <rFont val="Arial"/>
            <charset val="1"/>
          </rPr>
          <t>======
ID#AAABj5x5LyU
    (2025-05-20 16:59:23)
Informar o número de horas extras trabalhadas em horário diurno nos domingos e feriados</t>
        </r>
      </text>
    </comment>
    <comment ref="A82" authorId="0" shapeId="0">
      <text>
        <r>
          <rPr>
            <sz val="10"/>
            <color rgb="FF000000"/>
            <rFont val="Arial"/>
            <charset val="1"/>
          </rPr>
          <t>======
ID#AAABj5x5LZg
    (2025-05-20 16:59:22)
Cálculo do descanso semanal remunerado incidente sobre as horas extras habitualmente prestadas. Considerada a média de 63 feriados + domingos e 302 dias trabalhados por ano</t>
        </r>
      </text>
    </comment>
    <comment ref="C83" authorId="0" shapeId="0">
      <text>
        <r>
          <rPr>
            <sz val="10"/>
            <color rgb="FF000000"/>
            <rFont val="Arial"/>
            <charset val="1"/>
          </rPr>
          <t>======
ID#AAABj5x5LXM
    (2025-05-20 16:59:22)
Informar 1 se a base de cálculo for o Salário Mínimo Nacional; Informar 2 se a base de cálculo for o Piso da Categoria;</t>
        </r>
      </text>
    </comment>
    <comment ref="C84" authorId="0" shapeId="0">
      <text>
        <r>
          <rPr>
            <sz val="10"/>
            <color rgb="FF000000"/>
            <rFont val="Arial"/>
            <charset val="1"/>
          </rPr>
          <t>======
ID#AAABj5x5K7g
    (2025-05-20 16:59:22)
Percentual estabelecido nas Normas de Segurança de Trabalho ou pelo laudo de responsável técnico devidamente habilitado</t>
        </r>
      </text>
    </comment>
    <comment ref="C86" authorId="0" shapeId="0">
      <text>
        <r>
          <rPr>
            <sz val="10"/>
            <color rgb="FF000000"/>
            <rFont val="Arial"/>
            <charset val="1"/>
          </rPr>
          <t>======
ID#AAABj5x5LhE
    (2025-05-20 16:59:22)
Preencher a planilha Encargos Sociais e CAGED</t>
        </r>
      </text>
    </comment>
    <comment ref="C88" authorId="0" shapeId="0">
      <text>
        <r>
          <rPr>
            <sz val="10"/>
            <color rgb="FF000000"/>
            <rFont val="Arial"/>
            <charset val="1"/>
          </rPr>
          <t>======
ID#AAABj5x5LwY
    (2025-05-20 16:59:23)
Informar a quantidade de trabalhadores na função</t>
        </r>
      </text>
    </comment>
    <comment ref="D93" authorId="0" shapeId="0">
      <text>
        <r>
          <rPr>
            <sz val="10"/>
            <color rgb="FF000000"/>
            <rFont val="Arial"/>
            <charset val="1"/>
          </rPr>
          <t>======
ID#AAABj5x5Lh8
    (2025-05-20 16:59:22)
Informar o valor unitário do VT no município</t>
        </r>
      </text>
    </comment>
    <comment ref="C94" authorId="0" shapeId="0">
      <text>
        <r>
          <rPr>
            <sz val="10"/>
            <color rgb="FF000000"/>
            <rFont val="Arial"/>
            <charset val="1"/>
          </rPr>
          <t>======
ID#AAABj5x5Lyo
    (2025-05-20 16:59:23)
Informar o número médio de dias trabalhados por mês</t>
        </r>
      </text>
    </comment>
    <comment ref="D95" authorId="0" shapeId="0">
      <text>
        <r>
          <rPr>
            <sz val="10"/>
            <color rgb="FF000000"/>
            <rFont val="Arial"/>
            <charset val="1"/>
          </rPr>
          <t>======
ID#AAABj5x5LdQ
    (2025-05-20 16:59:22)
Valor Unitário considerando o desconto legal de até 6% do salário</t>
        </r>
      </text>
    </comment>
    <comment ref="D96" authorId="0" shapeId="0">
      <text>
        <r>
          <rPr>
            <sz val="10"/>
            <color rgb="FF000000"/>
            <rFont val="Arial"/>
            <charset val="1"/>
          </rPr>
          <t>======
ID#AAABj5x5Lqc
    (2025-05-20 16:59:23)
Valor Unitário considerando o desconto legal de até 6% do salário</t>
        </r>
      </text>
    </comment>
    <comment ref="D97" authorId="0" shapeId="0">
      <text>
        <r>
          <rPr>
            <sz val="10"/>
            <color rgb="FF000000"/>
            <rFont val="Arial"/>
            <charset val="1"/>
          </rPr>
          <t>======
ID#AAABj5x5LkU
    (2025-05-20 16:59:23)
Valor Unitário considerando o desconto legal de até 6% do salário</t>
        </r>
      </text>
    </comment>
    <comment ref="D102" authorId="0" shapeId="0">
      <text>
        <r>
          <rPr>
            <sz val="10"/>
            <color rgb="FF000000"/>
            <rFont val="Arial"/>
            <charset val="1"/>
          </rPr>
          <t>======
ID#AAABj5x5Lw8
    (2025-05-20 16:59:23)
Informar o valor unitário diário do vale refeição, considerando o desconto aplicável ao funcionário, conforme Convenção Coletiva da categoria.</t>
        </r>
      </text>
    </comment>
    <comment ref="D103" authorId="0" shapeId="0">
      <text>
        <r>
          <rPr>
            <sz val="10"/>
            <color rgb="FF000000"/>
            <rFont val="Arial"/>
            <charset val="1"/>
          </rPr>
          <t>======
ID#AAABj5x5LX0
    (2025-05-20 16:59:22)
Informar o valor unitário diário do vale refeição, considerando o desconto aplicável ao funcionário, conforme Convenção Coletiva da categoria.</t>
        </r>
      </text>
    </comment>
    <comment ref="D104" authorId="0" shapeId="0">
      <text>
        <r>
          <rPr>
            <sz val="10"/>
            <color rgb="FF000000"/>
            <rFont val="Arial"/>
            <charset val="1"/>
          </rPr>
          <t>======
ID#AAABj5x5LMU
    (2025-05-20 16:59:22)
Informar o valor unitário diário do vale refeição, considerando o desconto aplicável ao funcionário, conforme Convenção Coletiva da categoria.</t>
        </r>
      </text>
    </comment>
    <comment ref="D109" authorId="0" shapeId="0">
      <text>
        <r>
          <rPr>
            <sz val="10"/>
            <color rgb="FF000000"/>
            <rFont val="Arial"/>
            <charset val="1"/>
          </rPr>
          <t>======
ID#AAABj5x5LqM
    (2025-05-20 16:59:23)
Informar o valor mensal do auxilio alimentação, considerando o desconto aplicável ao funcionário, conforme Convenção Coletiva da categoria</t>
        </r>
      </text>
    </comment>
    <comment ref="D110" authorId="0" shapeId="0">
      <text>
        <r>
          <rPr>
            <sz val="10"/>
            <color rgb="FF000000"/>
            <rFont val="Arial"/>
            <charset val="1"/>
          </rPr>
          <t>======
ID#AAABj5x5K6o
    (2025-05-20 16:59:22)
Informar o valor mensal do auxilio alimentação, considerando o desconto aplicável ao funcionário, conforme Convenção Coletiva da categoria</t>
        </r>
      </text>
    </comment>
    <comment ref="D111" authorId="0" shapeId="0">
      <text>
        <r>
          <rPr>
            <sz val="10"/>
            <color rgb="FF000000"/>
            <rFont val="Arial"/>
            <charset val="1"/>
          </rPr>
          <t>======
ID#AAABj5x5LPc
    (2025-05-20 16:59:22)
Informar o valor mensal do auxilio alimentação, considerando o desconto aplicável ao funcionário, conforme Convenção Coletiva da categoria</t>
        </r>
      </text>
    </comment>
    <comment ref="C129" authorId="0" shapeId="0">
      <text>
        <r>
          <rPr>
            <sz val="10"/>
            <color rgb="FF000000"/>
            <rFont val="Arial"/>
            <charset val="1"/>
          </rPr>
          <t>======
ID#AAABj5x5LcQ
    (2025-05-20 16:59:22)
Informar a durabilidade estimada em meses, para cada EPI</t>
        </r>
      </text>
    </comment>
    <comment ref="D129" authorId="0" shapeId="0">
      <text>
        <r>
          <rPr>
            <sz val="10"/>
            <color rgb="FF000000"/>
            <rFont val="Arial"/>
            <charset val="1"/>
          </rPr>
          <t>======
ID#AAABj5x5LMo
    (2025-05-20 16:59:22)
Informar o valor unitário estimado para aquisição de cada EPI</t>
        </r>
      </text>
    </comment>
    <comment ref="C130" authorId="0" shapeId="0">
      <text>
        <r>
          <rPr>
            <sz val="10"/>
            <color rgb="FF000000"/>
            <rFont val="Arial"/>
            <charset val="1"/>
          </rPr>
          <t>======
ID#AAABj5x5LnU
    (2025-05-20 16:59:23)
Informar a durabilidade estimada em meses, para cada EPI</t>
        </r>
      </text>
    </comment>
    <comment ref="D130" authorId="0" shapeId="0">
      <text>
        <r>
          <rPr>
            <sz val="10"/>
            <color rgb="FF000000"/>
            <rFont val="Arial"/>
            <charset val="1"/>
          </rPr>
          <t>======
ID#AAABj5x5LlM
    (2025-05-20 16:59:23)
Informar o valor unitário estimado para aquisição de cada EPI</t>
        </r>
      </text>
    </comment>
    <comment ref="C131" authorId="0" shapeId="0">
      <text>
        <r>
          <rPr>
            <sz val="10"/>
            <color rgb="FF000000"/>
            <rFont val="Arial"/>
            <charset val="1"/>
          </rPr>
          <t>======
ID#AAABj5x5Lgw
    (2025-05-20 16:59:22)
Informar a durabilidade estimada em meses, para cada EPI</t>
        </r>
      </text>
    </comment>
    <comment ref="D131" authorId="0" shapeId="0">
      <text>
        <r>
          <rPr>
            <sz val="10"/>
            <color rgb="FF000000"/>
            <rFont val="Arial"/>
            <charset val="1"/>
          </rPr>
          <t>======
ID#AAABj5x5LuA
    (2025-05-20 16:59:23)
Informar o valor unitário estimado para aquisição de cada EPI</t>
        </r>
      </text>
    </comment>
    <comment ref="C132" authorId="0" shapeId="0">
      <text>
        <r>
          <rPr>
            <sz val="10"/>
            <color rgb="FF000000"/>
            <rFont val="Arial"/>
            <charset val="1"/>
          </rPr>
          <t>======
ID#AAABj5x5Ljw
    (2025-05-20 16:59:23)
Informar a durabilidade estimada em meses, para cada EPI</t>
        </r>
      </text>
    </comment>
    <comment ref="D132" authorId="0" shapeId="0">
      <text>
        <r>
          <rPr>
            <sz val="10"/>
            <color rgb="FF000000"/>
            <rFont val="Arial"/>
            <charset val="1"/>
          </rPr>
          <t>======
ID#AAABj5x5LkE
    (2025-05-20 16:59:23)
Informar o valor unitário estimado para aquisição de cada EPI</t>
        </r>
      </text>
    </comment>
    <comment ref="C133" authorId="0" shapeId="0">
      <text>
        <r>
          <rPr>
            <sz val="10"/>
            <color rgb="FF000000"/>
            <rFont val="Arial"/>
            <charset val="1"/>
          </rPr>
          <t>======
ID#AAABj5x5LiA
    (2025-05-20 16:59:23)
Informar a durabilidade estimada em meses, para cada EPI</t>
        </r>
      </text>
    </comment>
    <comment ref="D133" authorId="0" shapeId="0">
      <text>
        <r>
          <rPr>
            <sz val="10"/>
            <color rgb="FF000000"/>
            <rFont val="Arial"/>
            <charset val="1"/>
          </rPr>
          <t>======
ID#AAABj5x5LZY
    (2025-05-20 16:59:22)
Informar o valor unitário estimado para aquisição de cada EPI</t>
        </r>
      </text>
    </comment>
    <comment ref="C134" authorId="0" shapeId="0">
      <text>
        <r>
          <rPr>
            <sz val="10"/>
            <color rgb="FF000000"/>
            <rFont val="Arial"/>
            <charset val="1"/>
          </rPr>
          <t>======
ID#AAABj5x5Lfs
    (2025-05-20 16:59:22)
Informar a durabilidade estimada em meses, para cada EPI</t>
        </r>
      </text>
    </comment>
    <comment ref="D134" authorId="0" shapeId="0">
      <text>
        <r>
          <rPr>
            <sz val="10"/>
            <color rgb="FF000000"/>
            <rFont val="Arial"/>
            <charset val="1"/>
          </rPr>
          <t>======
ID#AAABj5x5Lsw
    (2025-05-20 16:59:23)
Informar o valor unitário estimado para aquisição de cada EPI</t>
        </r>
      </text>
    </comment>
    <comment ref="C135" authorId="0" shapeId="0">
      <text>
        <r>
          <rPr>
            <sz val="10"/>
            <color rgb="FF000000"/>
            <rFont val="Arial"/>
            <charset val="1"/>
          </rPr>
          <t>======
ID#AAABj5x5Lno
    (2025-05-20 16:59:23)
Informar a durabilidade estimada em meses, para cada EPI</t>
        </r>
      </text>
    </comment>
    <comment ref="D135" authorId="0" shapeId="0">
      <text>
        <r>
          <rPr>
            <sz val="10"/>
            <color rgb="FF000000"/>
            <rFont val="Arial"/>
            <charset val="1"/>
          </rPr>
          <t>======
ID#AAABj5x5LbA
    (2025-05-20 16:59:22)
Informar o valor unitário estimado para aquisição de cada EPI</t>
        </r>
      </text>
    </comment>
    <comment ref="C136" authorId="0" shapeId="0">
      <text>
        <r>
          <rPr>
            <sz val="10"/>
            <color rgb="FF000000"/>
            <rFont val="Arial"/>
            <charset val="1"/>
          </rPr>
          <t>======
ID#AAABj5x5LSc
    (2025-05-20 16:59:22)
Informar a durabilidade estimada em meses, para cada EPI</t>
        </r>
      </text>
    </comment>
    <comment ref="D136" authorId="0" shapeId="0">
      <text>
        <r>
          <rPr>
            <sz val="10"/>
            <color rgb="FF000000"/>
            <rFont val="Arial"/>
            <charset val="1"/>
          </rPr>
          <t>======
ID#AAABj5x5K8w
    (2025-05-20 16:59:22)
Informar o valor unitário estimado para aquisição de cada EPI</t>
        </r>
      </text>
    </comment>
    <comment ref="C137" authorId="0" shapeId="0">
      <text>
        <r>
          <rPr>
            <sz val="10"/>
            <color rgb="FF000000"/>
            <rFont val="Arial"/>
            <charset val="1"/>
          </rPr>
          <t>======
ID#AAABj5x5K-s
    (2025-05-20 16:59:22)
Informar a durabilidade estimada em meses, para cada EPI</t>
        </r>
      </text>
    </comment>
    <comment ref="D137" authorId="0" shapeId="0">
      <text>
        <r>
          <rPr>
            <sz val="10"/>
            <color rgb="FF000000"/>
            <rFont val="Arial"/>
            <charset val="1"/>
          </rPr>
          <t>======
ID#AAABj5x5Lwo
    (2025-05-20 16:59:23)
Informar o valor unitário estimado para aquisição de cada EPI</t>
        </r>
      </text>
    </comment>
    <comment ref="C138" authorId="0" shapeId="0">
      <text>
        <r>
          <rPr>
            <sz val="10"/>
            <color rgb="FF000000"/>
            <rFont val="Arial"/>
            <charset val="1"/>
          </rPr>
          <t>======
ID#AAABj5x5Lc0
    (2025-05-20 16:59:22)
Informar a durabilidade estimada em meses, para cada EPI</t>
        </r>
      </text>
    </comment>
    <comment ref="D138" authorId="0" shapeId="0">
      <text>
        <r>
          <rPr>
            <sz val="10"/>
            <color rgb="FF000000"/>
            <rFont val="Arial"/>
            <charset val="1"/>
          </rPr>
          <t>======
ID#AAABj5x5LIY
    (2025-05-20 16:59:22)
Informar o valor unitário estimado para aquisição de cada EPI</t>
        </r>
      </text>
    </comment>
    <comment ref="C139" authorId="0" shapeId="0">
      <text>
        <r>
          <rPr>
            <sz val="10"/>
            <color rgb="FF000000"/>
            <rFont val="Arial"/>
            <charset val="1"/>
          </rPr>
          <t>======
ID#AAABj5x5K58
    (2025-05-20 16:59:22)
Informar a durabilidade estimada em meses, para cada EPI</t>
        </r>
      </text>
    </comment>
    <comment ref="D139" authorId="0" shapeId="0">
      <text>
        <r>
          <rPr>
            <sz val="10"/>
            <color rgb="FF000000"/>
            <rFont val="Arial"/>
            <charset val="1"/>
          </rPr>
          <t>======
ID#AAABj5x5Lxo
    (2025-05-20 16:59:23)
Informar o valor unitário estimado para aquisição de cada EPI</t>
        </r>
      </text>
    </comment>
    <comment ref="C140" authorId="0" shapeId="0">
      <text>
        <r>
          <rPr>
            <sz val="10"/>
            <color rgb="FF000000"/>
            <rFont val="Arial"/>
            <charset val="1"/>
          </rPr>
          <t>======
ID#AAABj5x5LKo
    (2025-05-20 16:59:22)
Informar a durabilidade estimada em meses, para cada EPI</t>
        </r>
      </text>
    </comment>
    <comment ref="D140" authorId="0" shapeId="0">
      <text>
        <r>
          <rPr>
            <sz val="10"/>
            <color rgb="FF000000"/>
            <rFont val="Arial"/>
            <charset val="1"/>
          </rPr>
          <t>======
ID#AAABj5x5LUs
    (2025-05-20 16:59:22)
Informar o valor unitário estimado para aquisição de cada EPI</t>
        </r>
      </text>
    </comment>
    <comment ref="C147" authorId="0" shapeId="0">
      <text>
        <r>
          <rPr>
            <sz val="10"/>
            <color rgb="FF000000"/>
            <rFont val="Arial"/>
            <charset val="1"/>
          </rPr>
          <t>======
ID#AAABj5x5LWM
    (2025-05-20 16:59:22)
Informar a durabilidade estimada em meses, para cada EPI</t>
        </r>
      </text>
    </comment>
    <comment ref="D147" authorId="0" shapeId="0">
      <text>
        <r>
          <rPr>
            <sz val="10"/>
            <color rgb="FF000000"/>
            <rFont val="Arial"/>
            <charset val="1"/>
          </rPr>
          <t>======
ID#AAABj5x5LvI
    (2025-05-20 16:59:23)
Informar o valor unitário estimado para aquisição de cada EPI</t>
        </r>
      </text>
    </comment>
    <comment ref="C148" authorId="0" shapeId="0">
      <text>
        <r>
          <rPr>
            <sz val="10"/>
            <color rgb="FF000000"/>
            <rFont val="Arial"/>
            <charset val="1"/>
          </rPr>
          <t>======
ID#AAABj5x5LN0
    (2025-05-20 16:59:22)
Informar a durabilidade estimada em meses, para cada EPI</t>
        </r>
      </text>
    </comment>
    <comment ref="D148" authorId="0" shapeId="0">
      <text>
        <r>
          <rPr>
            <sz val="10"/>
            <color rgb="FF000000"/>
            <rFont val="Arial"/>
            <charset val="1"/>
          </rPr>
          <t>======
ID#AAABj5x5K88
    (2025-05-20 16:59:22)
Informar o valor unitário estimado para aquisição de cada EPI</t>
        </r>
      </text>
    </comment>
    <comment ref="C149" authorId="0" shapeId="0">
      <text>
        <r>
          <rPr>
            <sz val="10"/>
            <color rgb="FF000000"/>
            <rFont val="Arial"/>
            <charset val="1"/>
          </rPr>
          <t>======
ID#AAABj5x5LcU
    (2025-05-20 16:59:22)
Informar a durabilidade estimada em meses, para cada EPI</t>
        </r>
      </text>
    </comment>
    <comment ref="D149" authorId="0" shapeId="0">
      <text>
        <r>
          <rPr>
            <sz val="10"/>
            <color rgb="FF000000"/>
            <rFont val="Arial"/>
            <charset val="1"/>
          </rPr>
          <t>======
ID#AAABj5x5LRc
    (2025-05-20 16:59:22)
Informar o valor unitário estimado para aquisição de cada EPI</t>
        </r>
      </text>
    </comment>
    <comment ref="C150" authorId="0" shapeId="0">
      <text>
        <r>
          <rPr>
            <sz val="10"/>
            <color rgb="FF000000"/>
            <rFont val="Arial"/>
            <charset val="1"/>
          </rPr>
          <t>======
ID#AAABj5x5Lxw
    (2025-05-20 16:59:23)
Informar a durabilidade estimada em meses, para cada EPI</t>
        </r>
      </text>
    </comment>
    <comment ref="D150" authorId="0" shapeId="0">
      <text>
        <r>
          <rPr>
            <sz val="10"/>
            <color rgb="FF000000"/>
            <rFont val="Arial"/>
            <charset val="1"/>
          </rPr>
          <t>======
ID#AAABj5x5Lb4
    (2025-05-20 16:59:22)
Informar o valor unitário estimado para aquisição de cada EPI</t>
        </r>
      </text>
    </comment>
    <comment ref="C151" authorId="0" shapeId="0">
      <text>
        <r>
          <rPr>
            <sz val="10"/>
            <color rgb="FF000000"/>
            <rFont val="Arial"/>
            <charset val="1"/>
          </rPr>
          <t>======
ID#AAABj5x5Lbc
    (2025-05-20 16:59:22)
Informar a durabilidade estimada em meses, para cada EPI</t>
        </r>
      </text>
    </comment>
    <comment ref="D151" authorId="0" shapeId="0">
      <text>
        <r>
          <rPr>
            <sz val="10"/>
            <color rgb="FF000000"/>
            <rFont val="Arial"/>
            <charset val="1"/>
          </rPr>
          <t>======
ID#AAABj5x5Lpc
    (2025-05-20 16:59:23)
Informar o valor unitário estimado para aquisição de cada EPI</t>
        </r>
      </text>
    </comment>
    <comment ref="C152" authorId="0" shapeId="0">
      <text>
        <r>
          <rPr>
            <sz val="10"/>
            <color rgb="FF000000"/>
            <rFont val="Arial"/>
            <charset val="1"/>
          </rPr>
          <t>======
ID#AAABj5x5LjE
    (2025-05-20 16:59:23)
Informar a durabilidade estimada em meses, para cada EPI</t>
        </r>
      </text>
    </comment>
    <comment ref="D152" authorId="0" shapeId="0">
      <text>
        <r>
          <rPr>
            <sz val="10"/>
            <color rgb="FF000000"/>
            <rFont val="Arial"/>
            <charset val="1"/>
          </rPr>
          <t>======
ID#AAABj5x5LTo
    (2025-05-20 16:59:22)
Informar o valor unitário estimado para aquisição de cada EPI</t>
        </r>
      </text>
    </comment>
    <comment ref="C153" authorId="0" shapeId="0">
      <text>
        <r>
          <rPr>
            <sz val="10"/>
            <color rgb="FF000000"/>
            <rFont val="Arial"/>
            <charset val="1"/>
          </rPr>
          <t>======
ID#AAABj5x5Lvk
    (2025-05-20 16:59:23)
Informar a durabilidade estimada em meses, para cada EPI</t>
        </r>
      </text>
    </comment>
    <comment ref="D153" authorId="0" shapeId="0">
      <text>
        <r>
          <rPr>
            <sz val="10"/>
            <color rgb="FF000000"/>
            <rFont val="Arial"/>
            <charset val="1"/>
          </rPr>
          <t>======
ID#AAABj5x5LhI
    (2025-05-20 16:59:22)
Informar o valor unitário estimado para aquisição de cada EPI</t>
        </r>
      </text>
    </comment>
    <comment ref="C154" authorId="0" shapeId="0">
      <text>
        <r>
          <rPr>
            <sz val="10"/>
            <color rgb="FF000000"/>
            <rFont val="Arial"/>
            <charset val="1"/>
          </rPr>
          <t>======
ID#AAABj5x5LJc
    (2025-05-20 16:59:22)
Informar a durabilidade estimada em meses, para cada EPI</t>
        </r>
      </text>
    </comment>
    <comment ref="D154" authorId="0" shapeId="0">
      <text>
        <r>
          <rPr>
            <sz val="10"/>
            <color rgb="FF000000"/>
            <rFont val="Arial"/>
            <charset val="1"/>
          </rPr>
          <t>======
ID#AAABj5x5Lhc
    (2025-05-20 16:59:22)
Informar o valor unitário estimado para aquisição de cada EPI</t>
        </r>
      </text>
    </comment>
    <comment ref="C155" authorId="0" shapeId="0">
      <text>
        <r>
          <rPr>
            <sz val="10"/>
            <color rgb="FF000000"/>
            <rFont val="Arial"/>
            <charset val="1"/>
          </rPr>
          <t>======
ID#AAABj5x5Lnk
    (2025-05-20 16:59:23)
Informar a durabilidade estimada em meses, para cada EPI</t>
        </r>
      </text>
    </comment>
    <comment ref="D155" authorId="0" shapeId="0">
      <text>
        <r>
          <rPr>
            <sz val="10"/>
            <color rgb="FF000000"/>
            <rFont val="Arial"/>
            <charset val="1"/>
          </rPr>
          <t>======
ID#AAABj5x5LQQ
    (2025-05-20 16:59:22)
Informar o valor unitário estimado para aquisição de cada EPI</t>
        </r>
      </text>
    </comment>
    <comment ref="C156" authorId="0" shapeId="0">
      <text>
        <r>
          <rPr>
            <sz val="10"/>
            <color rgb="FF000000"/>
            <rFont val="Arial"/>
            <charset val="1"/>
          </rPr>
          <t>======
ID#AAABj5x5LkM
    (2025-05-20 16:59:23)
Informar a durabilidade estimada em meses, para cada EPI</t>
        </r>
      </text>
    </comment>
    <comment ref="D156" authorId="0" shapeId="0">
      <text>
        <r>
          <rPr>
            <sz val="10"/>
            <color rgb="FF000000"/>
            <rFont val="Arial"/>
            <charset val="1"/>
          </rPr>
          <t>======
ID#AAABj5x5Ls0
    (2025-05-20 16:59:23)
Informar o valor unitário estimado para aquisição de cada EPI</t>
        </r>
      </text>
    </comment>
    <comment ref="C163" authorId="0" shapeId="0">
      <text>
        <r>
          <rPr>
            <sz val="10"/>
            <color rgb="FF000000"/>
            <rFont val="Arial"/>
            <charset val="1"/>
          </rPr>
          <t>======
ID#AAABj5x5LqE
    (2025-05-20 16:59:23)
Informar a durabilidade estimada em meses, para cada EPI</t>
        </r>
      </text>
    </comment>
    <comment ref="D163" authorId="0" shapeId="0">
      <text>
        <r>
          <rPr>
            <sz val="10"/>
            <color rgb="FF000000"/>
            <rFont val="Arial"/>
            <charset val="1"/>
          </rPr>
          <t>======
ID#AAABj5x5LWc
    (2025-05-20 16:59:22)
Informar o valor unitário estimado para aquisição de cada EPI</t>
        </r>
      </text>
    </comment>
    <comment ref="C164" authorId="0" shapeId="0">
      <text>
        <r>
          <rPr>
            <sz val="10"/>
            <color rgb="FF000000"/>
            <rFont val="Arial"/>
            <charset val="1"/>
          </rPr>
          <t>======
ID#AAABj5x5LdE
    (2025-05-20 16:59:22)
Informar a durabilidade estimada em meses, para cada EPI</t>
        </r>
      </text>
    </comment>
    <comment ref="D164" authorId="0" shapeId="0">
      <text>
        <r>
          <rPr>
            <sz val="10"/>
            <color rgb="FF000000"/>
            <rFont val="Arial"/>
            <charset val="1"/>
          </rPr>
          <t>======
ID#AAABj5x5LcY
    (2025-05-20 16:59:22)
Informar o valor unitário estimado para aquisição de cada EPI</t>
        </r>
      </text>
    </comment>
    <comment ref="C165" authorId="0" shapeId="0">
      <text>
        <r>
          <rPr>
            <sz val="10"/>
            <color rgb="FF000000"/>
            <rFont val="Arial"/>
            <charset val="1"/>
          </rPr>
          <t>======
ID#AAABj5x5K6M
    (2025-05-20 16:59:22)
Informar a durabilidade estimada em meses, para cada EPI</t>
        </r>
      </text>
    </comment>
    <comment ref="D165" authorId="0" shapeId="0">
      <text>
        <r>
          <rPr>
            <sz val="10"/>
            <color rgb="FF000000"/>
            <rFont val="Arial"/>
            <charset val="1"/>
          </rPr>
          <t>======
ID#AAABj5x5LfA
    (2025-05-20 16:59:22)
Informar o valor unitário estimado para aquisição de cada EPI</t>
        </r>
      </text>
    </comment>
    <comment ref="C166" authorId="0" shapeId="0">
      <text>
        <r>
          <rPr>
            <sz val="10"/>
            <color rgb="FF000000"/>
            <rFont val="Arial"/>
            <charset val="1"/>
          </rPr>
          <t>======
ID#AAABj5x5LRs
    (2025-05-20 16:59:22)
Informar a durabilidade estimada em meses, para cada EPI</t>
        </r>
      </text>
    </comment>
    <comment ref="D166" authorId="0" shapeId="0">
      <text>
        <r>
          <rPr>
            <sz val="10"/>
            <color rgb="FF000000"/>
            <rFont val="Arial"/>
            <charset val="1"/>
          </rPr>
          <t>======
ID#AAABj5x5LvY
    (2025-05-20 16:59:23)
Informar o valor unitário estimado para aquisição de cada EPI</t>
        </r>
      </text>
    </comment>
    <comment ref="C167" authorId="0" shapeId="0">
      <text>
        <r>
          <rPr>
            <sz val="10"/>
            <color rgb="FF000000"/>
            <rFont val="Arial"/>
            <charset val="1"/>
          </rPr>
          <t>======
ID#AAABj5x5LcM
    (2025-05-20 16:59:22)
Informar a durabilidade estimada em meses, para cada EPI</t>
        </r>
      </text>
    </comment>
    <comment ref="D167" authorId="0" shapeId="0">
      <text>
        <r>
          <rPr>
            <sz val="10"/>
            <color rgb="FF000000"/>
            <rFont val="Arial"/>
            <charset val="1"/>
          </rPr>
          <t>======
ID#AAABj5x5Lrc
    (2025-05-20 16:59:23)
Informar o valor unitário estimado para aquisição de cada EPI</t>
        </r>
      </text>
    </comment>
    <comment ref="C168" authorId="0" shapeId="0">
      <text>
        <r>
          <rPr>
            <sz val="10"/>
            <color rgb="FF000000"/>
            <rFont val="Arial"/>
            <charset val="1"/>
          </rPr>
          <t>======
ID#AAABj5x5LtY
    (2025-05-20 16:59:23)
Informar a durabilidade estimada em meses, para cada EPI</t>
        </r>
      </text>
    </comment>
    <comment ref="D168" authorId="0" shapeId="0">
      <text>
        <r>
          <rPr>
            <sz val="10"/>
            <color rgb="FF000000"/>
            <rFont val="Arial"/>
            <charset val="1"/>
          </rPr>
          <t>======
ID#AAABj5x5Luc
    (2025-05-20 16:59:23)
Informar o valor unitário estimado para aquisição de cada EPI</t>
        </r>
      </text>
    </comment>
    <comment ref="D180" authorId="0" shapeId="0">
      <text>
        <r>
          <rPr>
            <sz val="10"/>
            <color rgb="FF000000"/>
            <rFont val="Arial"/>
            <charset val="1"/>
          </rPr>
          <t>======
ID#AAABj5x5LI4
    (2025-05-20 16:59:22)
Informar o preço unitário do chassis do caminhão de coleta</t>
        </r>
      </text>
    </comment>
    <comment ref="C181" authorId="0" shapeId="0">
      <text>
        <r>
          <rPr>
            <sz val="10"/>
            <color rgb="FF000000"/>
            <rFont val="Arial"/>
            <charset val="1"/>
          </rPr>
          <t>======
ID#AAABj5x5Lng
    (2025-05-20 16:59:23)
Informar a vida útil estimada para o caminhão, em anos</t>
        </r>
      </text>
    </comment>
    <comment ref="C182" authorId="0" shapeId="0">
      <text>
        <r>
          <rPr>
            <sz val="10"/>
            <color rgb="FF000000"/>
            <rFont val="Arial"/>
            <charset val="1"/>
          </rPr>
          <t>======
ID#AAABj5x5K6Q
    (2025-05-20 16:59:22)
Na elaboração do orçamento-base da licitação, informar 0 (zero). Na proposta da licitante, informar a idade do veículo proposto.</t>
        </r>
      </text>
    </comment>
    <comment ref="C183" authorId="0" shapeId="0">
      <text>
        <r>
          <rPr>
            <sz val="10"/>
            <color rgb="FF000000"/>
            <rFont val="Arial"/>
            <charset val="1"/>
          </rPr>
          <t>======
ID#AAABj5x5LMk
    (2025-05-20 16:59:22)
Informar o valor da depreciação do caminhão, adotando o valor sugerido pelo TCE ou outro valor estimado</t>
        </r>
      </text>
    </comment>
    <comment ref="D185" authorId="0" shapeId="0">
      <text>
        <r>
          <rPr>
            <sz val="10"/>
            <color rgb="FF000000"/>
            <rFont val="Arial"/>
            <charset val="1"/>
          </rPr>
          <t>======
ID#AAABj5x5LvA
    (2025-05-20 16:59:23)
Informar o preço unitário do equipamento compactador</t>
        </r>
      </text>
    </comment>
    <comment ref="C186" authorId="0" shapeId="0">
      <text>
        <r>
          <rPr>
            <sz val="10"/>
            <color rgb="FF000000"/>
            <rFont val="Arial"/>
            <charset val="1"/>
          </rPr>
          <t>======
ID#AAABj5x5Lu4
    (2025-05-20 16:59:23)
Informar a vida útil estimada para o compactador, em anos</t>
        </r>
      </text>
    </comment>
    <comment ref="C187" authorId="0" shapeId="0">
      <text>
        <r>
          <rPr>
            <sz val="10"/>
            <color rgb="FF000000"/>
            <rFont val="Arial"/>
            <charset val="1"/>
          </rPr>
          <t>======
ID#AAABj5x5Llc
    (2025-05-20 16:59:23)
Na elaboração do orçamento-base da licitação, informar 0 (zero). Na proposta da licitante, informar a idade do compactador proposto.</t>
        </r>
      </text>
    </comment>
    <comment ref="C188" authorId="0" shapeId="0">
      <text>
        <r>
          <rPr>
            <sz val="10"/>
            <color rgb="FF000000"/>
            <rFont val="Arial"/>
            <charset val="1"/>
          </rPr>
          <t>======
ID#AAABj5x5LtE
    (2025-05-20 16:59:23)
Informar o valor da depreciação do compactador, adotando o valor sugerido pelo TCE ou outro valor estimado</t>
        </r>
      </text>
    </comment>
    <comment ref="C191" authorId="0" shapeId="0">
      <text>
        <r>
          <rPr>
            <sz val="10"/>
            <color rgb="FF000000"/>
            <rFont val="Arial"/>
            <charset val="1"/>
          </rPr>
          <t>======
ID#AAABj5x5K8k
    (2025-05-20 16:59:22)
Informar a quantidade de caminhões compactadores do respectivo modelo</t>
        </r>
      </text>
    </comment>
    <comment ref="C197" authorId="0" shapeId="0">
      <text>
        <r>
          <rPr>
            <sz val="10"/>
            <color rgb="FF000000"/>
            <rFont val="Arial"/>
            <charset val="1"/>
          </rPr>
          <t>======
ID#AAABj5x5LIc
    (2025-05-20 16:59:22)
Informar a taxa de juros anual para remuneração do capital. Recomenda-se o uso da Taxa SELIC</t>
        </r>
      </text>
    </comment>
    <comment ref="D213" authorId="0" shapeId="0">
      <text>
        <r>
          <rPr>
            <sz val="10"/>
            <color rgb="FF000000"/>
            <rFont val="Arial"/>
            <charset val="1"/>
          </rPr>
          <t>======
ID#AAABj5x5Lm8
    (2025-05-20 16:59:23)
Informar o valor do seguro obrigatório e licenciamento anual de um caminhão</t>
        </r>
      </text>
    </comment>
    <comment ref="D214" authorId="0" shapeId="0">
      <text>
        <r>
          <rPr>
            <sz val="10"/>
            <color rgb="FF000000"/>
            <rFont val="Arial"/>
            <charset val="1"/>
          </rPr>
          <t>======
ID#AAABj5x5Ltc
    (2025-05-20 16:59:23)
Informar o valor do seguro contra terceiros de um caminhão, se houver previsão no Projeto Básico</t>
        </r>
      </text>
    </comment>
    <comment ref="C224" authorId="0" shapeId="0">
      <text>
        <r>
          <rPr>
            <sz val="10"/>
            <color rgb="FF000000"/>
            <rFont val="Arial"/>
            <charset val="1"/>
          </rPr>
          <t>======
ID#AAABj5x5LMI
    (2025-05-20 16:59:22)
Informar o consumo estimado do veículo em km/l</t>
        </r>
      </text>
    </comment>
    <comment ref="D224" authorId="0" shapeId="0">
      <text>
        <r>
          <rPr>
            <sz val="10"/>
            <color rgb="FF000000"/>
            <rFont val="Arial"/>
            <charset val="1"/>
          </rPr>
          <t>======
ID#AAABj5x5Ljk
    (2025-05-20 16:59:23)
Informar o preço unitário do combustivel</t>
        </r>
      </text>
    </comment>
    <comment ref="D230" authorId="0" shapeId="0">
      <text>
        <r>
          <rPr>
            <sz val="10"/>
            <color rgb="FF000000"/>
            <rFont val="Arial"/>
            <charset val="1"/>
          </rPr>
          <t>======
ID#AAABj5x5LlE
    (2025-05-20 16:59:23)
Informar o custo de manutenção em R$/km rodado</t>
        </r>
      </text>
    </comment>
    <comment ref="C235" authorId="0" shapeId="0">
      <text>
        <r>
          <rPr>
            <sz val="10"/>
            <color rgb="FF000000"/>
            <rFont val="Arial"/>
            <charset val="1"/>
          </rPr>
          <t>======
ID#AAABj5x5LyA
    (2025-05-20 16:59:23)
Informar a quantidade de pneus novos de 1 caminhão</t>
        </r>
      </text>
    </comment>
    <comment ref="D235" authorId="0" shapeId="0">
      <text>
        <r>
          <rPr>
            <sz val="10"/>
            <color rgb="FF000000"/>
            <rFont val="Arial"/>
            <charset val="1"/>
          </rPr>
          <t>======
ID#AAABj5x5LYE
    (2025-05-20 16:59:22)
Informar o preço unitário de cada pneu</t>
        </r>
      </text>
    </comment>
    <comment ref="C236" authorId="0" shapeId="0">
      <text>
        <r>
          <rPr>
            <sz val="10"/>
            <color rgb="FF000000"/>
            <rFont val="Arial"/>
            <charset val="1"/>
          </rPr>
          <t>======
ID#AAABj5x5LYA
    (2025-05-20 16:59:22)
Informar o número de recapagens por pneu</t>
        </r>
      </text>
    </comment>
    <comment ref="D237" authorId="0" shapeId="0">
      <text>
        <r>
          <rPr>
            <sz val="10"/>
            <color rgb="FF000000"/>
            <rFont val="Arial"/>
            <charset val="1"/>
          </rPr>
          <t>======
ID#AAABj5x5K6c
    (2025-05-20 16:59:22)
Informar o preço unitário de cada recapagem</t>
        </r>
      </text>
    </comment>
    <comment ref="C238" authorId="0" shapeId="0">
      <text>
        <r>
          <rPr>
            <sz val="10"/>
            <color rgb="FF000000"/>
            <rFont val="Arial"/>
            <charset val="1"/>
          </rPr>
          <t>======
ID#AAABj5x5K74
    (2025-05-20 16:59:22)
Informar a durabilidade média dos pneus considerando todas as recapagens, em km</t>
        </r>
      </text>
    </comment>
    <comment ref="C259" authorId="0" shapeId="0">
      <text>
        <r>
          <rPr>
            <sz val="10"/>
            <color rgb="FF000000"/>
            <rFont val="Arial"/>
            <charset val="1"/>
          </rPr>
          <t>======
ID#AAABj5x5LmA
    (2025-05-20 16:59:23)
Informar a quantidade estimada por mês. Por exemplo, se a durabilidade estimada é de 6 meses, informar 1/6; se a durabilidade estimada é de 3 meses informar 1/3, etc..</t>
        </r>
      </text>
    </comment>
    <comment ref="D259" authorId="0" shapeId="0">
      <text>
        <r>
          <rPr>
            <sz val="10"/>
            <color rgb="FF000000"/>
            <rFont val="Arial"/>
            <charset val="1"/>
          </rPr>
          <t>======
ID#AAABj5x5LmI
    (2025-05-20 16:59:23)
Informar o valor unitário estimado para aquisição de cada material</t>
        </r>
      </text>
    </comment>
    <comment ref="C260" authorId="0" shapeId="0">
      <text>
        <r>
          <rPr>
            <sz val="10"/>
            <color rgb="FF000000"/>
            <rFont val="Arial"/>
            <charset val="1"/>
          </rPr>
          <t>======
ID#AAABj5x5K70
    (2025-05-20 16:59:22)
Informar a quantidade estimada por mês. Por exemplo, se a durabilidade estimada é de 6 meses, informar 1/6; se a durabilidade estimada é de 3 meses informar 1/3, etc..</t>
        </r>
      </text>
    </comment>
    <comment ref="D260" authorId="0" shapeId="0">
      <text>
        <r>
          <rPr>
            <sz val="10"/>
            <color rgb="FF000000"/>
            <rFont val="Arial"/>
            <charset val="1"/>
          </rPr>
          <t>======
ID#AAABj5x5Lac
    (2025-05-20 16:59:22)
Informar o valor unitário estimado para aquisição de cada material</t>
        </r>
      </text>
    </comment>
    <comment ref="C261" authorId="0" shapeId="0">
      <text>
        <r>
          <rPr>
            <sz val="10"/>
            <color rgb="FF000000"/>
            <rFont val="Arial"/>
            <charset val="1"/>
          </rPr>
          <t>======
ID#AAABj5x5Lgo
    (2025-05-20 16:59:22)
Informar a quantidade estimada por mês. Por exemplo, se a durabilidade estimada é de 6 meses, informar 1/6; se a durabilidade estimada é de 3 meses informar 1/3, etc..</t>
        </r>
      </text>
    </comment>
    <comment ref="D261" authorId="0" shapeId="0">
      <text>
        <r>
          <rPr>
            <sz val="10"/>
            <color rgb="FF000000"/>
            <rFont val="Arial"/>
            <charset val="1"/>
          </rPr>
          <t>======
ID#AAABj5x5Lho
    (2025-05-20 16:59:22)
Informar o valor unitário estimado para aquisição de cada material</t>
        </r>
      </text>
    </comment>
    <comment ref="C262" authorId="0" shapeId="0">
      <text>
        <r>
          <rPr>
            <sz val="10"/>
            <color rgb="FF000000"/>
            <rFont val="Arial"/>
            <charset val="1"/>
          </rPr>
          <t>======
ID#AAABj5x5Lvg
    (2025-05-20 16:59:23)
Informar a quantidade estimada por mês. Por exemplo, se a durabilidade estimada é de 6 meses, informar 1/6; se a durabilidade estimada é de 3 meses informar 1/3, etc..</t>
        </r>
      </text>
    </comment>
    <comment ref="D262" authorId="0" shapeId="0">
      <text>
        <r>
          <rPr>
            <sz val="10"/>
            <color rgb="FF000000"/>
            <rFont val="Arial"/>
            <charset val="1"/>
          </rPr>
          <t>======
ID#AAABj5x5Lrg
    (2025-05-20 16:59:23)
Informar o valor unitário estimado para aquisição de cada material</t>
        </r>
      </text>
    </comment>
    <comment ref="C272" authorId="0" shapeId="0">
      <text>
        <r>
          <rPr>
            <sz val="10"/>
            <color rgb="FF000000"/>
            <rFont val="Arial"/>
            <charset val="1"/>
          </rPr>
          <t>======
ID#AAABj5x5LOg
    (2025-05-20 16:59:22)
Preencher a aba 4.BDI</t>
        </r>
      </text>
    </comment>
    <comment ref="B279" authorId="0" shapeId="0">
      <text>
        <r>
          <rPr>
            <sz val="10"/>
            <color rgb="FF000000"/>
            <rFont val="Arial"/>
            <charset val="1"/>
          </rPr>
          <t>======
ID#AAABj5x5Lxs
    (2025-05-20 16:59:23)
Informar o fator de utilização das equipes de coleta. 
Por exemplo:
Equipes com utilização integral = 100%
Equipes com utilização parcial = n° horas trabalhadas por semana /44 horas</t>
        </r>
      </text>
    </comment>
    <comment ref="D287" authorId="0" shapeId="0">
      <text>
        <r>
          <rPr>
            <sz val="10"/>
            <color rgb="FF000000"/>
            <rFont val="Arial"/>
            <charset val="1"/>
          </rPr>
          <t>======
ID#AAABj5x5Li0
    (2025-05-20 16:59:23)
Informar a quantidade média coletada nos últimos 12 meses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A14" authorId="0" shapeId="0">
      <text>
        <r>
          <rPr>
            <sz val="10"/>
            <color rgb="FF000000"/>
            <rFont val="Arial"/>
            <charset val="1"/>
          </rPr>
          <t>======
ID#AAABj5x5LN4
    (2025-05-20 16:59:22)
Qualquer custo previsto no edital e não contemplado nesta planilha modelo deverá ser devidamente incluído</t>
        </r>
      </text>
    </comment>
    <comment ref="B58" authorId="0" shapeId="0">
      <text>
        <r>
          <rPr>
            <sz val="10"/>
            <color rgb="FF000000"/>
            <rFont val="Arial"/>
            <charset val="1"/>
          </rPr>
          <t>======
ID#AAABj5x5LOI
    (2025-05-20 16:59:22)
Informar o fator de utilização das equipes de coleta. 
Por exemplo:
Equipes com utilização integral = 100%
Equipes com utilização parcial = n° horas trabalhadas por semana /44 horas</t>
        </r>
      </text>
    </comment>
    <comment ref="B59" authorId="0" shapeId="0">
      <text>
        <r>
          <rPr>
            <sz val="10"/>
            <color rgb="FF000000"/>
            <rFont val="Arial"/>
            <charset val="1"/>
          </rPr>
          <t>======
ID#AAABj5x5Lu8
    (2025-05-20 16:59:23)
Informar o fator de utilização das equipes de coleta. 
Por exemplo:
Equipes com utilização integral = 100%
Equipes com utilização parcial = n° horas trabalhadas por semana /44 horas</t>
        </r>
      </text>
    </comment>
    <comment ref="D65" authorId="0" shapeId="0">
      <text>
        <r>
          <rPr>
            <sz val="10"/>
            <color rgb="FF000000"/>
            <rFont val="Arial"/>
            <charset val="1"/>
          </rPr>
          <t>======
ID#AAABj5x5LaU
    (2025-05-20 16:59:22)
Informar o Piso da categoria fixado na Convenção Coletiva</t>
        </r>
      </text>
    </comment>
    <comment ref="C68" authorId="0" shapeId="0">
      <text>
        <r>
          <rPr>
            <sz val="10"/>
            <color rgb="FF000000"/>
            <rFont val="Arial"/>
            <charset val="1"/>
          </rPr>
          <t>======
ID#AAABj5x5LwM
    (2025-05-20 16:59:23)
Preencher a planilha Encargos Sociais e CAGED</t>
        </r>
      </text>
    </comment>
    <comment ref="C70" authorId="0" shapeId="0">
      <text>
        <r>
          <rPr>
            <sz val="10"/>
            <color rgb="FF000000"/>
            <rFont val="Arial"/>
            <charset val="1"/>
          </rPr>
          <t>======
ID#AAABj5x5LPk
    (2025-05-20 16:59:22)
Informar a quantidade de trabalhadores na função</t>
        </r>
      </text>
    </comment>
    <comment ref="D75" authorId="0" shapeId="0">
      <text>
        <r>
          <rPr>
            <sz val="10"/>
            <color rgb="FF000000"/>
            <rFont val="Arial"/>
            <charset val="1"/>
          </rPr>
          <t>======
ID#AAABj5x5LXU
    (2025-05-20 16:59:22)
Informar o Piso da categoria fixado na Convenção Coletiva</t>
        </r>
      </text>
    </comment>
    <comment ref="C78" authorId="0" shapeId="0">
      <text>
        <r>
          <rPr>
            <sz val="10"/>
            <color rgb="FF000000"/>
            <rFont val="Arial"/>
            <charset val="1"/>
          </rPr>
          <t>======
ID#AAABj5x5Lkc
    (2025-05-20 16:59:23)
Preencher a planilha Encargos Sociais e CAGED</t>
        </r>
      </text>
    </comment>
    <comment ref="C80" authorId="0" shapeId="0">
      <text>
        <r>
          <rPr>
            <sz val="10"/>
            <color rgb="FF000000"/>
            <rFont val="Arial"/>
            <charset val="1"/>
          </rPr>
          <t>======
ID#AAABj5x5LWw
    (2025-05-20 16:59:22)
Informar a quantidade de trabalhadores na função</t>
        </r>
      </text>
    </comment>
    <comment ref="D85" authorId="0" shapeId="0">
      <text>
        <r>
          <rPr>
            <sz val="10"/>
            <color rgb="FF000000"/>
            <rFont val="Arial"/>
            <charset val="1"/>
          </rPr>
          <t>======
ID#AAABj5x5LuI
    (2025-05-20 16:59:23)
Informar o Piso da categoria fixado na Convenção Coletiva</t>
        </r>
      </text>
    </comment>
    <comment ref="C88" authorId="0" shapeId="0">
      <text>
        <r>
          <rPr>
            <sz val="10"/>
            <color rgb="FF000000"/>
            <rFont val="Arial"/>
            <charset val="1"/>
          </rPr>
          <t>======
ID#AAABj5x5LrA
    (2025-05-20 16:59:23)
Preencher a planilha Encargos Sociais e CAGED</t>
        </r>
      </text>
    </comment>
    <comment ref="C90" authorId="0" shapeId="0">
      <text>
        <r>
          <rPr>
            <sz val="10"/>
            <color rgb="FF000000"/>
            <rFont val="Arial"/>
            <charset val="1"/>
          </rPr>
          <t>======
ID#AAABj5x5LSM
    (2025-05-20 16:59:22)
Informar a quantidade de trabalhadores na função</t>
        </r>
      </text>
    </comment>
    <comment ref="D95" authorId="0" shapeId="0">
      <text>
        <r>
          <rPr>
            <sz val="10"/>
            <color rgb="FF000000"/>
            <rFont val="Arial"/>
            <charset val="1"/>
          </rPr>
          <t>======
ID#AAABj5x5LlI
    (2025-05-20 16:59:23)
Informar o Piso da categoria fixado na Convenção Coletiva</t>
        </r>
      </text>
    </comment>
    <comment ref="C98" authorId="0" shapeId="0">
      <text>
        <r>
          <rPr>
            <sz val="10"/>
            <color rgb="FF000000"/>
            <rFont val="Arial"/>
            <charset val="1"/>
          </rPr>
          <t>======
ID#AAABj5x5LNg
    (2025-05-20 16:59:22)
Preencher a planilha Encargos Sociais e CAGED</t>
        </r>
      </text>
    </comment>
    <comment ref="C100" authorId="0" shapeId="0">
      <text>
        <r>
          <rPr>
            <sz val="10"/>
            <color rgb="FF000000"/>
            <rFont val="Arial"/>
            <charset val="1"/>
          </rPr>
          <t>======
ID#AAABj5x5K9U
    (2025-05-20 16:59:22)
Informar a quantidade de trabalhadores na função</t>
        </r>
      </text>
    </comment>
    <comment ref="D105" authorId="0" shapeId="0">
      <text>
        <r>
          <rPr>
            <sz val="10"/>
            <color rgb="FF000000"/>
            <rFont val="Arial"/>
            <charset val="1"/>
          </rPr>
          <t>======
ID#AAABj5x5Lqg
    (2025-05-20 16:59:23)
Informar o valor unitário do VT no município</t>
        </r>
      </text>
    </comment>
    <comment ref="C106" authorId="0" shapeId="0">
      <text>
        <r>
          <rPr>
            <sz val="10"/>
            <color rgb="FF000000"/>
            <rFont val="Arial"/>
            <charset val="1"/>
          </rPr>
          <t>======
ID#AAABj5x5LyE
    (2025-05-20 16:59:23)
Informar o número médio de dias trabalhados por mês</t>
        </r>
      </text>
    </comment>
    <comment ref="D107" authorId="0" shapeId="0">
      <text>
        <r>
          <rPr>
            <sz val="10"/>
            <color rgb="FF000000"/>
            <rFont val="Arial"/>
            <charset val="1"/>
          </rPr>
          <t>======
ID#AAABj5x5LyY
    (2025-05-20 16:59:23)
Valor Unitário considerando o desconto legal de até 6% do salário</t>
        </r>
      </text>
    </comment>
    <comment ref="D108" authorId="0" shapeId="0">
      <text>
        <r>
          <rPr>
            <sz val="10"/>
            <color rgb="FF000000"/>
            <rFont val="Arial"/>
            <charset val="1"/>
          </rPr>
          <t>======
ID#AAABj5x5LJM
    (2025-05-20 16:59:22)
Valor Unitário considerando o desconto legal de até 6% do salário</t>
        </r>
      </text>
    </comment>
    <comment ref="D109" authorId="0" shapeId="0">
      <text>
        <r>
          <rPr>
            <sz val="10"/>
            <color rgb="FF000000"/>
            <rFont val="Arial"/>
            <charset val="1"/>
          </rPr>
          <t>======
ID#AAABj5x5LKM
    (2025-05-20 16:59:22)
Valor Unitário considerando o desconto legal de até 6% do salário</t>
        </r>
      </text>
    </comment>
    <comment ref="D114" authorId="0" shapeId="0">
      <text>
        <r>
          <rPr>
            <sz val="10"/>
            <color rgb="FF000000"/>
            <rFont val="Arial"/>
            <charset val="1"/>
          </rPr>
          <t>======
ID#AAABj5x5Le0
    (2025-05-20 16:59:22)
Informar o valor unitário do VT no município</t>
        </r>
      </text>
    </comment>
    <comment ref="C115" authorId="0" shapeId="0">
      <text>
        <r>
          <rPr>
            <sz val="10"/>
            <color rgb="FF000000"/>
            <rFont val="Arial"/>
            <charset val="1"/>
          </rPr>
          <t>======
ID#AAABj5x5La8
    (2025-05-20 16:59:22)
Informar o número médio de dias trabalhados por mês</t>
        </r>
      </text>
    </comment>
    <comment ref="D116" authorId="0" shapeId="0">
      <text>
        <r>
          <rPr>
            <sz val="10"/>
            <color rgb="FF000000"/>
            <rFont val="Arial"/>
            <charset val="1"/>
          </rPr>
          <t>======
ID#AAABj5x5LVk
    (2025-05-20 16:59:22)
Valor Unitário considerando o desconto legal de até 6% do salário</t>
        </r>
      </text>
    </comment>
    <comment ref="D121" authorId="0" shapeId="0">
      <text>
        <r>
          <rPr>
            <sz val="10"/>
            <color rgb="FF000000"/>
            <rFont val="Arial"/>
            <charset val="1"/>
          </rPr>
          <t>======
ID#AAABj5x5LMY
    (2025-05-20 16:59:22)
Informar o valor unitário diário do vale refeição, considerando o desconto aplicável ao funcionário, conforme Convenção Coletiva da categoria.</t>
        </r>
      </text>
    </comment>
    <comment ref="D122" authorId="0" shapeId="0">
      <text>
        <r>
          <rPr>
            <sz val="10"/>
            <color rgb="FF000000"/>
            <rFont val="Arial"/>
            <charset val="1"/>
          </rPr>
          <t>======
ID#AAABj5x5LjQ
    (2025-05-20 16:59:23)
Informar o valor unitário diário do vale refeição, considerando o desconto aplicável ao funcionário, conforme Convenção Coletiva da categoria.</t>
        </r>
      </text>
    </comment>
    <comment ref="D132" authorId="0" shapeId="0">
      <text>
        <r>
          <rPr>
            <sz val="10"/>
            <color rgb="FF000000"/>
            <rFont val="Arial"/>
            <charset val="1"/>
          </rPr>
          <t>======
ID#AAABj5x5LoE
    (2025-05-20 16:59:23)
Informar o valor mensal do auxilio alimentação, considerando o desconto aplicável ao funcionário, conforme Convenção Coletiva da categoria</t>
        </r>
      </text>
    </comment>
    <comment ref="D133" authorId="0" shapeId="0">
      <text>
        <r>
          <rPr>
            <sz val="10"/>
            <color rgb="FF000000"/>
            <rFont val="Arial"/>
            <charset val="1"/>
          </rPr>
          <t>======
ID#AAABj5x5LlQ
    (2025-05-20 16:59:23)
Informar o valor mensal do auxilio alimentação, considerando o desconto aplicável ao funcionário, conforme Convenção Coletiva da categoria</t>
        </r>
      </text>
    </comment>
    <comment ref="D134" authorId="0" shapeId="0">
      <text>
        <r>
          <rPr>
            <sz val="10"/>
            <color rgb="FF000000"/>
            <rFont val="Arial"/>
            <charset val="1"/>
          </rPr>
          <t>======
ID#AAABj5x5LIw
    (2025-05-20 16:59:22)
Informar o valor mensal do auxilio alimentação, considerando o desconto aplicável ao funcionário, conforme Convenção Coletiva da categoria</t>
        </r>
      </text>
    </comment>
    <comment ref="C144" authorId="0" shapeId="0">
      <text>
        <r>
          <rPr>
            <sz val="10"/>
            <color rgb="FF000000"/>
            <rFont val="Arial"/>
            <charset val="1"/>
          </rPr>
          <t>======
ID#AAABj5x5K6w
    (2025-05-20 16:59:22)
Informar a durabilidade estimada em meses, para cada EPI</t>
        </r>
      </text>
    </comment>
    <comment ref="D144" authorId="0" shapeId="0">
      <text>
        <r>
          <rPr>
            <sz val="10"/>
            <color rgb="FF000000"/>
            <rFont val="Arial"/>
            <charset val="1"/>
          </rPr>
          <t>======
ID#AAABj5x5LMA
    (2025-05-20 16:59:22)
Informar o valor unitário estimado para aquisição de cada EPI</t>
        </r>
      </text>
    </comment>
    <comment ref="C145" authorId="0" shapeId="0">
      <text>
        <r>
          <rPr>
            <sz val="10"/>
            <color rgb="FF000000"/>
            <rFont val="Arial"/>
            <charset val="1"/>
          </rPr>
          <t>======
ID#AAABj5x5Lbs
    (2025-05-20 16:59:22)
Informar a durabilidade estimada em meses, para cada EPI</t>
        </r>
      </text>
    </comment>
    <comment ref="D145" authorId="0" shapeId="0">
      <text>
        <r>
          <rPr>
            <sz val="10"/>
            <color rgb="FF000000"/>
            <rFont val="Arial"/>
            <charset val="1"/>
          </rPr>
          <t>======
ID#AAABj5x5LS8
    (2025-05-20 16:59:22)
Informar o valor unitário estimado para aquisição de cada EPI</t>
        </r>
      </text>
    </comment>
    <comment ref="C146" authorId="0" shapeId="0">
      <text>
        <r>
          <rPr>
            <sz val="10"/>
            <color rgb="FF000000"/>
            <rFont val="Arial"/>
            <charset val="1"/>
          </rPr>
          <t>======
ID#AAABj5x5LVo
    (2025-05-20 16:59:22)
Informar a durabilidade estimada em meses, para cada EPI</t>
        </r>
      </text>
    </comment>
    <comment ref="D146" authorId="0" shapeId="0">
      <text>
        <r>
          <rPr>
            <sz val="10"/>
            <color rgb="FF000000"/>
            <rFont val="Arial"/>
            <charset val="1"/>
          </rPr>
          <t>======
ID#AAABj5x5K8Y
    (2025-05-20 16:59:22)
Informar o valor unitário estimado para aquisição de cada EPI</t>
        </r>
      </text>
    </comment>
    <comment ref="C147" authorId="0" shapeId="0">
      <text>
        <r>
          <rPr>
            <sz val="10"/>
            <color rgb="FF000000"/>
            <rFont val="Arial"/>
            <charset val="1"/>
          </rPr>
          <t>======
ID#AAABj5x5K-I
    (2025-05-20 16:59:22)
Informar a durabilidade estimada em meses, para cada EPI</t>
        </r>
      </text>
    </comment>
    <comment ref="D147" authorId="0" shapeId="0">
      <text>
        <r>
          <rPr>
            <sz val="10"/>
            <color rgb="FF000000"/>
            <rFont val="Arial"/>
            <charset val="1"/>
          </rPr>
          <t>======
ID#AAABj5x5Lzo
    (2025-05-20 16:59:23)
Informar o valor unitário estimado para aquisição de cada EPI</t>
        </r>
      </text>
    </comment>
    <comment ref="C148" authorId="0" shapeId="0">
      <text>
        <r>
          <rPr>
            <sz val="10"/>
            <color rgb="FF000000"/>
            <rFont val="Arial"/>
            <charset val="1"/>
          </rPr>
          <t>======
ID#AAABj5x5LSo
    (2025-05-20 16:59:22)
Informar a durabilidade estimada em meses, para cada EPI</t>
        </r>
      </text>
    </comment>
    <comment ref="D148" authorId="0" shapeId="0">
      <text>
        <r>
          <rPr>
            <sz val="10"/>
            <color rgb="FF000000"/>
            <rFont val="Arial"/>
            <charset val="1"/>
          </rPr>
          <t>======
ID#AAABj5x5LRk
    (2025-05-20 16:59:22)
Informar o valor unitário estimado para aquisição de cada EPI</t>
        </r>
      </text>
    </comment>
    <comment ref="C149" authorId="0" shapeId="0">
      <text>
        <r>
          <rPr>
            <sz val="10"/>
            <color rgb="FF000000"/>
            <rFont val="Arial"/>
            <charset val="1"/>
          </rPr>
          <t>======
ID#AAABj5x5LdA
    (2025-05-20 16:59:22)
Informar a durabilidade estimada em meses, para cada EPI</t>
        </r>
      </text>
    </comment>
    <comment ref="D149" authorId="0" shapeId="0">
      <text>
        <r>
          <rPr>
            <sz val="10"/>
            <color rgb="FF000000"/>
            <rFont val="Arial"/>
            <charset val="1"/>
          </rPr>
          <t>======
ID#AAABj5x5LOY
    (2025-05-20 16:59:22)
Informar o valor unitário estimado para aquisição de cada EPI</t>
        </r>
      </text>
    </comment>
    <comment ref="C150" authorId="0" shapeId="0">
      <text>
        <r>
          <rPr>
            <sz val="10"/>
            <color rgb="FF000000"/>
            <rFont val="Arial"/>
            <charset val="1"/>
          </rPr>
          <t>======
ID#AAABj5x5K6U
    (2025-05-20 16:59:22)
Informar a durabilidade estimada em meses, para cada EPI</t>
        </r>
      </text>
    </comment>
    <comment ref="D150" authorId="0" shapeId="0">
      <text>
        <r>
          <rPr>
            <sz val="10"/>
            <color rgb="FF000000"/>
            <rFont val="Arial"/>
            <charset val="1"/>
          </rPr>
          <t>======
ID#AAABj5x5LaQ
    (2025-05-20 16:59:22)
Informar o valor unitário estimado para aquisição de cada EPI</t>
        </r>
      </text>
    </comment>
    <comment ref="C151" authorId="0" shapeId="0">
      <text>
        <r>
          <rPr>
            <sz val="10"/>
            <color rgb="FF000000"/>
            <rFont val="Arial"/>
            <charset val="1"/>
          </rPr>
          <t>======
ID#AAABj5x5LiM
    (2025-05-20 16:59:23)
Informar a durabilidade estimada em meses, para cada EPI</t>
        </r>
      </text>
    </comment>
    <comment ref="D151" authorId="0" shapeId="0">
      <text>
        <r>
          <rPr>
            <sz val="10"/>
            <color rgb="FF000000"/>
            <rFont val="Arial"/>
            <charset val="1"/>
          </rPr>
          <t>======
ID#AAABj5x5LeU
    (2025-05-20 16:59:22)
Informar o valor unitário estimado para aquisição de cada EPI</t>
        </r>
      </text>
    </comment>
    <comment ref="C152" authorId="0" shapeId="0">
      <text>
        <r>
          <rPr>
            <sz val="10"/>
            <color rgb="FF000000"/>
            <rFont val="Arial"/>
            <charset val="1"/>
          </rPr>
          <t>======
ID#AAABj5x5LWI
    (2025-05-20 16:59:22)
Informar a durabilidade estimada em meses, para cada EPI</t>
        </r>
      </text>
    </comment>
    <comment ref="D152" authorId="0" shapeId="0">
      <text>
        <r>
          <rPr>
            <sz val="10"/>
            <color rgb="FF000000"/>
            <rFont val="Arial"/>
            <charset val="1"/>
          </rPr>
          <t>======
ID#AAABj5x5Lp4
    (2025-05-20 16:59:23)
Informar o valor unitário estimado para aquisição de cada EPI</t>
        </r>
      </text>
    </comment>
    <comment ref="C159" authorId="0" shapeId="0">
      <text>
        <r>
          <rPr>
            <sz val="10"/>
            <color rgb="FF000000"/>
            <rFont val="Arial"/>
            <charset val="1"/>
          </rPr>
          <t>======
ID#AAABj5x5LNM
    (2025-05-20 16:59:22)
Informar a durabilidade estimada em meses, para cada EPI</t>
        </r>
      </text>
    </comment>
    <comment ref="D159" authorId="0" shapeId="0">
      <text>
        <r>
          <rPr>
            <sz val="10"/>
            <color rgb="FF000000"/>
            <rFont val="Arial"/>
            <charset val="1"/>
          </rPr>
          <t>======
ID#AAABj5x5LNw
    (2025-05-20 16:59:22)
Informar o valor unitário estimado para aquisição de cada EPI</t>
        </r>
      </text>
    </comment>
    <comment ref="C160" authorId="0" shapeId="0">
      <text>
        <r>
          <rPr>
            <sz val="10"/>
            <color rgb="FF000000"/>
            <rFont val="Arial"/>
            <charset val="1"/>
          </rPr>
          <t>======
ID#AAABj5x5LP4
    (2025-05-20 16:59:22)
Informar a durabilidade estimada em meses, para cada EPI</t>
        </r>
      </text>
    </comment>
    <comment ref="D160" authorId="0" shapeId="0">
      <text>
        <r>
          <rPr>
            <sz val="10"/>
            <color rgb="FF000000"/>
            <rFont val="Arial"/>
            <charset val="1"/>
          </rPr>
          <t>======
ID#AAABj5x5LoA
    (2025-05-20 16:59:23)
Informar o valor unitário estimado para aquisição de cada EPI</t>
        </r>
      </text>
    </comment>
    <comment ref="C161" authorId="0" shapeId="0">
      <text>
        <r>
          <rPr>
            <sz val="10"/>
            <color rgb="FF000000"/>
            <rFont val="Arial"/>
            <charset val="1"/>
          </rPr>
          <t>======
ID#AAABj5x5LJk
    (2025-05-20 16:59:22)
Informar a durabilidade estimada em meses, para cada EPI</t>
        </r>
      </text>
    </comment>
    <comment ref="D161" authorId="0" shapeId="0">
      <text>
        <r>
          <rPr>
            <sz val="10"/>
            <color rgb="FF000000"/>
            <rFont val="Arial"/>
            <charset val="1"/>
          </rPr>
          <t>======
ID#AAABj5x5LwE
    (2025-05-20 16:59:23)
Informar o valor unitário estimado para aquisição de cada EPI</t>
        </r>
      </text>
    </comment>
    <comment ref="C162" authorId="0" shapeId="0">
      <text>
        <r>
          <rPr>
            <sz val="10"/>
            <color rgb="FF000000"/>
            <rFont val="Arial"/>
            <charset val="1"/>
          </rPr>
          <t>======
ID#AAABj5x5K8g
    (2025-05-20 16:59:22)
Informar a durabilidade estimada em meses, para cada EPI</t>
        </r>
      </text>
    </comment>
    <comment ref="D162" authorId="0" shapeId="0">
      <text>
        <r>
          <rPr>
            <sz val="10"/>
            <color rgb="FF000000"/>
            <rFont val="Arial"/>
            <charset val="1"/>
          </rPr>
          <t>======
ID#AAABj5x5Lp8
    (2025-05-20 16:59:23)
Informar o valor unitário estimado para aquisição de cada EPI</t>
        </r>
      </text>
    </comment>
    <comment ref="C163" authorId="0" shapeId="0">
      <text>
        <r>
          <rPr>
            <sz val="10"/>
            <color rgb="FF000000"/>
            <rFont val="Arial"/>
            <charset val="1"/>
          </rPr>
          <t>======
ID#AAABj5x5LTw
    (2025-05-20 16:59:22)
Informar a durabilidade estimada em meses, para cada EPI</t>
        </r>
      </text>
    </comment>
    <comment ref="D163" authorId="0" shapeId="0">
      <text>
        <r>
          <rPr>
            <sz val="10"/>
            <color rgb="FF000000"/>
            <rFont val="Arial"/>
            <charset val="1"/>
          </rPr>
          <t>======
ID#AAABj5x5LIU
    (2025-05-20 16:59:22)
Informar o valor unitário estimado para aquisição de cada EPI</t>
        </r>
      </text>
    </comment>
    <comment ref="C164" authorId="0" shapeId="0">
      <text>
        <r>
          <rPr>
            <sz val="10"/>
            <color rgb="FF000000"/>
            <rFont val="Arial"/>
            <charset val="1"/>
          </rPr>
          <t>======
ID#AAABj5x5LIk
    (2025-05-20 16:59:22)
Informar a durabilidade estimada em meses, para cada EPI</t>
        </r>
      </text>
    </comment>
    <comment ref="D164" authorId="0" shapeId="0">
      <text>
        <r>
          <rPr>
            <sz val="10"/>
            <color rgb="FF000000"/>
            <rFont val="Arial"/>
            <charset val="1"/>
          </rPr>
          <t>======
ID#AAABj5x5LpM
    (2025-05-20 16:59:23)
Informar o valor unitário estimado para aquisição de cada EPI</t>
        </r>
      </text>
    </comment>
    <comment ref="C165" authorId="0" shapeId="0">
      <text>
        <r>
          <rPr>
            <sz val="10"/>
            <color rgb="FF000000"/>
            <rFont val="Arial"/>
            <charset val="1"/>
          </rPr>
          <t>======
ID#AAABj5x5Lbg
    (2025-05-20 16:59:22)
Informar a durabilidade estimada em meses, para cada EPI</t>
        </r>
      </text>
    </comment>
    <comment ref="D165" authorId="0" shapeId="0">
      <text>
        <r>
          <rPr>
            <sz val="10"/>
            <color rgb="FF000000"/>
            <rFont val="Arial"/>
            <charset val="1"/>
          </rPr>
          <t>======
ID#AAABj5x5K8c
    (2025-05-20 16:59:22)
Informar o valor unitário estimado para aquisição de cada EPI</t>
        </r>
      </text>
    </comment>
    <comment ref="C166" authorId="0" shapeId="0">
      <text>
        <r>
          <rPr>
            <sz val="10"/>
            <color rgb="FF000000"/>
            <rFont val="Arial"/>
            <charset val="1"/>
          </rPr>
          <t>======
ID#AAABj5x5LsM
    (2025-05-20 16:59:23)
Informar a durabilidade estimada em meses, para cada EPI</t>
        </r>
      </text>
    </comment>
    <comment ref="D166" authorId="0" shapeId="0">
      <text>
        <r>
          <rPr>
            <sz val="10"/>
            <color rgb="FF000000"/>
            <rFont val="Arial"/>
            <charset val="1"/>
          </rPr>
          <t>======
ID#AAABj5x5LmQ
    (2025-05-20 16:59:23)
Informar o valor unitário estimado para aquisição de cada EPI</t>
        </r>
      </text>
    </comment>
    <comment ref="C167" authorId="0" shapeId="0">
      <text>
        <r>
          <rPr>
            <sz val="10"/>
            <color rgb="FF000000"/>
            <rFont val="Arial"/>
            <charset val="1"/>
          </rPr>
          <t>======
ID#AAABj5x5LIM
    (2025-05-20 16:59:22)
Informar a durabilidade estimada em meses, para cada EPI</t>
        </r>
      </text>
    </comment>
    <comment ref="D167" authorId="0" shapeId="0">
      <text>
        <r>
          <rPr>
            <sz val="10"/>
            <color rgb="FF000000"/>
            <rFont val="Arial"/>
            <charset val="1"/>
          </rPr>
          <t>======
ID#AAABj5x5LeQ
    (2025-05-20 16:59:22)
Informar o valor unitário estimado para aquisição de cada EPI</t>
        </r>
      </text>
    </comment>
    <comment ref="C174" authorId="0" shapeId="0">
      <text>
        <r>
          <rPr>
            <sz val="10"/>
            <color rgb="FF000000"/>
            <rFont val="Arial"/>
            <charset val="1"/>
          </rPr>
          <t>======
ID#AAABj5x5LK8
    (2025-05-20 16:59:22)
Informar a durabilidade estimada em meses, para cada EPI</t>
        </r>
      </text>
    </comment>
    <comment ref="D174" authorId="0" shapeId="0">
      <text>
        <r>
          <rPr>
            <sz val="10"/>
            <color rgb="FF000000"/>
            <rFont val="Arial"/>
            <charset val="1"/>
          </rPr>
          <t>======
ID#AAABj5x5Lvw
    (2025-05-20 16:59:23)
Informar o valor unitário estimado para aquisição de cada EPI</t>
        </r>
      </text>
    </comment>
    <comment ref="C175" authorId="0" shapeId="0">
      <text>
        <r>
          <rPr>
            <sz val="10"/>
            <color rgb="FF000000"/>
            <rFont val="Arial"/>
            <charset val="1"/>
          </rPr>
          <t>======
ID#AAABj5x5LKw
    (2025-05-20 16:59:22)
Informar a durabilidade estimada em meses, para cada EPI</t>
        </r>
      </text>
    </comment>
    <comment ref="D175" authorId="0" shapeId="0">
      <text>
        <r>
          <rPr>
            <sz val="10"/>
            <color rgb="FF000000"/>
            <rFont val="Arial"/>
            <charset val="1"/>
          </rPr>
          <t>======
ID#AAABj5x5Loo
    (2025-05-20 16:59:23)
Informar o valor unitário estimado para aquisição de cada EPI</t>
        </r>
      </text>
    </comment>
    <comment ref="C176" authorId="0" shapeId="0">
      <text>
        <r>
          <rPr>
            <sz val="10"/>
            <color rgb="FF000000"/>
            <rFont val="Arial"/>
            <charset val="1"/>
          </rPr>
          <t>======
ID#AAABj5x5LVs
    (2025-05-20 16:59:22)
Informar a durabilidade estimada em meses, para cada EPI</t>
        </r>
      </text>
    </comment>
    <comment ref="D176" authorId="0" shapeId="0">
      <text>
        <r>
          <rPr>
            <sz val="10"/>
            <color rgb="FF000000"/>
            <rFont val="Arial"/>
            <charset val="1"/>
          </rPr>
          <t>======
ID#AAABj5x5LQA
    (2025-05-20 16:59:22)
Informar o valor unitário estimado para aquisição de cada EPI</t>
        </r>
      </text>
    </comment>
    <comment ref="C177" authorId="0" shapeId="0">
      <text>
        <r>
          <rPr>
            <sz val="10"/>
            <color rgb="FF000000"/>
            <rFont val="Arial"/>
            <charset val="1"/>
          </rPr>
          <t>======
ID#AAABj5x5K8Q
    (2025-05-20 16:59:22)
Informar a durabilidade estimada em meses, para cada EPI</t>
        </r>
      </text>
    </comment>
    <comment ref="D177" authorId="0" shapeId="0">
      <text>
        <r>
          <rPr>
            <sz val="10"/>
            <color rgb="FF000000"/>
            <rFont val="Arial"/>
            <charset val="1"/>
          </rPr>
          <t>======
ID#AAABj5x5K9Y
    (2025-05-20 16:59:22)
Informar o valor unitário estimado para aquisição de cada EPI</t>
        </r>
      </text>
    </comment>
    <comment ref="C178" authorId="0" shapeId="0">
      <text>
        <r>
          <rPr>
            <sz val="10"/>
            <color rgb="FF000000"/>
            <rFont val="Arial"/>
            <charset val="1"/>
          </rPr>
          <t>======
ID#AAABj5x5K64
    (2025-05-20 16:59:22)
Informar a durabilidade estimada em meses, para cada EPI</t>
        </r>
      </text>
    </comment>
    <comment ref="D178" authorId="0" shapeId="0">
      <text>
        <r>
          <rPr>
            <sz val="10"/>
            <color rgb="FF000000"/>
            <rFont val="Arial"/>
            <charset val="1"/>
          </rPr>
          <t>======
ID#AAABj5x5Lds
    (2025-05-20 16:59:22)
Informar o valor unitário estimado para aquisição de cada EPI</t>
        </r>
      </text>
    </comment>
    <comment ref="C179" authorId="0" shapeId="0">
      <text>
        <r>
          <rPr>
            <sz val="10"/>
            <color rgb="FF000000"/>
            <rFont val="Arial"/>
            <charset val="1"/>
          </rPr>
          <t>======
ID#AAABj5x5LLY
    (2025-05-20 16:59:22)
Informar a durabilidade estimada em meses, para cada EPI</t>
        </r>
      </text>
    </comment>
    <comment ref="D179" authorId="0" shapeId="0">
      <text>
        <r>
          <rPr>
            <sz val="10"/>
            <color rgb="FF000000"/>
            <rFont val="Arial"/>
            <charset val="1"/>
          </rPr>
          <t>======
ID#AAABj5x5LJo
    (2025-05-20 16:59:22)
Informar o valor unitário estimado para aquisição de cada EPI</t>
        </r>
      </text>
    </comment>
    <comment ref="C180" authorId="0" shapeId="0">
      <text>
        <r>
          <rPr>
            <sz val="10"/>
            <color rgb="FF000000"/>
            <rFont val="Arial"/>
            <charset val="1"/>
          </rPr>
          <t>======
ID#AAABj5x5K8s
    (2025-05-20 16:59:22)
Informar a durabilidade estimada em meses, para cada EPI</t>
        </r>
      </text>
    </comment>
    <comment ref="D180" authorId="0" shapeId="0">
      <text>
        <r>
          <rPr>
            <sz val="10"/>
            <color rgb="FF000000"/>
            <rFont val="Arial"/>
            <charset val="1"/>
          </rPr>
          <t>======
ID#AAABj5x5LOM
    (2025-05-20 16:59:22)
Informar o valor unitário estimado para aquisição de cada EPI</t>
        </r>
      </text>
    </comment>
    <comment ref="C181" authorId="0" shapeId="0">
      <text>
        <r>
          <rPr>
            <sz val="10"/>
            <color rgb="FF000000"/>
            <rFont val="Arial"/>
            <charset val="1"/>
          </rPr>
          <t>======
ID#AAABj5x5Lx0
    (2025-05-20 16:59:23)
Informar a durabilidade estimada em meses, para cada EPI</t>
        </r>
      </text>
    </comment>
    <comment ref="D181" authorId="0" shapeId="0">
      <text>
        <r>
          <rPr>
            <sz val="10"/>
            <color rgb="FF000000"/>
            <rFont val="Arial"/>
            <charset val="1"/>
          </rPr>
          <t>======
ID#AAABj5x5LXY
    (2025-05-20 16:59:22)
Informar o valor unitário estimado para aquisição de cada EPI</t>
        </r>
      </text>
    </comment>
    <comment ref="C182" authorId="0" shapeId="0">
      <text>
        <r>
          <rPr>
            <sz val="10"/>
            <color rgb="FF000000"/>
            <rFont val="Arial"/>
            <charset val="1"/>
          </rPr>
          <t>======
ID#AAABj5x5LZw
    (2025-05-20 16:59:22)
Informar a durabilidade estimada em meses, para cada EPI</t>
        </r>
      </text>
    </comment>
    <comment ref="D182" authorId="0" shapeId="0">
      <text>
        <r>
          <rPr>
            <sz val="10"/>
            <color rgb="FF000000"/>
            <rFont val="Arial"/>
            <charset val="1"/>
          </rPr>
          <t>======
ID#AAABj5x5Lc4
    (2025-05-20 16:59:22)
Informar o valor unitário estimado para aquisição de cada EPI</t>
        </r>
      </text>
    </comment>
    <comment ref="C189" authorId="0" shapeId="0">
      <text>
        <r>
          <rPr>
            <sz val="10"/>
            <color rgb="FF000000"/>
            <rFont val="Arial"/>
            <charset val="1"/>
          </rPr>
          <t>======
ID#AAABj5x5K54
    (2025-05-20 16:59:22)
Informar a durabilidade estimada em meses, para cada EPI</t>
        </r>
      </text>
    </comment>
    <comment ref="D189" authorId="0" shapeId="0">
      <text>
        <r>
          <rPr>
            <sz val="10"/>
            <color rgb="FF000000"/>
            <rFont val="Arial"/>
            <charset val="1"/>
          </rPr>
          <t>======
ID#AAABj5x5LeY
    (2025-05-20 16:59:22)
Informar o valor unitário estimado para aquisição de cada EPI</t>
        </r>
      </text>
    </comment>
    <comment ref="C190" authorId="0" shapeId="0">
      <text>
        <r>
          <rPr>
            <sz val="10"/>
            <color rgb="FF000000"/>
            <rFont val="Arial"/>
            <charset val="1"/>
          </rPr>
          <t>======
ID#AAABj5x5LvM
    (2025-05-20 16:59:23)
Informar a durabilidade estimada em meses, para cada EPI</t>
        </r>
      </text>
    </comment>
    <comment ref="D190" authorId="0" shapeId="0">
      <text>
        <r>
          <rPr>
            <sz val="10"/>
            <color rgb="FF000000"/>
            <rFont val="Arial"/>
            <charset val="1"/>
          </rPr>
          <t>======
ID#AAABj5x5Lig
    (2025-05-20 16:59:23)
Informar o valor unitário estimado para aquisição de cada EPI</t>
        </r>
      </text>
    </comment>
    <comment ref="C191" authorId="0" shapeId="0">
      <text>
        <r>
          <rPr>
            <sz val="10"/>
            <color rgb="FF000000"/>
            <rFont val="Arial"/>
            <charset val="1"/>
          </rPr>
          <t>======
ID#AAABj5x5LeE
    (2025-05-20 16:59:22)
Informar a durabilidade estimada em meses, para cada EPI</t>
        </r>
      </text>
    </comment>
    <comment ref="D191" authorId="0" shapeId="0">
      <text>
        <r>
          <rPr>
            <sz val="10"/>
            <color rgb="FF000000"/>
            <rFont val="Arial"/>
            <charset val="1"/>
          </rPr>
          <t>======
ID#AAABj5x5Lso
    (2025-05-20 16:59:23)
Informar o valor unitário estimado para aquisição de cada EPI</t>
        </r>
      </text>
    </comment>
    <comment ref="C192" authorId="0" shapeId="0">
      <text>
        <r>
          <rPr>
            <sz val="10"/>
            <color rgb="FF000000"/>
            <rFont val="Arial"/>
            <charset val="1"/>
          </rPr>
          <t>======
ID#AAABj5x5LXo
    (2025-05-20 16:59:22)
Informar a durabilidade estimada em meses, para cada EPI</t>
        </r>
      </text>
    </comment>
    <comment ref="D192" authorId="0" shapeId="0">
      <text>
        <r>
          <rPr>
            <sz val="10"/>
            <color rgb="FF000000"/>
            <rFont val="Arial"/>
            <charset val="1"/>
          </rPr>
          <t>======
ID#AAABj5x5LiQ
    (2025-05-20 16:59:23)
Informar o valor unitário estimado para aquisição de cada EPI</t>
        </r>
      </text>
    </comment>
    <comment ref="C193" authorId="0" shapeId="0">
      <text>
        <r>
          <rPr>
            <sz val="10"/>
            <color rgb="FF000000"/>
            <rFont val="Arial"/>
            <charset val="1"/>
          </rPr>
          <t>======
ID#AAABj5x5Li4
    (2025-05-20 16:59:23)
Informar a durabilidade estimada em meses, para cada EPI</t>
        </r>
      </text>
    </comment>
    <comment ref="D193" authorId="0" shapeId="0">
      <text>
        <r>
          <rPr>
            <sz val="10"/>
            <color rgb="FF000000"/>
            <rFont val="Arial"/>
            <charset val="1"/>
          </rPr>
          <t>======
ID#AAABj5x5LUo
    (2025-05-20 16:59:22)
Informar o valor unitário estimado para aquisição de cada EPI</t>
        </r>
      </text>
    </comment>
    <comment ref="D205" authorId="0" shapeId="0">
      <text>
        <r>
          <rPr>
            <sz val="10"/>
            <color rgb="FF000000"/>
            <rFont val="Arial"/>
            <charset val="1"/>
          </rPr>
          <t>======
ID#AAABj5x5LUk
    (2025-05-20 16:59:22)
Informar o preço unitário do chassis do caminhão de coleta</t>
        </r>
      </text>
    </comment>
    <comment ref="C206" authorId="0" shapeId="0">
      <text>
        <r>
          <rPr>
            <sz val="10"/>
            <color rgb="FF000000"/>
            <rFont val="Arial"/>
            <charset val="1"/>
          </rPr>
          <t>======
ID#AAABj5x5LXE
    (2025-05-20 16:59:22)
Informar a vida útil estimada para o caminhão, em anos</t>
        </r>
      </text>
    </comment>
    <comment ref="C207" authorId="0" shapeId="0">
      <text>
        <r>
          <rPr>
            <sz val="10"/>
            <color rgb="FF000000"/>
            <rFont val="Arial"/>
            <charset val="1"/>
          </rPr>
          <t>======
ID#AAABj5x5Lw4
    (2025-05-20 16:59:23)
Na elaboração do orçamento-base da licitação, informar 0 (zero). Na proposta da licitante, informar a idade do veículo proposto.</t>
        </r>
      </text>
    </comment>
    <comment ref="C208" authorId="0" shapeId="0">
      <text>
        <r>
          <rPr>
            <sz val="10"/>
            <color rgb="FF000000"/>
            <rFont val="Arial"/>
            <charset val="1"/>
          </rPr>
          <t>======
ID#AAABj5x5LNk
    (2025-05-20 16:59:22)
Informar o valor da depreciação do caminhão, adotando o valor sugerido pelo TCE ou outro valor estimado</t>
        </r>
      </text>
    </comment>
    <comment ref="C211" authorId="0" shapeId="0">
      <text>
        <r>
          <rPr>
            <sz val="10"/>
            <color rgb="FF000000"/>
            <rFont val="Arial"/>
            <charset val="1"/>
          </rPr>
          <t>======
ID#AAABj5x5Ln0
    (2025-05-20 16:59:23)
Informar a quantidade de caminhões compactadores do respectivo modelo</t>
        </r>
      </text>
    </comment>
    <comment ref="C217" authorId="0" shapeId="0">
      <text>
        <r>
          <rPr>
            <sz val="10"/>
            <color rgb="FF000000"/>
            <rFont val="Arial"/>
            <charset val="1"/>
          </rPr>
          <t>======
ID#AAABj5x5LNo
    (2025-05-20 16:59:22)
Informar a taxa de juros anual para remuneração do capital. Recomenda-se o uso da Taxa SELIC</t>
        </r>
      </text>
    </comment>
    <comment ref="D228" authorId="0" shapeId="0">
      <text>
        <r>
          <rPr>
            <sz val="10"/>
            <color rgb="FF000000"/>
            <rFont val="Arial"/>
            <charset val="1"/>
          </rPr>
          <t>======
ID#AAABj5x5LzE
    (2025-05-20 16:59:23)
Informar o valor do seguro obrigatório e licenciamento anual de um caminhão</t>
        </r>
      </text>
    </comment>
    <comment ref="D229" authorId="0" shapeId="0">
      <text>
        <r>
          <rPr>
            <sz val="10"/>
            <color rgb="FF000000"/>
            <rFont val="Arial"/>
            <charset val="1"/>
          </rPr>
          <t>======
ID#AAABj5x5K-Y
    (2025-05-20 16:59:22)
Informar o valor do seguro contra terceiros de um caminhão, se houver previsão no Projeto Básico</t>
        </r>
      </text>
    </comment>
    <comment ref="B235" authorId="0" shapeId="0">
      <text>
        <r>
          <rPr>
            <sz val="10"/>
            <color rgb="FF000000"/>
            <rFont val="Arial"/>
            <charset val="1"/>
          </rPr>
          <t>======
ID#AAABj5x5LiU
    (2025-05-20 16:59:23)
Informar a quilometragem mensal percorrida, de acordo com o projeto básico</t>
        </r>
      </text>
    </comment>
    <comment ref="C239" authorId="0" shapeId="0">
      <text>
        <r>
          <rPr>
            <sz val="10"/>
            <color rgb="FF000000"/>
            <rFont val="Arial"/>
            <charset val="1"/>
          </rPr>
          <t>======
ID#AAABj5x5LX4
    (2025-05-20 16:59:22)
Informar o consumo estimado do veículo em km/l</t>
        </r>
      </text>
    </comment>
    <comment ref="D239" authorId="0" shapeId="0">
      <text>
        <r>
          <rPr>
            <sz val="10"/>
            <color rgb="FF000000"/>
            <rFont val="Arial"/>
            <charset val="1"/>
          </rPr>
          <t>======
ID#AAABj5x5LXI
    (2025-05-20 16:59:22)
Informar o preço unitário do combustivel</t>
        </r>
      </text>
    </comment>
    <comment ref="D245" authorId="0" shapeId="0">
      <text>
        <r>
          <rPr>
            <sz val="10"/>
            <color rgb="FF000000"/>
            <rFont val="Arial"/>
            <charset val="1"/>
          </rPr>
          <t>======
ID#AAABj5x5LbU
    (2025-05-20 16:59:22)
Informar o custo de manutenção em R$/km rodado</t>
        </r>
      </text>
    </comment>
    <comment ref="C250" authorId="0" shapeId="0">
      <text>
        <r>
          <rPr>
            <sz val="10"/>
            <color rgb="FF000000"/>
            <rFont val="Arial"/>
            <charset val="1"/>
          </rPr>
          <t>======
ID#AAABj5x5LPo
    (2025-05-20 16:59:22)
Informar a quantidade de pneus novos de 1 caminhão</t>
        </r>
      </text>
    </comment>
    <comment ref="D250" authorId="0" shapeId="0">
      <text>
        <r>
          <rPr>
            <sz val="10"/>
            <color rgb="FF000000"/>
            <rFont val="Arial"/>
            <charset val="1"/>
          </rPr>
          <t>======
ID#AAABj5x5Ll0
    (2025-05-20 16:59:23)
Informar o preço unitário de cada pneu</t>
        </r>
      </text>
    </comment>
    <comment ref="C251" authorId="0" shapeId="0">
      <text>
        <r>
          <rPr>
            <sz val="10"/>
            <color rgb="FF000000"/>
            <rFont val="Arial"/>
            <charset val="1"/>
          </rPr>
          <t>======
ID#AAABj5x5LQ4
    (2025-05-20 16:59:22)
Informar o número de recapagens por pneu</t>
        </r>
      </text>
    </comment>
    <comment ref="D252" authorId="0" shapeId="0">
      <text>
        <r>
          <rPr>
            <sz val="10"/>
            <color rgb="FF000000"/>
            <rFont val="Arial"/>
            <charset val="1"/>
          </rPr>
          <t>======
ID#AAABj5x5LxA
    (2025-05-20 16:59:23)
Informar o preço unitário de cada recapagem</t>
        </r>
      </text>
    </comment>
    <comment ref="C253" authorId="0" shapeId="0">
      <text>
        <r>
          <rPr>
            <sz val="10"/>
            <color rgb="FF000000"/>
            <rFont val="Arial"/>
            <charset val="1"/>
          </rPr>
          <t>======
ID#AAABj5x5LWo
    (2025-05-20 16:59:22)
Informar a durabilidade média dos pneus considerando todas as recapagens, em km</t>
        </r>
      </text>
    </comment>
    <comment ref="D261" authorId="0" shapeId="0">
      <text>
        <r>
          <rPr>
            <sz val="10"/>
            <color rgb="FF000000"/>
            <rFont val="Arial"/>
            <charset val="1"/>
          </rPr>
          <t>======
ID#AAABj5x5LJs
    (2025-05-20 16:59:22)
Informar o preço unitário do chassis do caminhão de coleta</t>
        </r>
      </text>
    </comment>
    <comment ref="C262" authorId="0" shapeId="0">
      <text>
        <r>
          <rPr>
            <sz val="10"/>
            <color rgb="FF000000"/>
            <rFont val="Arial"/>
            <charset val="1"/>
          </rPr>
          <t>======
ID#AAABj5x5LM0
    (2025-05-20 16:59:22)
Informar a vida útil estimada para o caminhão, em anos</t>
        </r>
      </text>
    </comment>
    <comment ref="C263" authorId="0" shapeId="0">
      <text>
        <r>
          <rPr>
            <sz val="10"/>
            <color rgb="FF000000"/>
            <rFont val="Arial"/>
            <charset val="1"/>
          </rPr>
          <t>======
ID#AAABj5x5Lfo
    (2025-05-20 16:59:22)
Na elaboração do orçamento-base da licitação, informar 0 (zero). Na proposta da licitante, informar a idade do veículo proposto.</t>
        </r>
      </text>
    </comment>
    <comment ref="C264" authorId="0" shapeId="0">
      <text>
        <r>
          <rPr>
            <sz val="10"/>
            <color rgb="FF000000"/>
            <rFont val="Arial"/>
            <charset val="1"/>
          </rPr>
          <t>======
ID#AAABj5x5Lk0
    (2025-05-20 16:59:23)
Informar o valor da depreciação do caminhão, adotando o valor sugerido pelo TCE ou outro valor estimado</t>
        </r>
      </text>
    </comment>
    <comment ref="C267" authorId="0" shapeId="0">
      <text>
        <r>
          <rPr>
            <sz val="10"/>
            <color rgb="FF000000"/>
            <rFont val="Arial"/>
            <charset val="1"/>
          </rPr>
          <t>======
ID#AAABj5x5LgI
    (2025-05-20 16:59:22)
Informar a quantidade de caminhões compactadores do respectivo modelo</t>
        </r>
      </text>
    </comment>
    <comment ref="C273" authorId="0" shapeId="0">
      <text>
        <r>
          <rPr>
            <sz val="10"/>
            <color rgb="FF000000"/>
            <rFont val="Arial"/>
            <charset val="1"/>
          </rPr>
          <t>======
ID#AAABj5x5LX8
    (2025-05-20 16:59:22)
Informar a taxa de juros anual para remuneração do capital. Recomenda-se o uso da Taxa SELIC</t>
        </r>
      </text>
    </comment>
    <comment ref="D284" authorId="0" shapeId="0">
      <text>
        <r>
          <rPr>
            <sz val="10"/>
            <color rgb="FF000000"/>
            <rFont val="Arial"/>
            <charset val="1"/>
          </rPr>
          <t>======
ID#AAABj5x5K60
    (2025-05-20 16:59:22)
Informar o valor do seguro obrigatório e licenciamento anual de um caminhão</t>
        </r>
      </text>
    </comment>
    <comment ref="D285" authorId="0" shapeId="0">
      <text>
        <r>
          <rPr>
            <sz val="10"/>
            <color rgb="FF000000"/>
            <rFont val="Arial"/>
            <charset val="1"/>
          </rPr>
          <t>======
ID#AAABj5x5LOc
    (2025-05-20 16:59:22)
Informar o valor do seguro contra terceiros de um caminhão, se houver previsão no Projeto Básico</t>
        </r>
      </text>
    </comment>
    <comment ref="B291" authorId="0" shapeId="0">
      <text>
        <r>
          <rPr>
            <sz val="10"/>
            <color rgb="FF000000"/>
            <rFont val="Arial"/>
            <charset val="1"/>
          </rPr>
          <t>======
ID#AAABj5x5LiI
    (2025-05-20 16:59:23)
Informar a quilometragem mensal percorrida, de acordo com o projeto básico</t>
        </r>
      </text>
    </comment>
    <comment ref="C295" authorId="0" shapeId="0">
      <text>
        <r>
          <rPr>
            <sz val="10"/>
            <color rgb="FF000000"/>
            <rFont val="Arial"/>
            <charset val="1"/>
          </rPr>
          <t>======
ID#AAABj5x5Lj0
    (2025-05-20 16:59:23)
Informar o consumo estimado do veículo em km/l</t>
        </r>
      </text>
    </comment>
    <comment ref="D295" authorId="0" shapeId="0">
      <text>
        <r>
          <rPr>
            <sz val="10"/>
            <color rgb="FF000000"/>
            <rFont val="Arial"/>
            <charset val="1"/>
          </rPr>
          <t>======
ID#AAABj5x5Lgk
    (2025-05-20 16:59:22)
Informar o preço unitário do combustivel</t>
        </r>
      </text>
    </comment>
    <comment ref="D301" authorId="0" shapeId="0">
      <text>
        <r>
          <rPr>
            <sz val="10"/>
            <color rgb="FF000000"/>
            <rFont val="Arial"/>
            <charset val="1"/>
          </rPr>
          <t>======
ID#AAABj5x5LjU
    (2025-05-20 16:59:23)
Informar o custo de manutenção em R$/km rodado</t>
        </r>
      </text>
    </comment>
    <comment ref="C306" authorId="0" shapeId="0">
      <text>
        <r>
          <rPr>
            <sz val="10"/>
            <color rgb="FF000000"/>
            <rFont val="Arial"/>
            <charset val="1"/>
          </rPr>
          <t>======
ID#AAABj5x5K9g
    (2025-05-20 16:59:22)
Informar a quantidade de pneus novos de 1 caminhão</t>
        </r>
      </text>
    </comment>
    <comment ref="D306" authorId="0" shapeId="0">
      <text>
        <r>
          <rPr>
            <sz val="10"/>
            <color rgb="FF000000"/>
            <rFont val="Arial"/>
            <charset val="1"/>
          </rPr>
          <t>======
ID#AAABj5x5LzQ
    (2025-05-20 16:59:23)
Informar o preço unitário de cada pneu</t>
        </r>
      </text>
    </comment>
    <comment ref="C307" authorId="0" shapeId="0">
      <text>
        <r>
          <rPr>
            <sz val="10"/>
            <color rgb="FF000000"/>
            <rFont val="Arial"/>
            <charset val="1"/>
          </rPr>
          <t>======
ID#AAABj5x5Lmg
    (2025-05-20 16:59:23)
Informar o número de recapagens por pneu</t>
        </r>
      </text>
    </comment>
    <comment ref="D308" authorId="0" shapeId="0">
      <text>
        <r>
          <rPr>
            <sz val="10"/>
            <color rgb="FF000000"/>
            <rFont val="Arial"/>
            <charset val="1"/>
          </rPr>
          <t>======
ID#AAABj5x5LVY
    (2025-05-20 16:59:22)
Informar o preço unitário de cada recapagem</t>
        </r>
      </text>
    </comment>
    <comment ref="C309" authorId="0" shapeId="0">
      <text>
        <r>
          <rPr>
            <sz val="10"/>
            <color rgb="FF000000"/>
            <rFont val="Arial"/>
            <charset val="1"/>
          </rPr>
          <t>======
ID#AAABj5x5Lsk
    (2025-05-20 16:59:23)
Informar a durabilidade média dos pneus considerando todas as recapagens, em km</t>
        </r>
      </text>
    </comment>
    <comment ref="C322" authorId="0" shapeId="0">
      <text>
        <r>
          <rPr>
            <sz val="10"/>
            <color rgb="FF000000"/>
            <rFont val="Arial"/>
            <charset val="1"/>
          </rPr>
          <t>======
ID#AAABj5x5LsQ
    (2025-05-20 16:59:23)
Preencher a aba 4.BDI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C12" authorId="0" shapeId="0">
      <text>
        <r>
          <rPr>
            <sz val="10"/>
            <color rgb="FF000000"/>
            <rFont val="Arial"/>
            <charset val="1"/>
          </rPr>
          <t>======
ID#AAABj5x5K8U
    (2025-05-20 16:59:22)
Informar o % de Administração Central estimado</t>
        </r>
      </text>
    </comment>
    <comment ref="C13" authorId="0" shapeId="0">
      <text>
        <r>
          <rPr>
            <sz val="10"/>
            <color rgb="FF000000"/>
            <rFont val="Arial"/>
            <charset val="1"/>
          </rPr>
          <t>======
ID#AAABj5x5Lyk
    (2025-05-20 16:59:23)
Informar o % de Seguros, Riscos e Garantia estimado</t>
        </r>
      </text>
    </comment>
    <comment ref="C14" authorId="0" shapeId="0">
      <text>
        <r>
          <rPr>
            <sz val="10"/>
            <color rgb="FF000000"/>
            <rFont val="Arial"/>
            <charset val="1"/>
          </rPr>
          <t>======
ID#AAABj5x5LqU
    (2025-05-20 16:59:23)
Informar o % de Lucro estimado</t>
        </r>
      </text>
    </comment>
    <comment ref="E15" authorId="0" shapeId="0">
      <text>
        <r>
          <rPr>
            <sz val="10"/>
            <color rgb="FF000000"/>
            <rFont val="Arial"/>
            <charset val="1"/>
          </rPr>
          <t>======
ID#AAABj5x5LrY
    (2025-05-20 16:59:23)
Informar o valor anual da taxa financeira, em percentual. Admite-se utilizar a SELIC</t>
        </r>
      </text>
    </comment>
    <comment ref="C16" authorId="0" shapeId="0">
      <text>
        <r>
          <rPr>
            <sz val="10"/>
            <color rgb="FF000000"/>
            <rFont val="Arial"/>
            <charset val="1"/>
          </rPr>
          <t>======
ID#AAABj5x5LUc
    (2025-05-20 16:59:22)
Informar o percentual de ISS, de acordo com a legislação tributária do município onde serão prestados os serviços. De 2% até o limite de 5%.</t>
        </r>
      </text>
    </comment>
    <comment ref="E16" authorId="0" shapeId="0">
      <text>
        <r>
          <rPr>
            <sz val="10"/>
            <color rgb="FF000000"/>
            <rFont val="Arial"/>
            <charset val="1"/>
          </rPr>
          <t>======
ID#AAABj5x5Luw
    (2025-05-20 16:59:23)
Informar a média de dias úteis entre data de pagamento prevista no contrato e a data final do período de adimplemento da parcela</t>
        </r>
      </text>
    </comment>
    <comment ref="C17" authorId="0" shapeId="0">
      <text>
        <r>
          <rPr>
            <sz val="10"/>
            <color rgb="FF000000"/>
            <rFont val="Arial"/>
            <charset val="1"/>
          </rPr>
          <t>======
ID#AAABj5x5LrE
    (2025-05-20 16:59:23)
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<sst xmlns="http://schemas.openxmlformats.org/spreadsheetml/2006/main" count="2498" uniqueCount="555">
  <si>
    <t>SERVIÇOS TERMO DE REFERÊNCIA</t>
  </si>
  <si>
    <t>Item</t>
  </si>
  <si>
    <t>Descrição /Especificação do Objeto</t>
  </si>
  <si>
    <t>Unidade de Medida</t>
  </si>
  <si>
    <t>Quantidade mensal estimada</t>
  </si>
  <si>
    <t>Roçagem e capina manual e mecanizada de meios-fios, vias e logradouros públicos</t>
  </si>
  <si>
    <t>Km</t>
  </si>
  <si>
    <t>Varrição Manual de vias e logradouros públicos</t>
  </si>
  <si>
    <t>Referente aos dias trabalhados, está sendo considerado 52 semanas no ano (52 domingos e sábados por ano) e 10 feriados distribuídos ao longo dos 12 meses.</t>
  </si>
  <si>
    <t>Nos serviços que serão executados em sábados alternados, serão considerados 26 sábados por ano</t>
  </si>
  <si>
    <t>Tal recomendação do cálculo de dias segue as orientações do Manual para Análise de Serviços de Limpeza Urbana e Manejo de Resíduos Sólidos do TCE/GO</t>
  </si>
  <si>
    <t>EQUIPES</t>
  </si>
  <si>
    <t>Cargo/Função</t>
  </si>
  <si>
    <t>Roçada/Capina</t>
  </si>
  <si>
    <t>Varrição Manual</t>
  </si>
  <si>
    <t>Total</t>
  </si>
  <si>
    <t>Agente de Limpeza/Varredor</t>
  </si>
  <si>
    <t>Encarregado de Equipe</t>
  </si>
  <si>
    <t>Motorista Caminhão (Coletor)</t>
  </si>
  <si>
    <t>Motorista de Ônibus Urbano</t>
  </si>
  <si>
    <t>-</t>
  </si>
  <si>
    <t>Motorista Caminhão (Coletor) - Encarregado</t>
  </si>
  <si>
    <r>
      <rPr>
        <b/>
        <sz val="10"/>
        <color rgb="FF000000"/>
        <rFont val="Arial"/>
        <charset val="1"/>
      </rPr>
      <t>Motorista</t>
    </r>
    <r>
      <rPr>
        <sz val="10"/>
        <color rgb="FF000000"/>
        <rFont val="Arial"/>
        <charset val="1"/>
      </rPr>
      <t xml:space="preserve"> de Coleta e Entrega, </t>
    </r>
    <r>
      <rPr>
        <b/>
        <sz val="10"/>
        <color rgb="FF000000"/>
        <rFont val="Arial"/>
        <charset val="1"/>
      </rPr>
      <t>Operador</t>
    </r>
    <r>
      <rPr>
        <sz val="10"/>
        <color rgb="FF000000"/>
        <rFont val="Arial"/>
        <charset val="1"/>
      </rPr>
      <t xml:space="preserve"> de Empilhadeira, Guincho e “Operador de máquina Rodoviária” - </t>
    </r>
    <r>
      <rPr>
        <b/>
        <sz val="10"/>
        <color rgb="FF000000"/>
        <rFont val="Arial"/>
        <charset val="1"/>
      </rPr>
      <t>Minicarregadeira e Capinadeira</t>
    </r>
  </si>
  <si>
    <t>Encarregado Geral</t>
  </si>
  <si>
    <t>Gerente Geral</t>
  </si>
  <si>
    <t>Téc.Seg.do Trabalho</t>
  </si>
  <si>
    <t>Responsável Técnico</t>
  </si>
  <si>
    <t>* 01(um) Agente de Limpeza será ajudante do motorista do caminhão carroceria responsável pela coleta dos resíduos da varrição.</t>
  </si>
  <si>
    <t>VEÍCULOS E EQUIPAMENTOS</t>
  </si>
  <si>
    <t>1) Cálculo do Custo com Combustível e Lubrificantes</t>
  </si>
  <si>
    <t>Conforme metodologia utilizada pelo DNIT através do CADERNO TÉCNICO PARÂMETROS DE EQUIPAMENTOSDO SICRO, é realizado o cálculo do Custo Horário (Cc) de combustíveis, lubrificantes, filtros e graxas de veículos e equipamentos, a partir da fórmula abaixo:</t>
  </si>
  <si>
    <t>Cc = P*Fc*Vc, sendo:</t>
  </si>
  <si>
    <r>
      <rPr>
        <sz val="10"/>
        <color rgb="FF000000"/>
        <rFont val="Arial"/>
        <charset val="1"/>
      </rPr>
      <t xml:space="preserve">Cc = representa o custo horário de combustíveis, lubrificantes, filtros e graxas (R$/h) – </t>
    </r>
    <r>
      <rPr>
        <b/>
        <sz val="10"/>
        <color rgb="FFFF0000"/>
        <rFont val="Arial"/>
        <charset val="1"/>
      </rPr>
      <t>será calculado nas planilhas de orçamento de cada serviço, em virtude da variação do tipo de combustível</t>
    </r>
  </si>
  <si>
    <t>P representa a potência do motor em kW</t>
  </si>
  <si>
    <t>Fc representa o coeficiente de consumo (l/kWh ou kWh/kWh)</t>
  </si>
  <si>
    <r>
      <rPr>
        <sz val="10"/>
        <color rgb="FF000000"/>
        <rFont val="Arial"/>
        <charset val="1"/>
      </rPr>
      <t xml:space="preserve">Vc representa o valor do combustível(R$) - </t>
    </r>
    <r>
      <rPr>
        <b/>
        <sz val="10"/>
        <color rgb="FFCE181E"/>
        <rFont val="Arial"/>
        <charset val="1"/>
      </rPr>
      <t>será inserido na planilha do orçamento de cada serviço, em virtude da variação do tipo de combustível</t>
    </r>
  </si>
  <si>
    <t>Combustível dia 23/05</t>
  </si>
  <si>
    <t>Como o cálculo do custo na planilha de orçamento é R$/mês com os combustíveis, lubrificantes, filtros e graxas, nesta aba será calculado um fator de consumo no mês destes insumos, e nas abas de orçamento dos serviços, este fator de consumo mensal será multiplicado pelo preço do combustível, redundando no Custo Mensal</t>
  </si>
  <si>
    <t>2) Cálculo do Custo com Manutenção</t>
  </si>
  <si>
    <t>Conforme consta no "Manual para Análise de Serviços de Limpeza Urbana e Manejo de Resíduos Sólidos" do TCE/GO (2017), nas páginas 116 e 117, o Custo de Manutenção (CM) dos equipamentos pode ser determinado pela seguinte expressão:</t>
  </si>
  <si>
    <t>CM = VN*K/ VU*12, sendo:</t>
  </si>
  <si>
    <t>VN = valor do veículo novo (R$)</t>
  </si>
  <si>
    <t>VU - vida útil veículo novo (anos)</t>
  </si>
  <si>
    <t>K - coeficiente de proporcionalidade para manutenção</t>
  </si>
  <si>
    <t>O CM será inserido nas abas de orçamento dos serviços através da fórmula acima, e pegando os dados VN, VU e K da tabela abaixo</t>
  </si>
  <si>
    <t>Equipe</t>
  </si>
  <si>
    <t>Veículo descrição Termo Referência</t>
  </si>
  <si>
    <t>Descrição Veículo e Equipamentos Consulta de Preço</t>
  </si>
  <si>
    <t>Fonte</t>
  </si>
  <si>
    <t>Valor</t>
  </si>
  <si>
    <t>Quantidade</t>
  </si>
  <si>
    <t>Vida útil</t>
  </si>
  <si>
    <t>Valor Residual (%)</t>
  </si>
  <si>
    <t>Coeficiente Manutenção</t>
  </si>
  <si>
    <t>Fc - Coeficiente de Consumo (l/Kwh)</t>
  </si>
  <si>
    <t>P - Potência (Kwh)</t>
  </si>
  <si>
    <t>Horas de uso estimada (h/dia)</t>
  </si>
  <si>
    <t>Nº Dias Trabalhados/Mês</t>
  </si>
  <si>
    <t>Consumo Mês (Litros/Mês)</t>
  </si>
  <si>
    <t>Consumo Mês (Litros/Mês) p/ Frota</t>
  </si>
  <si>
    <t>Capina e Roçada</t>
  </si>
  <si>
    <t xml:space="preserve">3.1 Caminhão Basculante com capacidade de 6m³ – Pot. Min. 136 Kw (185CV) </t>
  </si>
  <si>
    <t>Caminhão Basculante com capacidade de 6m³ – Min. 136 Kw (185CV)</t>
  </si>
  <si>
    <t>SMLC (DFPO)</t>
  </si>
  <si>
    <t xml:space="preserve">3.2 Retroescavadeira sobre rodas com carregadeira, tração 4x4, potência líq. 88 HP </t>
  </si>
  <si>
    <t>Retroescavadeira sobre rodas com carregadeira, tração 4x4, potência líq. 88 HP</t>
  </si>
  <si>
    <t>SMSZU</t>
  </si>
  <si>
    <t>3.5 Veículo para transporte de pessoal (ônibus) – Mín. 20 lugares</t>
  </si>
  <si>
    <t>VOLARE ATT. 8 LONGO EXECUTIVO (die) (E6)</t>
  </si>
  <si>
    <t>tabela Fipe - código: 508092-4</t>
  </si>
  <si>
    <t xml:space="preserve">3.6 Roçadeira Costal/Lateral, Pot. Min 4 HP, a Gasolina </t>
  </si>
  <si>
    <t>Roçadeira Costal/Lateral, Pot. Min 4 HP, a Gasolina</t>
  </si>
  <si>
    <t xml:space="preserve">3.7 Soprador Costal, Pot. Min 3,48 HP </t>
  </si>
  <si>
    <t>Soprador Costal, Pot. Min 3,48 HP</t>
  </si>
  <si>
    <t>3.3 Trator Capinadeira Pot. Min 85 CV equipado com 01 capinadeira/Vassoura Mecânica</t>
  </si>
  <si>
    <t>Trator de Pneus com potência Min. de 85 CV</t>
  </si>
  <si>
    <t>Vassoura Mecânica Rebocável com Escova Cilíndrica Largura Útil de Varrimentop b = 2,44m</t>
  </si>
  <si>
    <t>SINAPI - Insumo 00013726</t>
  </si>
  <si>
    <t xml:space="preserve">3.4 Trator Capinadeira Pot. Min 85 CV equipado com 02 capinadeira/Vassoura Mecânica (ambos os lados) </t>
  </si>
  <si>
    <t xml:space="preserve">3.1 Caminhão toco, carga útil máx 9480 kg, potência mínima 185 CV, com carroceria fixa, aberta, de madeira, para transporte geral de carga seca, com dimensões aproximadas de 2,50 x 6,50 x 0,50 m </t>
  </si>
  <si>
    <t>CAMINHAO TOCO, PESO BRUTO TOTAL 14300 KG, CARGA UTIL MAXIMA 9480 KG, DISTANCIA ENTRE EIXOS 4,80 M, POTENCIA 185 CV (INCLUI CABINE E CHASSI, NAO INCLUI CARROCERIA)</t>
  </si>
  <si>
    <t xml:space="preserve">SINAPI - Insumo 00037754 </t>
  </si>
  <si>
    <t>CARROCERIA FIXA ABERTA DE MADEIRA PARA TRANSPORTE GERAL DE CARGA SECA DIMENSOES APROXIMADAS 2,5 X 6,5 X 0,50 M (INCLUI MONTAGEM, NAO INCLUI CAMINHAO)</t>
  </si>
  <si>
    <t>SINAPI - Insumo 00037730</t>
  </si>
  <si>
    <t>Administração Geral (Equipe Técnica)</t>
  </si>
  <si>
    <t xml:space="preserve">3.1 Veículo Tipo Passeio 1.0, a Gasolina – 5 passageiros </t>
  </si>
  <si>
    <t xml:space="preserve">Veículo Tipo Passeio 1.0, a Gasolina – 5 passageiros </t>
  </si>
  <si>
    <t>SMLC (DFPO) – FIPE</t>
  </si>
  <si>
    <t>3.2 Veículo Utilitário Picape, cabine Simples 1.6, 16V - Gasolina</t>
  </si>
  <si>
    <t>Veículo Utilitário Picape, cabine Simples 1.6, 16V – Gasolina</t>
  </si>
  <si>
    <t>FERRAMENTAS E INSUMOS</t>
  </si>
  <si>
    <t>Equipamentos e Insumos (estimado)</t>
  </si>
  <si>
    <t>Item - unid. de Medida</t>
  </si>
  <si>
    <t>Quantidade/ano</t>
  </si>
  <si>
    <t>Quantidade/mês</t>
  </si>
  <si>
    <t>Unidade</t>
  </si>
  <si>
    <t>Custo/unid. de Medida</t>
  </si>
  <si>
    <t>Fonte Quantittivo estimado</t>
  </si>
  <si>
    <t>Roçada e Capina</t>
  </si>
  <si>
    <t>Enxada larga 2.5, cabo de madeira aprox. 1,40 m</t>
  </si>
  <si>
    <t>Unid.</t>
  </si>
  <si>
    <t>Anexo Pesquisa de Preços Ferramentas e Isumos</t>
  </si>
  <si>
    <t>Manual de Limpeza Urbana - TCE/GO</t>
  </si>
  <si>
    <t>Pá reta</t>
  </si>
  <si>
    <t>Vassoura de aço (rastelo)</t>
  </si>
  <si>
    <t>Vassourão gari cabo inclinado mínimo 1,40 m, cerdas de nylon de no mínimo 4” (10,16 cm).</t>
  </si>
  <si>
    <t>Fio de Nylon - roçadeiras</t>
  </si>
  <si>
    <t>Metro</t>
  </si>
  <si>
    <t>Dados da fiscalização de contrato nº 496/2018</t>
  </si>
  <si>
    <t>Varrição</t>
  </si>
  <si>
    <t>Vassoura de cabo reto tipo gari, cerdas de 12 cm de nylon</t>
  </si>
  <si>
    <t>Pá de lixo metálica com cabo</t>
  </si>
  <si>
    <t>Saco de lixo 100 litros - 12 micras</t>
  </si>
  <si>
    <t>Carrinho para varrição (lutocares)</t>
  </si>
  <si>
    <t>EPI'S e EPC</t>
  </si>
  <si>
    <t>A) ROÇADA E CAPINA MANUAL E MECANIZADA</t>
  </si>
  <si>
    <t>Item (EPI’s e EPC’s) por posto</t>
  </si>
  <si>
    <t>Agente de Limpeza</t>
  </si>
  <si>
    <t>Motorista Caminhão</t>
  </si>
  <si>
    <t>Motorista Ônibus</t>
  </si>
  <si>
    <t>Encarregado</t>
  </si>
  <si>
    <t>Op. Máquina</t>
  </si>
  <si>
    <t>Total Anual</t>
  </si>
  <si>
    <t>Total Mês</t>
  </si>
  <si>
    <t>Unit.</t>
  </si>
  <si>
    <t>Total (x80)</t>
  </si>
  <si>
    <t>Total (x4)</t>
  </si>
  <si>
    <t>Total (x7)</t>
  </si>
  <si>
    <t>Jaqueta com refletivo (NBR 15.292)</t>
  </si>
  <si>
    <t>Calça de brim pesado profissional com refletivo</t>
  </si>
  <si>
    <t>Camiseta básica, malha fria PV com faixa refletiva, manga curta</t>
  </si>
  <si>
    <t>Camiseta básica, malha fria PV com faixa refletiva, manga longa</t>
  </si>
  <si>
    <t>Boné</t>
  </si>
  <si>
    <t>Óculos de Proteção</t>
  </si>
  <si>
    <t>Protetor Auricular Plug silicone</t>
  </si>
  <si>
    <t>Capa de Chuva com refletivo</t>
  </si>
  <si>
    <t>Colete de Segurança Refletivo tipo “X”</t>
  </si>
  <si>
    <t>Luvas de Algodão Pigmentada</t>
  </si>
  <si>
    <t>Protetor Solar (FPS 50) - 200ml</t>
  </si>
  <si>
    <t>Botina de segurança em raspa com biqueira plástica</t>
  </si>
  <si>
    <t>Perneira de proteção 3 talas, com velcro</t>
  </si>
  <si>
    <t>Cone de Sinalização</t>
  </si>
  <si>
    <t>EPC</t>
  </si>
  <si>
    <t>Redes de Proteção</t>
  </si>
  <si>
    <t>Fonte quantitativo: Manual  Limpeza Urbana - TCE/GO</t>
  </si>
  <si>
    <t>B) VARRIÇÃO</t>
  </si>
  <si>
    <t>Total (x60)</t>
  </si>
  <si>
    <t>Total (x2)</t>
  </si>
  <si>
    <t>Total (x1)</t>
  </si>
  <si>
    <t>Protetor Auricular Plug Silicone</t>
  </si>
  <si>
    <t>Protetor Solar (FPS 50) – 200ml</t>
  </si>
  <si>
    <t>C) EQUIPE TÉCNICA</t>
  </si>
  <si>
    <t>Téc. Seg. Trabalho</t>
  </si>
  <si>
    <t>Engenheiro</t>
  </si>
  <si>
    <t>Fonte: Informação repassapada pela contratada a fiscalização do contrato</t>
  </si>
  <si>
    <t>D) CUSTO EPI E EPC</t>
  </si>
  <si>
    <t>Tipo</t>
  </si>
  <si>
    <t>Valor Unitário</t>
  </si>
  <si>
    <t>EPI</t>
  </si>
  <si>
    <t>par</t>
  </si>
  <si>
    <t>G) RASTREAMENTO DE FROTA POR GPS</t>
  </si>
  <si>
    <t>Serviço - Insumo</t>
  </si>
  <si>
    <t>R$/Unid.</t>
  </si>
  <si>
    <t>Data Base Pesquisa</t>
  </si>
  <si>
    <t>INSTALAÇÃO DO SISTEMA INCL. IDENTIFICADOR DE MOTORISTA POR I-BUTTON</t>
  </si>
  <si>
    <t>EMBASA - F039722414</t>
  </si>
  <si>
    <t>SERVIÇO DE RASTREAMENTO POR GPS, INCL. MONITORAMENTO E GESTÃO DE FROTA</t>
  </si>
  <si>
    <t>Mês</t>
  </si>
  <si>
    <t>EMBASA - F039722412</t>
  </si>
  <si>
    <t>Orientações para preenchimento: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</si>
  <si>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</si>
  <si>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</si>
  <si>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2. Antes de preenchê-la, leia a Orientação Técnica - Serviço de coleta de resíduos sólidos domiciliares</t>
  </si>
  <si>
    <t>3. Preencher somente células em amarelo</t>
  </si>
  <si>
    <t>4. As células azuis deverão ter seus valores preenchidos em outra planilha do arquivo.</t>
  </si>
  <si>
    <t>O TCE/RS não se responsabiliza pelo uso incorreto desta planilha.</t>
  </si>
  <si>
    <t>O orçamento deve ser realizado por responsável técnico habilitado e é de responsabilidade do seu autor.</t>
  </si>
  <si>
    <t xml:space="preserve">1. Capina e Roçada Mecanizada </t>
  </si>
  <si>
    <t>Planilha de Composição de Custos</t>
  </si>
  <si>
    <t>Orçamento Sintético</t>
  </si>
  <si>
    <t>Descrição do Item</t>
  </si>
  <si>
    <t>Custo (R$/mês)</t>
  </si>
  <si>
    <t>%</t>
  </si>
  <si>
    <t xml:space="preserve">     3.1.1. Depreciação     </t>
  </si>
  <si>
    <t xml:space="preserve">     3.1.2. Remuneração do Capital     </t>
  </si>
  <si>
    <t xml:space="preserve">     3.2.1. Depreciação     </t>
  </si>
  <si>
    <t xml:space="preserve">     3.2.2. Remuneração do Capital     </t>
  </si>
  <si>
    <t>3.3. Trator Capinadeira 85 CV equipado com 01 capinadeira/Vassoura Mecânica.</t>
  </si>
  <si>
    <t xml:space="preserve">     3.3.1. Depreciação     </t>
  </si>
  <si>
    <t xml:space="preserve">     3.3.2. Remuneração do Capital     </t>
  </si>
  <si>
    <t>3.4. Trator Capinadeira 85 CV equipado com 02 capinadeiras/Vassoura Mecânicas.</t>
  </si>
  <si>
    <t xml:space="preserve">     3.4.1. Depreciação     </t>
  </si>
  <si>
    <t xml:space="preserve">     3.4.2. Remuneração do Capital     </t>
  </si>
  <si>
    <t>PREÇO TOTAL MENSAL COM A COLETA</t>
  </si>
  <si>
    <t>Quantitativos</t>
  </si>
  <si>
    <t>Mão-de-obra</t>
  </si>
  <si>
    <t>Total de mão-de-obra (postos de trabalho)</t>
  </si>
  <si>
    <t>Veículos e Equipamentos</t>
  </si>
  <si>
    <t>Total de Veículos e Equipamentos</t>
  </si>
  <si>
    <t>Fator de utilização (FU)</t>
  </si>
  <si>
    <t>1. Mão-de-obra</t>
  </si>
  <si>
    <t>1.1. Operários/Agentes de Limpeza</t>
  </si>
  <si>
    <t>Discriminação</t>
  </si>
  <si>
    <t>Custo unitário</t>
  </si>
  <si>
    <t>Subtotal</t>
  </si>
  <si>
    <r>
      <rPr>
        <b/>
        <sz val="9"/>
        <color rgb="FF000000"/>
        <rFont val="Arial"/>
        <charset val="1"/>
      </rPr>
      <t xml:space="preserve">Total </t>
    </r>
    <r>
      <rPr>
        <b/>
        <u/>
        <sz val="9"/>
        <color rgb="FF000000"/>
        <rFont val="Arial"/>
        <charset val="1"/>
      </rPr>
      <t>(R$)</t>
    </r>
  </si>
  <si>
    <t>https://seeac-rs.com.br/arquivos/2026.pdf</t>
  </si>
  <si>
    <t>Piso da categoria</t>
  </si>
  <si>
    <t>mês</t>
  </si>
  <si>
    <t>CBO: 6220</t>
  </si>
  <si>
    <t>Adicional de Insalubridade</t>
  </si>
  <si>
    <t>Insalubridade: Estabelecido em convenção coletiva</t>
  </si>
  <si>
    <t>Soma</t>
  </si>
  <si>
    <t>Encargos Sociais</t>
  </si>
  <si>
    <t>Total por Coletor</t>
  </si>
  <si>
    <t>Total do Efetivo</t>
  </si>
  <si>
    <t>homem</t>
  </si>
  <si>
    <t>Fator de utilização</t>
  </si>
  <si>
    <t>1.2. Encarregado de Equipe</t>
  </si>
  <si>
    <t>Fonte: salário.com</t>
  </si>
  <si>
    <t>1.3. Motorista Caminhão</t>
  </si>
  <si>
    <t>https://sinecarga.org.br/wp/wp-content/uploads/2025/05/ACT-2025-registrada.pdf</t>
  </si>
  <si>
    <t>Piso da categoria (2)</t>
  </si>
  <si>
    <t>Salário mínimo nacional (1)</t>
  </si>
  <si>
    <t>Base de cálculo da Insalubridade</t>
  </si>
  <si>
    <t>Total por Motorista</t>
  </si>
  <si>
    <t>1.4. Motorista Micro Ônibus Urbano</t>
  </si>
  <si>
    <t>https://sindirodosul.org.br/wp-content/uploads/2025/10/CONVENCAO-TURISMO-E-FRETAMENTO-2025.2026REGISTRADA.pdf</t>
  </si>
  <si>
    <t>1.5. Operador de Máquina Rodoviária (Minicarregadeira e Trator Capinadeira)</t>
  </si>
  <si>
    <t>1.6. Vale Transporte</t>
  </si>
  <si>
    <t>Vale Transporte</t>
  </si>
  <si>
    <t>R$</t>
  </si>
  <si>
    <t>Fonte: Valor passagem Sogal, antes da gratuidade</t>
  </si>
  <si>
    <t>Dias Trabalhados por mês</t>
  </si>
  <si>
    <t>dia</t>
  </si>
  <si>
    <t>dias trabalhados: fonte - Manual de Limpeza Urbana - TCE/GO</t>
  </si>
  <si>
    <t>vale</t>
  </si>
  <si>
    <t>1.7. Vale-refeição (diário)</t>
  </si>
  <si>
    <t>unidade</t>
  </si>
  <si>
    <t>** Vale Refeição (diário) do CBO: 6220 é R$ 27,15. Entretanto, valor da tabela já está com o desconto de 19% citado na convenção coletiva</t>
  </si>
  <si>
    <t>1.8. Auxílio Alimentação (mensal)</t>
  </si>
  <si>
    <t>1.9. Plano de Benefício Familiar (mensal)</t>
  </si>
  <si>
    <t>Custo Mensal com Mão-de-obra (R$/mês)</t>
  </si>
  <si>
    <t>2. Uniformes e Equipamentos de Proteção Individual</t>
  </si>
  <si>
    <t>2.1. Uniformes e EPIs para Operários/Agente de Limpeza</t>
  </si>
  <si>
    <t>Durabilidade (meses)</t>
  </si>
  <si>
    <t>2.2. Uniformes e EPIs para Encarregado de Equipe</t>
  </si>
  <si>
    <t>2.3. Uniformes e EPIs para Motorista Caminhão</t>
  </si>
  <si>
    <t>2.4. Uniformes e EPIs para Motorista Ônibus</t>
  </si>
  <si>
    <t>2.5. Uniformes e EPIs para Operador de Máquina Rodoviária (Minicarregadeira, Retroescavadeira e Trator Capinadeira)</t>
  </si>
  <si>
    <t>Custo Mensal com Uniformes e EPIs (R$/mês)</t>
  </si>
  <si>
    <t>3. Veículos e Equipamentos</t>
  </si>
  <si>
    <t>3.1 Caminhão Basculante com capacidade de 6m³ – Pot. Min. 136 Kw (185CV)</t>
  </si>
  <si>
    <t>3.1.1. Depreciação</t>
  </si>
  <si>
    <t>Custo de aquisição do chassis</t>
  </si>
  <si>
    <t>Vida útil do chassis</t>
  </si>
  <si>
    <t>anos</t>
  </si>
  <si>
    <t>Idade do veículo</t>
  </si>
  <si>
    <t>Depreciação do chassis</t>
  </si>
  <si>
    <t>Depreciação mensal caminhão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</si>
  <si>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</si>
  <si>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</si>
  <si>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</si>
  <si>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</si>
  <si>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</si>
  <si>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</si>
  <si>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</si>
  <si>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</si>
  <si>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3.1.3. Impostos e Seguros - Caminhão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</si>
  <si>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</si>
  <si>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</si>
  <si>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</si>
  <si>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</si>
  <si>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</si>
  <si>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</si>
  <si>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Fator de Consumo (litros/mês) para combustíveis, lubrificantes, filtros e graxas calculados pelo coeficiente de consumo, para toda a frota</t>
  </si>
  <si>
    <t>Consumo</t>
  </si>
  <si>
    <t>Custo de óleo diesel</t>
  </si>
  <si>
    <t>Litro</t>
  </si>
  <si>
    <t>Custo mensal com combustíveis, lubrificantes, filtros e graxas</t>
  </si>
  <si>
    <t>R$/mês</t>
  </si>
  <si>
    <t>3.1.5. Manutenção</t>
  </si>
  <si>
    <t>K/(VU*12)</t>
  </si>
  <si>
    <t>Valor do Veículo Novo (VN)</t>
  </si>
  <si>
    <t>Custo de manutenção (CM)</t>
  </si>
  <si>
    <t>3.1.6. Pneus</t>
  </si>
  <si>
    <t>Custo do jogo de pneus</t>
  </si>
  <si>
    <t>Número de recapagens por pneu</t>
  </si>
  <si>
    <t>Custo de recapagem</t>
  </si>
  <si>
    <t>Custo jg. compl. + 1 recap./ km rodado</t>
  </si>
  <si>
    <t>km/jogo</t>
  </si>
  <si>
    <t>Custo mensal com pneus</t>
  </si>
  <si>
    <t>km</t>
  </si>
  <si>
    <t>3.1.7. Monitoramento da Frota</t>
  </si>
  <si>
    <t>Total (R$)</t>
  </si>
  <si>
    <t>Instalação dos equipamentos de monitoramento</t>
  </si>
  <si>
    <t>cj</t>
  </si>
  <si>
    <t>Custo mensal da instalação</t>
  </si>
  <si>
    <t>Serviço de Rastreamento por GPS, incluso monitoramento e Gestão de Frota</t>
  </si>
  <si>
    <t>unidade x mês</t>
  </si>
  <si>
    <t>Custo mensal do rastreamento por Veículo</t>
  </si>
  <si>
    <t>Custo Mensal com Monitoramento da Frota (R$/mês)</t>
  </si>
  <si>
    <t>3.2. Retroescavadeira sobre rodas com carregadeira, tração 4x4, potência líq. 88 HP</t>
  </si>
  <si>
    <t>3.2.1. Depreciação</t>
  </si>
  <si>
    <t>Custo de aquisição - Minicarregadeira</t>
  </si>
  <si>
    <t>Depreciação mensal</t>
  </si>
  <si>
    <t>3.2.2. Remuneração do Capital</t>
  </si>
  <si>
    <t>Custo do chassis - Minicarregadeira</t>
  </si>
  <si>
    <t>Investimento médio total</t>
  </si>
  <si>
    <t>Remuneração mensal de capital</t>
  </si>
  <si>
    <t>3.2.3. Impostos e Seguros</t>
  </si>
  <si>
    <t>Licenciamento e Seguro obrigatório - Não tem</t>
  </si>
  <si>
    <t>3.2.4. Consumos</t>
  </si>
  <si>
    <t>80% da distância percorrida pela equipe de Capina e Roçada</t>
  </si>
  <si>
    <t>3.2.5. Manutenção</t>
  </si>
  <si>
    <t>Custo de manutenção</t>
  </si>
  <si>
    <t>R$/km rodado</t>
  </si>
  <si>
    <t>3.2.6. Pneus</t>
  </si>
  <si>
    <t>Custo do jogo de pneus dianteiro</t>
  </si>
  <si>
    <t>Custo do jogo de pneus traseiro</t>
  </si>
  <si>
    <t>3.2.7. Monitoramento da Frota</t>
  </si>
  <si>
    <t xml:space="preserve">3.3. Trator Capinadeira Pot. Min 85 CV equipado com 01 capinadeira/Vassoura Mecânica
</t>
  </si>
  <si>
    <t>3.3.1. Depreciação</t>
  </si>
  <si>
    <t>Depreciação mensal veículos coletores</t>
  </si>
  <si>
    <t>Custo de aquisição da vassoura mecânica</t>
  </si>
  <si>
    <t>Vida útil vassoura mecânica</t>
  </si>
  <si>
    <t>Idade da vassoura mecânica</t>
  </si>
  <si>
    <t>Depreciação da vassoura mecânica</t>
  </si>
  <si>
    <t>Depreciação mensal da vassoura mecânica</t>
  </si>
  <si>
    <t>3.3.2. Remuneração do Capital</t>
  </si>
  <si>
    <t>Custo da vassoura mecânica</t>
  </si>
  <si>
    <t>Valor da vassoura mecânica proposta (V0)</t>
  </si>
  <si>
    <t>Investimento médio total da vassoura mecânica</t>
  </si>
  <si>
    <t>Remuneração mensal de capital da vassoura</t>
  </si>
  <si>
    <t>3.3.3. Impostos e Seguros</t>
  </si>
  <si>
    <t>3.3.4. Consumos</t>
  </si>
  <si>
    <t>3.3.5. Manutenção</t>
  </si>
  <si>
    <t>3.3.6. Pneus</t>
  </si>
  <si>
    <t>Custo do jogo de pneus  – Pneu Dianteiro</t>
  </si>
  <si>
    <t>Custo do jogo de pneus  – Pneu Traseiro</t>
  </si>
  <si>
    <t>3.3.7. Monitoramento da Frota</t>
  </si>
  <si>
    <t>3.4.1. Depreciação</t>
  </si>
  <si>
    <t>3.4.2. Remuneração do Capital</t>
  </si>
  <si>
    <t>3.4.3. Impostos e Seguros</t>
  </si>
  <si>
    <t>3.4.4. Consumos</t>
  </si>
  <si>
    <t>3.4.5. Manutenção</t>
  </si>
  <si>
    <t>3.4.6. Pneus</t>
  </si>
  <si>
    <t>Custo do jogo de pneus Dianteiros</t>
  </si>
  <si>
    <t>Custo do jogo de pneus Traseiros</t>
  </si>
  <si>
    <t>3.4.7. Monitoramento da Frota</t>
  </si>
  <si>
    <t>3.5. Veículo para transporte de pessoal (Miniônibus) – Mín. 24 lugares, Modelo: VOLARE ATT. 8 LONGO EXECUTIVO (die) (E6)</t>
  </si>
  <si>
    <t>3.5.1 Depreciação</t>
  </si>
  <si>
    <t>Depreciação mensal onibus</t>
  </si>
  <si>
    <t>3.5.2 Remuneração de Capital</t>
  </si>
  <si>
    <t>3.5.3. Impostos e Seguros - Caminhão</t>
  </si>
  <si>
    <t>3.5.4. Consumos</t>
  </si>
  <si>
    <t>3.5.5. Manutenção</t>
  </si>
  <si>
    <t>Custo de manutenção dos caminhões</t>
  </si>
  <si>
    <t>3.5.6. Pneus</t>
  </si>
  <si>
    <t>3.5.7. Monitoramento da Frota</t>
  </si>
  <si>
    <t>3.6. Roçadeira Costal/Lateral, Pot. Min 4 HP, a Gasolina</t>
  </si>
  <si>
    <t>3.6.1 Depreciação</t>
  </si>
  <si>
    <t>3.6.2 Remuneração de Capital</t>
  </si>
  <si>
    <t>3.6.3. Consumos</t>
  </si>
  <si>
    <t>Custo de Gasolina</t>
  </si>
  <si>
    <t>3.7. Soprador Costal, Pot. Min 3,48 HP</t>
  </si>
  <si>
    <t>3.7.1 Depreciação</t>
  </si>
  <si>
    <t>3.7.2 Remuneração de Capital</t>
  </si>
  <si>
    <t>3.7.3. Consumos</t>
  </si>
  <si>
    <t>Custo Mensal com Veículos e Equipamentos (R$/mês)</t>
  </si>
  <si>
    <t>4. Ferramentas, Materiais de Consumo e EPC</t>
  </si>
  <si>
    <t>Fios de Nylon - roçadeiras</t>
  </si>
  <si>
    <t>Custo Mensal com Ferramentas e Materiais de Consumo (R$/mês)</t>
  </si>
  <si>
    <t>CUSTO TOTAL MENSAL COM DESPESAS OPERACIONAIS (R$/mês)</t>
  </si>
  <si>
    <t>5. Benefícios e Despesas Indiretas - BDI</t>
  </si>
  <si>
    <t>Benefícios e despesas indiretas</t>
  </si>
  <si>
    <t>CUSTO MENSAL COM BDI (R$/mês)</t>
  </si>
  <si>
    <t>6. Apropriação Preço do percentual da Equipe Técnica</t>
  </si>
  <si>
    <t>Fator de utilização (FU) da Equipe Técnica para o serviço</t>
  </si>
  <si>
    <t>Preço Mensal Equipe Técnica (R$/mês)</t>
  </si>
  <si>
    <t>PREÇO APROPRIADO DA EQUIPE TÉCNICA PARA O SERVIÇO (R$/mês)</t>
  </si>
  <si>
    <t>PREÇO MENSAL TOTAL (R$/mês)</t>
  </si>
  <si>
    <t xml:space="preserve">Extensão estimada de Capina e Roçada por mês: </t>
  </si>
  <si>
    <t>Excluir esta linha caso a contratação seja por preço global mensal</t>
  </si>
  <si>
    <t>PREÇO POR KM:  [A/B]</t>
  </si>
  <si>
    <t>R$/Km</t>
  </si>
  <si>
    <t>2. Varrição de Vias e Logradouros Públicos</t>
  </si>
  <si>
    <t>Horas Extras (100%)</t>
  </si>
  <si>
    <t>hora</t>
  </si>
  <si>
    <t>Descanso Semanal Remunerado (DSR) - hora extra</t>
  </si>
  <si>
    <t>1.4. Vale Transporte</t>
  </si>
  <si>
    <t>1.5. Vale-refeição (diário)</t>
  </si>
  <si>
    <t>1.6. Auxílio Alimentação (mensal)</t>
  </si>
  <si>
    <t>1.7 Plano de Benefício Familiar (mensal)</t>
  </si>
  <si>
    <t>3.1. Caminhão toco, carga útil 9480 kg, potência mínima 185 CV, com carroceria fixa, aberta, de madeira, para transporte geral de carga seca, com dimensões aproximadas de 2,50 x 6,50 x 0,50 m.</t>
  </si>
  <si>
    <t>Custo de aquisição - Carroceria</t>
  </si>
  <si>
    <t>Idade</t>
  </si>
  <si>
    <t>Depreciação</t>
  </si>
  <si>
    <t>Depreciação mensal da carroceria</t>
  </si>
  <si>
    <t>Custo da carroceria</t>
  </si>
  <si>
    <t>Valor proposto (V0)</t>
  </si>
  <si>
    <t>Remuneração mensal de capital da carroceria</t>
  </si>
  <si>
    <t xml:space="preserve">Extensão estimada de Varrição por mês: </t>
  </si>
  <si>
    <t>3. Equipe Técnica</t>
  </si>
  <si>
    <t>Fator de utilização (FU) Encarregado Geral, Gerente Geral e Téc. Seg. do Trabalho</t>
  </si>
  <si>
    <t>Fator de utilização (FU) Responsável Técnico (Engenheiro/ 20 horas semanais)</t>
  </si>
  <si>
    <t>1.1. Encarregado Geral</t>
  </si>
  <si>
    <t>Fonte: Orçafascio - vide imagem recortada abaixo</t>
  </si>
  <si>
    <t>Total por Encarregado Geral</t>
  </si>
  <si>
    <t>1.2. Gerente Geral</t>
  </si>
  <si>
    <t>https://www.salario.com.br/profissao/gerente-de-producao-e-operacoes-cbo-141205/porto-alegre-rs/</t>
  </si>
  <si>
    <t>Total por Gerente Geral</t>
  </si>
  <si>
    <t>1.3. Técnico de Segurança do Trabalho</t>
  </si>
  <si>
    <t>https://sinditestrs.org.br/site/wp-content/uploads/2025/10/CCT-SINDUSCON-RG_SINDITEST-RS_2025-2027-REGISTRADA-NO-MTE.pdf</t>
  </si>
  <si>
    <t>Total por Técnico de Segurança do Trabalho</t>
  </si>
  <si>
    <t>1.4. Responsável Técnico (Engenheiro/ 20 horas semanais)</t>
  </si>
  <si>
    <t>https://senge.org.br/wp-content/uploads/2025/07/Convencao-Coletiva-2025-2026-Registrada.pdf</t>
  </si>
  <si>
    <t>Total por Responsável Técnico</t>
  </si>
  <si>
    <t>1.5. Vale Transporte Gerente Geral, Técnico de Segurança do Trabalho e Engenheiro</t>
  </si>
  <si>
    <t>1.6. Vale Transporte Encarregado Geral</t>
  </si>
  <si>
    <t>Vale Refeição (diário) do Encarregado GEral e Gerente Geral: considerado valor mensal de acordo com os cargos do SEEAC/RS</t>
  </si>
  <si>
    <t>2.1. Uniformes e EPIs para Encarregado Geral</t>
  </si>
  <si>
    <t>2.2. Uniformes e EPIs para Gerente Geral</t>
  </si>
  <si>
    <t>2.3. Uniformes e EPIs para Técnico de Segurança do Trabalho</t>
  </si>
  <si>
    <t>2.4. Uniformes e EPIs para Responsável Técnico (Engenheiro/ Não Integral)</t>
  </si>
  <si>
    <t>frasco 200ml</t>
  </si>
  <si>
    <t>3.1. Veículo Tipo Passeio 1.0, a Gasolina – 5 passageiros</t>
  </si>
  <si>
    <t>Depreciação mensal veículo</t>
  </si>
  <si>
    <t>Custo de manutenção do veículo</t>
  </si>
  <si>
    <t xml:space="preserve">Custo do jogo de pneus </t>
  </si>
  <si>
    <t>Custo de recapagem – Não será realizado</t>
  </si>
  <si>
    <t>3.2 Picape Utilitária, cabine Simples 1.6</t>
  </si>
  <si>
    <r>
      <rPr>
        <sz val="10"/>
        <color rgb="FF000000"/>
        <rFont val="Arial"/>
        <charset val="1"/>
      </rPr>
      <t xml:space="preserve">Custo jg. compl. + </t>
    </r>
    <r>
      <rPr>
        <sz val="10"/>
        <color rgb="FFFF0000"/>
        <rFont val="Arial"/>
        <charset val="1"/>
      </rPr>
      <t>X</t>
    </r>
    <r>
      <rPr>
        <sz val="10"/>
        <color rgb="FF000000"/>
        <rFont val="Arial"/>
        <charset val="1"/>
      </rPr>
      <t xml:space="preserve"> recap./ km rodado</t>
    </r>
  </si>
  <si>
    <t>4. Benefícios e Despesas Indiretas - BDI</t>
  </si>
  <si>
    <t>1. Preencha previamente os dados de entrada na planilha 3.CAGED</t>
  </si>
  <si>
    <t xml:space="preserve">2. Composição dos Encargos Sociais </t>
  </si>
  <si>
    <t>Código</t>
  </si>
  <si>
    <t>Descrição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</si>
  <si>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</si>
  <si>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</si>
  <si>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</si>
  <si>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</si>
  <si>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</si>
  <si>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</si>
  <si>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</si>
  <si>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</si>
  <si>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</si>
  <si>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</si>
  <si>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</si>
  <si>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</si>
  <si>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</si>
  <si>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</si>
  <si>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</si>
  <si>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</si>
  <si>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</si>
  <si>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</si>
  <si>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</si>
  <si>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</si>
  <si>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</si>
  <si>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</si>
  <si>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</si>
  <si>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</si>
  <si>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</si>
  <si>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</si>
  <si>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</si>
  <si>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</si>
  <si>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</si>
  <si>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</si>
  <si>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</si>
  <si>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</si>
  <si>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</si>
  <si>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</si>
  <si>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</si>
  <si>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</si>
  <si>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</si>
  <si>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</si>
  <si>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</si>
  <si>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</si>
  <si>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</si>
  <si>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</si>
  <si>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</si>
  <si>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</si>
  <si>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</si>
  <si>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</si>
  <si>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</si>
  <si>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</si>
  <si>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</si>
  <si>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</si>
  <si>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</si>
  <si>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CÁLCULO DAS VERBAS INDENIZATÓRIAS DOS EMPREGADOS NO SETOR DE COLETA DE RSU</t>
  </si>
  <si>
    <t>Tendo em vista que o CAGED foi descontinuado em janeiro de 2020, esta planilha foi atualizada até 31/12/2019.</t>
  </si>
  <si>
    <t>Preencha as células em amarelo</t>
  </si>
  <si>
    <t>3.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</si>
  <si>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</si>
  <si>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</si>
  <si>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</si>
  <si>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</si>
  <si>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</si>
  <si>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</si>
  <si>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</si>
  <si>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</si>
  <si>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</si>
  <si>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</si>
  <si>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</si>
  <si>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</si>
  <si>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 xml:space="preserve"> </t>
  </si>
  <si>
    <t>Indicadores</t>
  </si>
  <si>
    <t>Estoque recuperado início do Período 01-04-2024</t>
  </si>
  <si>
    <t>Estoque recuperado final do Período 31-03-2025</t>
  </si>
  <si>
    <t>Variação Emprego Absoluta de 01-04-2024 a 31-03-2025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</si>
  <si>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</si>
  <si>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</si>
  <si>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</si>
  <si>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</si>
  <si>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</si>
  <si>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</si>
  <si>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</si>
  <si>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</si>
  <si>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</si>
  <si>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</t>
  </si>
  <si>
    <t>Ajustado, de acordo com a nova Lei Federal nº 13.932/2019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</si>
  <si>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</si>
  <si>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</si>
  <si>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</si>
  <si>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</si>
  <si>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</si>
  <si>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</si>
  <si>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</si>
  <si>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</si>
  <si>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</si>
  <si>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</si>
  <si>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</si>
  <si>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</si>
  <si>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</si>
  <si>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</si>
  <si>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</si>
  <si>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</si>
  <si>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</si>
  <si>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</si>
  <si>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</si>
  <si>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</si>
  <si>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</si>
  <si>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</si>
  <si>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</si>
  <si>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</si>
  <si>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</si>
  <si>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</si>
  <si>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</si>
  <si>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</si>
  <si>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2"/>
        <color rgb="FF000000"/>
        <rFont val="Arial"/>
        <charset val="1"/>
      </rPr>
      <t>J</t>
    </r>
    <r>
      <rPr>
        <vertAlign val="subscript"/>
        <sz val="12"/>
        <color rgb="FF000000"/>
        <rFont val="Arial"/>
        <charset val="1"/>
      </rPr>
      <t>m</t>
    </r>
    <r>
      <rPr>
        <sz val="12"/>
        <color rgb="FF000000"/>
        <rFont val="Arial"/>
        <charset val="1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</si>
  <si>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</si>
  <si>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</si>
  <si>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rgb="FF000000"/>
        <rFont val="Arial"/>
        <charset val="1"/>
      </rPr>
      <t>V</t>
    </r>
    <r>
      <rPr>
        <vertAlign val="subscript"/>
        <sz val="12"/>
        <color rgb="FF000000"/>
        <rFont val="Arial"/>
        <charset val="1"/>
      </rPr>
      <t>0</t>
    </r>
    <r>
      <rPr>
        <sz val="12"/>
        <color rgb="FF000000"/>
        <rFont val="Arial"/>
        <charset val="1"/>
      </rPr>
      <t xml:space="preserve"> = valor inicial do bem</t>
    </r>
  </si>
  <si>
    <r>
      <rPr>
        <sz val="12"/>
        <color rgb="FF000000"/>
        <rFont val="Arial"/>
        <charset val="1"/>
      </rPr>
      <t>V</t>
    </r>
    <r>
      <rPr>
        <vertAlign val="subscript"/>
        <sz val="12"/>
        <color rgb="FF000000"/>
        <rFont val="Arial"/>
        <charset val="1"/>
      </rPr>
      <t>r</t>
    </r>
    <r>
      <rPr>
        <sz val="12"/>
        <color rgb="FF000000"/>
        <rFont val="Arial"/>
        <charset val="1"/>
      </rPr>
      <t xml:space="preserve"> = valor residual do bem</t>
    </r>
  </si>
  <si>
    <t>n = vida útil do bem em 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</si>
</sst>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* #,##0.00_);_(* \(#,##0.00\);_(* \-??_);_(@_)"/>
    <numFmt numFmtId="165" formatCode="&quot;R$ &quot;#,##0.00"/>
    <numFmt numFmtId="166" formatCode="_(* #,##0_);_(* \(#,##0\);_(* \-??_);_(@_)"/>
    <numFmt numFmtId="167" formatCode="[$R$ -416]#,##0.00"/>
    <numFmt numFmtId="168" formatCode="mmm/d"/>
    <numFmt numFmtId="169" formatCode="&quot;R$ &quot;#,##0.00_);&quot;(R$ &quot;#,##0.00\)"/>
    <numFmt numFmtId="170" formatCode="_-* #,##0.00_-;\-* #,##0.00_-;_-* \-??_-;_-@"/>
    <numFmt numFmtId="171" formatCode="_(* #,##0.000_);_(* \(#,##0.000\);_(* \-??_);_(@_)"/>
    <numFmt numFmtId="172" formatCode="_(* #,##0.0000_);_(* \(#,##0.0000\);_(* \-??_);_(@_)"/>
    <numFmt numFmtId="173" formatCode="#,##0.000000"/>
    <numFmt numFmtId="174" formatCode="_(* #,##0.0000000_);_(* \(#,##0.0000000\);_(* \-??.00000_);_(@_)"/>
    <numFmt numFmtId="175" formatCode="0.0000"/>
  </numFmts>
  <fonts count="24" x14ac:knownFonts="1">
    <font>
      <sz val="10"/>
      <color rgb="FF000000"/>
      <name val="Arial"/>
      <charset val="1"/>
    </font>
    <font>
      <b/>
      <sz val="12"/>
      <color rgb="FF000000"/>
      <name val="Arial"/>
      <charset val="1"/>
    </font>
    <font>
      <b/>
      <sz val="12"/>
      <color rgb="FFFF0000"/>
      <name val="Arial"/>
      <charset val="1"/>
    </font>
    <font>
      <b/>
      <sz val="10"/>
      <color rgb="FF000000"/>
      <name val="Arial"/>
      <charset val="1"/>
    </font>
    <font>
      <sz val="11"/>
      <color rgb="FF000000"/>
      <name val="Arial"/>
      <charset val="1"/>
    </font>
    <font>
      <b/>
      <sz val="10"/>
      <color rgb="FF0070C0"/>
      <name val="Arial"/>
      <charset val="1"/>
    </font>
    <font>
      <b/>
      <sz val="10"/>
      <color rgb="FFFF0000"/>
      <name val="Arial"/>
      <charset val="1"/>
    </font>
    <font>
      <b/>
      <sz val="10"/>
      <color rgb="FFCE181E"/>
      <name val="Arial"/>
      <charset val="1"/>
    </font>
    <font>
      <u/>
      <sz val="10"/>
      <color rgb="FF0000FF"/>
      <name val="Arial"/>
      <charset val="1"/>
    </font>
    <font>
      <b/>
      <sz val="10"/>
      <color rgb="FF00000A"/>
      <name val="Arial"/>
      <charset val="1"/>
    </font>
    <font>
      <sz val="10"/>
      <color rgb="FF00000A"/>
      <name val="Arial"/>
      <charset val="1"/>
    </font>
    <font>
      <b/>
      <sz val="10"/>
      <color rgb="FF111111"/>
      <name val="Arial"/>
      <charset val="1"/>
    </font>
    <font>
      <b/>
      <sz val="11"/>
      <color rgb="FF00000A"/>
      <name val="Arial"/>
      <charset val="1"/>
    </font>
    <font>
      <b/>
      <sz val="9"/>
      <color rgb="FF000000"/>
      <name val="Arial"/>
      <charset val="1"/>
    </font>
    <font>
      <sz val="8"/>
      <color rgb="FF000000"/>
      <name val="Arial"/>
      <charset val="1"/>
    </font>
    <font>
      <b/>
      <sz val="12"/>
      <color rgb="FF00000A"/>
      <name val="Calibri"/>
      <charset val="1"/>
    </font>
    <font>
      <b/>
      <sz val="11"/>
      <color rgb="FF000000"/>
      <name val="Arial"/>
      <charset val="1"/>
    </font>
    <font>
      <sz val="12"/>
      <color rgb="FF000000"/>
      <name val="Arial"/>
      <charset val="1"/>
    </font>
    <font>
      <b/>
      <sz val="14"/>
      <color rgb="FF000000"/>
      <name val="Arial"/>
      <charset val="1"/>
    </font>
    <font>
      <b/>
      <u/>
      <sz val="9"/>
      <color rgb="FF000000"/>
      <name val="Arial"/>
      <charset val="1"/>
    </font>
    <font>
      <sz val="10"/>
      <color rgb="FFFF0000"/>
      <name val="Arial"/>
      <charset val="1"/>
    </font>
    <font>
      <sz val="11"/>
      <color rgb="FF000000"/>
      <name val="Calibri"/>
      <charset val="1"/>
    </font>
    <font>
      <u/>
      <sz val="11"/>
      <color rgb="FF0000FF"/>
      <name val="Arial"/>
      <charset val="1"/>
    </font>
    <font>
      <vertAlign val="subscript"/>
      <sz val="12"/>
      <color rgb="FF000000"/>
      <name val="Arial"/>
      <charset val="1"/>
    </font>
  </fonts>
  <fills count="20">
    <fill>
      <patternFill patternType="none"/>
    </fill>
    <fill>
      <patternFill patternType="gray125"/>
    </fill>
    <fill>
      <patternFill patternType="solid">
        <fgColor rgb="FFFAD3B3"/>
        <bgColor rgb="FFDDD9C3"/>
      </patternFill>
    </fill>
    <fill>
      <patternFill patternType="solid">
        <fgColor rgb="FFEBF1DE"/>
        <bgColor rgb="FFEEECE1"/>
      </patternFill>
    </fill>
    <fill>
      <patternFill patternType="solid">
        <fgColor rgb="FFC3D69B"/>
        <bgColor rgb="FFDDD9C3"/>
      </patternFill>
    </fill>
    <fill>
      <patternFill patternType="solid">
        <fgColor rgb="FFFDEADA"/>
        <bgColor rgb="FFEEECE1"/>
      </patternFill>
    </fill>
    <fill>
      <patternFill patternType="solid">
        <fgColor rgb="FFFF9900"/>
        <bgColor rgb="FFFF6600"/>
      </patternFill>
    </fill>
    <fill>
      <patternFill patternType="solid">
        <fgColor rgb="FFFFFFFF"/>
        <bgColor rgb="FFFFFFCC"/>
      </patternFill>
    </fill>
    <fill>
      <patternFill patternType="solid">
        <fgColor rgb="FFFFFBCC"/>
        <bgColor rgb="FFFFFFCC"/>
      </patternFill>
    </fill>
    <fill>
      <patternFill patternType="solid">
        <fgColor rgb="FFFFFFCC"/>
        <bgColor rgb="FFFFFBCC"/>
      </patternFill>
    </fill>
    <fill>
      <patternFill patternType="solid">
        <fgColor rgb="FFFFF200"/>
        <bgColor rgb="FFFFFF00"/>
      </patternFill>
    </fill>
    <fill>
      <patternFill patternType="solid">
        <fgColor rgb="FFE6E0EC"/>
        <bgColor rgb="FFEEECE1"/>
      </patternFill>
    </fill>
    <fill>
      <patternFill patternType="solid">
        <fgColor rgb="FFFFFF00"/>
        <bgColor rgb="FFFFF200"/>
      </patternFill>
    </fill>
    <fill>
      <patternFill patternType="solid">
        <fgColor rgb="FFD9D9D9"/>
        <bgColor rgb="FFDDD9C3"/>
      </patternFill>
    </fill>
    <fill>
      <patternFill patternType="solid">
        <fgColor rgb="FFBFBFBF"/>
        <bgColor rgb="FFC0C0C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A6A6A6"/>
        <bgColor rgb="FFBFBFBF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EBF1DE"/>
      </patternFill>
    </fill>
  </fills>
  <borders count="10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25">
    <xf numFmtId="0" fontId="0" fillId="0" borderId="0" xfId="0"/>
    <xf numFmtId="0" fontId="10" fillId="0" borderId="21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left" vertical="top" wrapText="1"/>
    </xf>
    <xf numFmtId="164" fontId="0" fillId="0" borderId="0" xfId="0" applyNumberFormat="1" applyFont="1" applyBorder="1" applyAlignment="1">
      <alignment horizontal="left" vertical="top" wrapText="1"/>
    </xf>
    <xf numFmtId="49" fontId="7" fillId="0" borderId="0" xfId="0" applyNumberFormat="1" applyFont="1" applyBorder="1" applyAlignment="1">
      <alignment horizontal="left" vertical="top" wrapText="1"/>
    </xf>
    <xf numFmtId="0" fontId="5" fillId="4" borderId="0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4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 wrapText="1"/>
    </xf>
    <xf numFmtId="4" fontId="0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2" fillId="0" borderId="0" xfId="0" applyFont="1" applyAlignment="1">
      <alignment vertical="center"/>
    </xf>
    <xf numFmtId="0" fontId="0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3" fillId="0" borderId="0" xfId="0" applyFont="1"/>
    <xf numFmtId="165" fontId="0" fillId="0" borderId="0" xfId="0" applyNumberFormat="1" applyFont="1" applyAlignment="1">
      <alignment vertical="center"/>
    </xf>
    <xf numFmtId="10" fontId="0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 wrapText="1"/>
    </xf>
    <xf numFmtId="164" fontId="0" fillId="0" borderId="0" xfId="0" applyNumberFormat="1" applyFont="1" applyAlignment="1">
      <alignment vertical="top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4" fontId="9" fillId="0" borderId="19" xfId="0" applyNumberFormat="1" applyFont="1" applyBorder="1" applyAlignment="1">
      <alignment horizontal="center" vertical="center" wrapText="1"/>
    </xf>
    <xf numFmtId="4" fontId="9" fillId="5" borderId="19" xfId="0" applyNumberFormat="1" applyFont="1" applyFill="1" applyBorder="1" applyAlignment="1">
      <alignment horizontal="center" vertical="center" wrapText="1"/>
    </xf>
    <xf numFmtId="4" fontId="9" fillId="5" borderId="20" xfId="0" applyNumberFormat="1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4" fontId="9" fillId="0" borderId="21" xfId="0" applyNumberFormat="1" applyFont="1" applyBorder="1" applyAlignment="1">
      <alignment horizontal="center" vertical="center" wrapText="1"/>
    </xf>
    <xf numFmtId="4" fontId="9" fillId="5" borderId="21" xfId="0" applyNumberFormat="1" applyFont="1" applyFill="1" applyBorder="1" applyAlignment="1">
      <alignment horizontal="center" vertical="center" wrapText="1"/>
    </xf>
    <xf numFmtId="4" fontId="9" fillId="5" borderId="24" xfId="0" applyNumberFormat="1" applyFont="1" applyFill="1" applyBorder="1" applyAlignment="1">
      <alignment horizontal="center" vertical="center" wrapText="1"/>
    </xf>
    <xf numFmtId="0" fontId="0" fillId="6" borderId="0" xfId="0" applyFont="1" applyFill="1" applyAlignment="1">
      <alignment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4" fontId="9" fillId="0" borderId="27" xfId="0" applyNumberFormat="1" applyFont="1" applyBorder="1" applyAlignment="1">
      <alignment horizontal="center" vertical="center" wrapText="1"/>
    </xf>
    <xf numFmtId="4" fontId="9" fillId="5" borderId="27" xfId="0" applyNumberFormat="1" applyFont="1" applyFill="1" applyBorder="1" applyAlignment="1">
      <alignment horizontal="center" vertical="center" wrapText="1"/>
    </xf>
    <xf numFmtId="4" fontId="9" fillId="5" borderId="28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" fontId="9" fillId="0" borderId="18" xfId="0" applyNumberFormat="1" applyFont="1" applyBorder="1" applyAlignment="1">
      <alignment horizontal="center" vertical="center" wrapText="1"/>
    </xf>
    <xf numFmtId="4" fontId="11" fillId="0" borderId="18" xfId="0" applyNumberFormat="1" applyFont="1" applyBorder="1" applyAlignment="1">
      <alignment horizontal="center" vertical="center" wrapText="1"/>
    </xf>
    <xf numFmtId="4" fontId="9" fillId="0" borderId="29" xfId="0" applyNumberFormat="1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164" fontId="0" fillId="0" borderId="0" xfId="0" applyNumberFormat="1" applyFont="1" applyAlignment="1">
      <alignment horizontal="left" vertical="center"/>
    </xf>
    <xf numFmtId="4" fontId="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9" fillId="8" borderId="33" xfId="0" applyFont="1" applyFill="1" applyBorder="1" applyAlignment="1">
      <alignment horizontal="center" vertical="center" wrapText="1"/>
    </xf>
    <xf numFmtId="0" fontId="9" fillId="8" borderId="25" xfId="0" applyFont="1" applyFill="1" applyBorder="1" applyAlignment="1">
      <alignment horizontal="center" vertical="center" wrapText="1"/>
    </xf>
    <xf numFmtId="0" fontId="9" fillId="8" borderId="34" xfId="0" applyFont="1" applyFill="1" applyBorder="1" applyAlignment="1">
      <alignment horizontal="center" vertical="center" wrapText="1"/>
    </xf>
    <xf numFmtId="4" fontId="9" fillId="0" borderId="37" xfId="0" applyNumberFormat="1" applyFont="1" applyBorder="1" applyAlignment="1">
      <alignment horizontal="center" vertical="center" wrapText="1"/>
    </xf>
    <xf numFmtId="165" fontId="3" fillId="0" borderId="38" xfId="0" applyNumberFormat="1" applyFont="1" applyBorder="1" applyAlignment="1">
      <alignment horizontal="center" vertical="center" wrapText="1"/>
    </xf>
    <xf numFmtId="4" fontId="9" fillId="0" borderId="41" xfId="0" applyNumberFormat="1" applyFont="1" applyBorder="1" applyAlignment="1">
      <alignment horizontal="center" vertical="center" wrapText="1"/>
    </xf>
    <xf numFmtId="4" fontId="9" fillId="0" borderId="42" xfId="0" applyNumberFormat="1" applyFont="1" applyBorder="1" applyAlignment="1">
      <alignment horizontal="center" vertical="center" wrapText="1"/>
    </xf>
    <xf numFmtId="165" fontId="9" fillId="0" borderId="4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4" fontId="9" fillId="0" borderId="46" xfId="0" applyNumberFormat="1" applyFont="1" applyBorder="1" applyAlignment="1">
      <alignment horizontal="center" vertical="center" wrapText="1"/>
    </xf>
    <xf numFmtId="4" fontId="9" fillId="0" borderId="22" xfId="0" applyNumberFormat="1" applyFont="1" applyBorder="1" applyAlignment="1">
      <alignment horizontal="center" vertical="center" wrapText="1"/>
    </xf>
    <xf numFmtId="165" fontId="9" fillId="0" borderId="47" xfId="0" applyNumberFormat="1" applyFont="1" applyBorder="1" applyAlignment="1">
      <alignment horizontal="center" vertical="center" wrapText="1"/>
    </xf>
    <xf numFmtId="165" fontId="9" fillId="0" borderId="38" xfId="0" applyNumberFormat="1" applyFont="1" applyBorder="1" applyAlignment="1">
      <alignment horizontal="center" vertical="center" wrapText="1"/>
    </xf>
    <xf numFmtId="4" fontId="9" fillId="0" borderId="51" xfId="0" applyNumberFormat="1" applyFont="1" applyBorder="1" applyAlignment="1">
      <alignment horizontal="center" vertical="center" wrapText="1"/>
    </xf>
    <xf numFmtId="4" fontId="9" fillId="0" borderId="23" xfId="0" applyNumberFormat="1" applyFont="1" applyBorder="1" applyAlignment="1">
      <alignment horizontal="center" vertical="center" wrapText="1"/>
    </xf>
    <xf numFmtId="165" fontId="9" fillId="7" borderId="52" xfId="0" applyNumberFormat="1" applyFont="1" applyFill="1" applyBorder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1" fontId="3" fillId="0" borderId="0" xfId="0" applyNumberFormat="1" applyFont="1" applyAlignment="1">
      <alignment horizontal="center" vertical="center"/>
    </xf>
    <xf numFmtId="0" fontId="9" fillId="10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Font="1"/>
    <xf numFmtId="0" fontId="9" fillId="10" borderId="57" xfId="0" applyFont="1" applyFill="1" applyBorder="1" applyAlignment="1">
      <alignment horizontal="center" vertical="center" wrapText="1"/>
    </xf>
    <xf numFmtId="0" fontId="9" fillId="10" borderId="58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59" xfId="0" applyFont="1" applyFill="1" applyBorder="1" applyAlignment="1">
      <alignment horizontal="center" vertical="center" wrapText="1"/>
    </xf>
    <xf numFmtId="0" fontId="10" fillId="0" borderId="60" xfId="0" applyFont="1" applyBorder="1" applyAlignment="1">
      <alignment horizontal="left" vertical="center" wrapText="1"/>
    </xf>
    <xf numFmtId="0" fontId="10" fillId="0" borderId="57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61" xfId="0" applyFont="1" applyBorder="1" applyAlignment="1">
      <alignment horizontal="center" vertical="center" wrapText="1"/>
    </xf>
    <xf numFmtId="0" fontId="10" fillId="11" borderId="60" xfId="0" applyFont="1" applyFill="1" applyBorder="1" applyAlignment="1">
      <alignment horizontal="left" vertical="center" wrapText="1"/>
    </xf>
    <xf numFmtId="0" fontId="9" fillId="11" borderId="61" xfId="0" applyFont="1" applyFill="1" applyBorder="1" applyAlignment="1">
      <alignment horizontal="center" vertical="center" wrapText="1"/>
    </xf>
    <xf numFmtId="0" fontId="10" fillId="11" borderId="62" xfId="0" applyFont="1" applyFill="1" applyBorder="1" applyAlignment="1">
      <alignment horizontal="left" vertical="center" wrapText="1"/>
    </xf>
    <xf numFmtId="0" fontId="9" fillId="11" borderId="6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10" borderId="66" xfId="0" applyFont="1" applyFill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left" vertical="center" wrapText="1"/>
    </xf>
    <xf numFmtId="0" fontId="10" fillId="0" borderId="67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9" fillId="0" borderId="69" xfId="0" applyFont="1" applyBorder="1" applyAlignment="1">
      <alignment horizontal="center" vertical="center" wrapText="1"/>
    </xf>
    <xf numFmtId="0" fontId="9" fillId="0" borderId="70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3" fillId="0" borderId="0" xfId="0" applyFont="1" applyAlignment="1"/>
    <xf numFmtId="0" fontId="13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10" borderId="54" xfId="0" applyFont="1" applyFill="1" applyBorder="1" applyAlignment="1">
      <alignment horizontal="left" vertical="center" wrapText="1"/>
    </xf>
    <xf numFmtId="0" fontId="15" fillId="10" borderId="9" xfId="0" applyFont="1" applyFill="1" applyBorder="1" applyAlignment="1">
      <alignment horizontal="center" vertical="center" wrapText="1"/>
    </xf>
    <xf numFmtId="0" fontId="10" fillId="0" borderId="71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65" fontId="10" fillId="12" borderId="22" xfId="0" applyNumberFormat="1" applyFont="1" applyFill="1" applyBorder="1" applyAlignment="1">
      <alignment horizontal="center" vertical="center" wrapText="1"/>
    </xf>
    <xf numFmtId="0" fontId="10" fillId="0" borderId="72" xfId="0" applyFont="1" applyBorder="1" applyAlignment="1">
      <alignment horizontal="left" vertical="center" wrapText="1"/>
    </xf>
    <xf numFmtId="0" fontId="10" fillId="0" borderId="42" xfId="0" applyFont="1" applyBorder="1" applyAlignment="1">
      <alignment horizontal="center" vertical="center" wrapText="1"/>
    </xf>
    <xf numFmtId="165" fontId="10" fillId="12" borderId="73" xfId="0" applyNumberFormat="1" applyFont="1" applyFill="1" applyBorder="1" applyAlignment="1">
      <alignment horizontal="center" vertical="center" wrapText="1"/>
    </xf>
    <xf numFmtId="165" fontId="10" fillId="12" borderId="74" xfId="0" applyNumberFormat="1" applyFont="1" applyFill="1" applyBorder="1" applyAlignment="1">
      <alignment horizontal="center" vertical="center" wrapText="1"/>
    </xf>
    <xf numFmtId="0" fontId="10" fillId="11" borderId="72" xfId="0" applyFont="1" applyFill="1" applyBorder="1" applyAlignment="1">
      <alignment horizontal="left" vertical="center" wrapText="1"/>
    </xf>
    <xf numFmtId="0" fontId="10" fillId="11" borderId="42" xfId="0" applyFont="1" applyFill="1" applyBorder="1" applyAlignment="1">
      <alignment horizontal="center" vertical="center" wrapText="1"/>
    </xf>
    <xf numFmtId="165" fontId="10" fillId="11" borderId="74" xfId="0" applyNumberFormat="1" applyFont="1" applyFill="1" applyBorder="1" applyAlignment="1">
      <alignment horizontal="center" vertical="center" wrapText="1"/>
    </xf>
    <xf numFmtId="0" fontId="10" fillId="11" borderId="75" xfId="0" applyFont="1" applyFill="1" applyBorder="1" applyAlignment="1">
      <alignment horizontal="left" vertical="center" wrapText="1"/>
    </xf>
    <xf numFmtId="0" fontId="10" fillId="11" borderId="23" xfId="0" applyFont="1" applyFill="1" applyBorder="1" applyAlignment="1">
      <alignment horizontal="center" vertical="center" wrapText="1"/>
    </xf>
    <xf numFmtId="165" fontId="10" fillId="11" borderId="76" xfId="0" applyNumberFormat="1" applyFont="1" applyFill="1" applyBorder="1" applyAlignment="1">
      <alignment horizontal="center" vertical="center" wrapText="1"/>
    </xf>
    <xf numFmtId="13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3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16" fillId="12" borderId="54" xfId="0" applyFont="1" applyFill="1" applyBorder="1" applyAlignment="1">
      <alignment horizontal="left"/>
    </xf>
    <xf numFmtId="0" fontId="16" fillId="12" borderId="9" xfId="0" applyFont="1" applyFill="1" applyBorder="1" applyAlignment="1">
      <alignment horizontal="center"/>
    </xf>
    <xf numFmtId="13" fontId="16" fillId="12" borderId="9" xfId="0" applyNumberFormat="1" applyFont="1" applyFill="1" applyBorder="1" applyAlignment="1">
      <alignment horizontal="center"/>
    </xf>
    <xf numFmtId="164" fontId="16" fillId="12" borderId="65" xfId="0" applyNumberFormat="1" applyFont="1" applyFill="1" applyBorder="1" applyAlignment="1">
      <alignment horizontal="center"/>
    </xf>
    <xf numFmtId="0" fontId="4" fillId="0" borderId="77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167" fontId="4" fillId="0" borderId="1" xfId="0" applyNumberFormat="1" applyFont="1" applyBorder="1" applyAlignment="1">
      <alignment horizontal="center"/>
    </xf>
    <xf numFmtId="13" fontId="4" fillId="0" borderId="4" xfId="0" applyNumberFormat="1" applyFont="1" applyBorder="1" applyAlignment="1">
      <alignment horizontal="center"/>
    </xf>
    <xf numFmtId="168" fontId="4" fillId="0" borderId="12" xfId="0" applyNumberFormat="1" applyFont="1" applyBorder="1" applyAlignment="1">
      <alignment horizontal="center"/>
    </xf>
    <xf numFmtId="164" fontId="0" fillId="0" borderId="0" xfId="0" applyNumberFormat="1" applyFont="1"/>
    <xf numFmtId="0" fontId="4" fillId="0" borderId="78" xfId="0" applyFont="1" applyBorder="1" applyAlignment="1">
      <alignment horizontal="left"/>
    </xf>
    <xf numFmtId="0" fontId="4" fillId="0" borderId="79" xfId="0" applyFont="1" applyBorder="1" applyAlignment="1">
      <alignment horizontal="center"/>
    </xf>
    <xf numFmtId="167" fontId="4" fillId="0" borderId="79" xfId="0" applyNumberFormat="1" applyFont="1" applyBorder="1" applyAlignment="1">
      <alignment horizontal="center"/>
    </xf>
    <xf numFmtId="1" fontId="4" fillId="0" borderId="69" xfId="0" applyNumberFormat="1" applyFont="1" applyBorder="1" applyAlignment="1">
      <alignment horizontal="center"/>
    </xf>
    <xf numFmtId="168" fontId="4" fillId="0" borderId="80" xfId="0" applyNumberFormat="1" applyFont="1" applyBorder="1" applyAlignment="1">
      <alignment horizontal="center"/>
    </xf>
    <xf numFmtId="4" fontId="0" fillId="0" borderId="0" xfId="0" applyNumberFormat="1" applyFont="1" applyAlignment="1">
      <alignment vertical="center"/>
    </xf>
    <xf numFmtId="4" fontId="17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0" fillId="0" borderId="82" xfId="0" applyFont="1" applyBorder="1" applyAlignment="1">
      <alignment vertical="center"/>
    </xf>
    <xf numFmtId="164" fontId="0" fillId="0" borderId="48" xfId="0" applyNumberFormat="1" applyFont="1" applyBorder="1" applyAlignment="1">
      <alignment vertical="center"/>
    </xf>
    <xf numFmtId="164" fontId="3" fillId="0" borderId="83" xfId="0" applyNumberFormat="1" applyFont="1" applyBorder="1" applyAlignment="1">
      <alignment horizontal="center" vertical="center"/>
    </xf>
    <xf numFmtId="164" fontId="0" fillId="0" borderId="84" xfId="0" applyNumberFormat="1" applyFont="1" applyBorder="1" applyAlignment="1">
      <alignment vertical="center"/>
    </xf>
    <xf numFmtId="164" fontId="3" fillId="0" borderId="84" xfId="0" applyNumberFormat="1" applyFont="1" applyBorder="1" applyAlignment="1">
      <alignment vertical="center"/>
    </xf>
    <xf numFmtId="164" fontId="3" fillId="0" borderId="55" xfId="0" applyNumberFormat="1" applyFont="1" applyBorder="1" applyAlignment="1">
      <alignment vertical="center"/>
    </xf>
    <xf numFmtId="164" fontId="3" fillId="0" borderId="65" xfId="0" applyNumberFormat="1" applyFont="1" applyBorder="1" applyAlignment="1">
      <alignment horizontal="center" vertical="center"/>
    </xf>
    <xf numFmtId="164" fontId="3" fillId="0" borderId="77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5" fontId="3" fillId="0" borderId="1" xfId="0" applyNumberFormat="1" applyFont="1" applyBorder="1" applyAlignment="1">
      <alignment vertical="center"/>
    </xf>
    <xf numFmtId="10" fontId="3" fillId="0" borderId="85" xfId="0" applyNumberFormat="1" applyFont="1" applyBorder="1" applyAlignment="1">
      <alignment vertical="center"/>
    </xf>
    <xf numFmtId="164" fontId="0" fillId="0" borderId="77" xfId="0" applyNumberFormat="1" applyFont="1" applyBorder="1" applyAlignment="1">
      <alignment vertical="center"/>
    </xf>
    <xf numFmtId="164" fontId="0" fillId="0" borderId="4" xfId="0" applyNumberFormat="1" applyFont="1" applyBorder="1" applyAlignment="1">
      <alignment vertical="center"/>
    </xf>
    <xf numFmtId="165" fontId="0" fillId="0" borderId="1" xfId="0" applyNumberFormat="1" applyFont="1" applyBorder="1" applyAlignment="1">
      <alignment vertical="center"/>
    </xf>
    <xf numFmtId="10" fontId="0" fillId="0" borderId="85" xfId="0" applyNumberFormat="1" applyFont="1" applyBorder="1" applyAlignment="1">
      <alignment vertical="center"/>
    </xf>
    <xf numFmtId="164" fontId="3" fillId="0" borderId="77" xfId="0" applyNumberFormat="1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164" fontId="8" fillId="0" borderId="77" xfId="0" applyNumberFormat="1" applyFont="1" applyBorder="1" applyAlignment="1">
      <alignment horizontal="left" vertical="center"/>
    </xf>
    <xf numFmtId="4" fontId="0" fillId="0" borderId="4" xfId="0" applyNumberFormat="1" applyFont="1" applyBorder="1" applyAlignment="1">
      <alignment horizontal="center" vertical="center"/>
    </xf>
    <xf numFmtId="164" fontId="0" fillId="0" borderId="77" xfId="0" applyNumberFormat="1" applyFont="1" applyBorder="1" applyAlignment="1">
      <alignment horizontal="left" vertical="center"/>
    </xf>
    <xf numFmtId="164" fontId="0" fillId="0" borderId="77" xfId="0" applyNumberFormat="1" applyFont="1" applyBorder="1" applyAlignment="1">
      <alignment horizontal="left" vertical="top" wrapText="1"/>
    </xf>
    <xf numFmtId="164" fontId="0" fillId="0" borderId="4" xfId="0" applyNumberFormat="1" applyFont="1" applyBorder="1" applyAlignment="1">
      <alignment horizontal="left" vertical="top" wrapText="1"/>
    </xf>
    <xf numFmtId="165" fontId="3" fillId="0" borderId="79" xfId="0" applyNumberFormat="1" applyFont="1" applyBorder="1" applyAlignment="1">
      <alignment vertical="center"/>
    </xf>
    <xf numFmtId="164" fontId="3" fillId="0" borderId="86" xfId="0" applyNumberFormat="1" applyFont="1" applyBorder="1" applyAlignment="1">
      <alignment horizontal="left" vertical="center"/>
    </xf>
    <xf numFmtId="4" fontId="3" fillId="0" borderId="34" xfId="0" applyNumberFormat="1" applyFont="1" applyBorder="1" applyAlignment="1">
      <alignment horizontal="center" vertical="center"/>
    </xf>
    <xf numFmtId="164" fontId="3" fillId="0" borderId="34" xfId="0" applyNumberFormat="1" applyFont="1" applyBorder="1" applyAlignment="1">
      <alignment vertical="center"/>
    </xf>
    <xf numFmtId="169" fontId="3" fillId="0" borderId="87" xfId="0" applyNumberFormat="1" applyFont="1" applyBorder="1" applyAlignment="1">
      <alignment vertical="center"/>
    </xf>
    <xf numFmtId="9" fontId="3" fillId="0" borderId="35" xfId="0" applyNumberFormat="1" applyFont="1" applyBorder="1" applyAlignment="1">
      <alignment vertical="center"/>
    </xf>
    <xf numFmtId="164" fontId="3" fillId="0" borderId="7" xfId="0" applyNumberFormat="1" applyFont="1" applyBorder="1" applyAlignment="1">
      <alignment horizontal="right" vertical="center"/>
    </xf>
    <xf numFmtId="164" fontId="0" fillId="0" borderId="83" xfId="0" applyNumberFormat="1" applyFont="1" applyBorder="1" applyAlignment="1">
      <alignment vertical="center"/>
    </xf>
    <xf numFmtId="0" fontId="0" fillId="0" borderId="84" xfId="0" applyFont="1" applyBorder="1" applyAlignment="1">
      <alignment vertical="center"/>
    </xf>
    <xf numFmtId="1" fontId="0" fillId="0" borderId="65" xfId="0" applyNumberFormat="1" applyFont="1" applyBorder="1" applyAlignment="1">
      <alignment horizontal="center" vertical="center"/>
    </xf>
    <xf numFmtId="164" fontId="0" fillId="0" borderId="88" xfId="0" applyNumberFormat="1" applyFont="1" applyBorder="1" applyAlignment="1">
      <alignment vertical="center"/>
    </xf>
    <xf numFmtId="164" fontId="0" fillId="0" borderId="89" xfId="0" applyNumberFormat="1" applyFont="1" applyBorder="1" applyAlignment="1">
      <alignment vertical="center"/>
    </xf>
    <xf numFmtId="0" fontId="0" fillId="0" borderId="89" xfId="0" applyFont="1" applyBorder="1" applyAlignment="1">
      <alignment vertical="center"/>
    </xf>
    <xf numFmtId="1" fontId="0" fillId="0" borderId="29" xfId="0" applyNumberFormat="1" applyFont="1" applyBorder="1" applyAlignment="1">
      <alignment horizontal="center" vertical="center"/>
    </xf>
    <xf numFmtId="164" fontId="3" fillId="0" borderId="90" xfId="0" applyNumberFormat="1" applyFont="1" applyBorder="1" applyAlignment="1">
      <alignment vertical="center"/>
    </xf>
    <xf numFmtId="4" fontId="3" fillId="0" borderId="91" xfId="0" applyNumberFormat="1" applyFont="1" applyBorder="1" applyAlignment="1">
      <alignment vertical="center"/>
    </xf>
    <xf numFmtId="0" fontId="0" fillId="0" borderId="91" xfId="0" applyFont="1" applyBorder="1" applyAlignment="1">
      <alignment vertical="center"/>
    </xf>
    <xf numFmtId="1" fontId="3" fillId="0" borderId="24" xfId="0" applyNumberFormat="1" applyFont="1" applyBorder="1" applyAlignment="1">
      <alignment horizontal="center" vertical="center"/>
    </xf>
    <xf numFmtId="164" fontId="3" fillId="0" borderId="82" xfId="0" applyNumberFormat="1" applyFont="1" applyBorder="1" applyAlignment="1">
      <alignment vertical="center"/>
    </xf>
    <xf numFmtId="1" fontId="0" fillId="0" borderId="92" xfId="0" applyNumberFormat="1" applyFont="1" applyBorder="1" applyAlignment="1">
      <alignment horizontal="center" vertical="center"/>
    </xf>
    <xf numFmtId="164" fontId="0" fillId="0" borderId="93" xfId="0" applyNumberFormat="1" applyFont="1" applyBorder="1" applyAlignment="1">
      <alignment vertical="center"/>
    </xf>
    <xf numFmtId="164" fontId="0" fillId="0" borderId="2" xfId="0" applyNumberFormat="1" applyFont="1" applyBorder="1" applyAlignment="1">
      <alignment vertical="center"/>
    </xf>
    <xf numFmtId="0" fontId="0" fillId="0" borderId="2" xfId="0" applyFont="1" applyBorder="1" applyAlignment="1">
      <alignment vertical="center"/>
    </xf>
    <xf numFmtId="164" fontId="0" fillId="0" borderId="78" xfId="0" applyNumberFormat="1" applyFont="1" applyBorder="1" applyAlignment="1">
      <alignment vertical="center"/>
    </xf>
    <xf numFmtId="164" fontId="0" fillId="0" borderId="69" xfId="0" applyNumberFormat="1" applyFont="1" applyBorder="1" applyAlignment="1">
      <alignment vertical="center"/>
    </xf>
    <xf numFmtId="0" fontId="0" fillId="0" borderId="69" xfId="0" applyFont="1" applyBorder="1" applyAlignment="1">
      <alignment vertical="center"/>
    </xf>
    <xf numFmtId="1" fontId="0" fillId="0" borderId="80" xfId="0" applyNumberFormat="1" applyFont="1" applyBorder="1" applyAlignment="1">
      <alignment horizontal="center" vertical="center"/>
    </xf>
    <xf numFmtId="1" fontId="0" fillId="0" borderId="35" xfId="0" applyNumberFormat="1" applyFont="1" applyBorder="1" applyAlignment="1">
      <alignment horizontal="center" vertical="center"/>
    </xf>
    <xf numFmtId="164" fontId="3" fillId="0" borderId="86" xfId="0" applyNumberFormat="1" applyFont="1" applyBorder="1" applyAlignment="1">
      <alignment vertical="center"/>
    </xf>
    <xf numFmtId="9" fontId="3" fillId="12" borderId="94" xfId="0" applyNumberFormat="1" applyFont="1" applyFill="1" applyBorder="1" applyAlignment="1">
      <alignment vertical="center"/>
    </xf>
    <xf numFmtId="166" fontId="3" fillId="0" borderId="0" xfId="0" applyNumberFormat="1" applyFont="1" applyAlignment="1">
      <alignment horizontal="center" vertical="center"/>
    </xf>
    <xf numFmtId="0" fontId="13" fillId="15" borderId="8" xfId="0" applyFont="1" applyFill="1" applyBorder="1" applyAlignment="1">
      <alignment horizontal="center" vertical="center"/>
    </xf>
    <xf numFmtId="0" fontId="13" fillId="15" borderId="25" xfId="0" applyFont="1" applyFill="1" applyBorder="1" applyAlignment="1">
      <alignment horizontal="center" vertical="center"/>
    </xf>
    <xf numFmtId="164" fontId="13" fillId="15" borderId="25" xfId="0" applyNumberFormat="1" applyFont="1" applyFill="1" applyBorder="1" applyAlignment="1">
      <alignment horizontal="center" vertical="center"/>
    </xf>
    <xf numFmtId="164" fontId="13" fillId="15" borderId="35" xfId="0" applyNumberFormat="1" applyFont="1" applyFill="1" applyBorder="1" applyAlignment="1">
      <alignment horizontal="center" vertical="center"/>
    </xf>
    <xf numFmtId="0" fontId="0" fillId="0" borderId="18" xfId="0" applyFont="1" applyBorder="1" applyAlignment="1">
      <alignment vertical="center"/>
    </xf>
    <xf numFmtId="0" fontId="0" fillId="0" borderId="18" xfId="0" applyFont="1" applyBorder="1" applyAlignment="1">
      <alignment horizontal="center" vertical="center"/>
    </xf>
    <xf numFmtId="164" fontId="0" fillId="12" borderId="18" xfId="0" applyNumberFormat="1" applyFont="1" applyFill="1" applyBorder="1" applyAlignment="1">
      <alignment horizontal="center" vertical="center"/>
    </xf>
    <xf numFmtId="164" fontId="0" fillId="0" borderId="18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164" fontId="3" fillId="0" borderId="13" xfId="0" applyNumberFormat="1" applyFont="1" applyBorder="1" applyAlignment="1">
      <alignment horizontal="center" vertical="center"/>
    </xf>
    <xf numFmtId="164" fontId="0" fillId="16" borderId="1" xfId="0" applyNumberFormat="1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164" fontId="0" fillId="0" borderId="0" xfId="0" applyNumberFormat="1" applyFont="1" applyAlignment="1">
      <alignment horizontal="right" vertical="center"/>
    </xf>
    <xf numFmtId="164" fontId="0" fillId="0" borderId="1" xfId="0" applyNumberFormat="1" applyFont="1" applyBorder="1" applyAlignment="1">
      <alignment vertical="center"/>
    </xf>
    <xf numFmtId="164" fontId="3" fillId="15" borderId="94" xfId="0" applyNumberFormat="1" applyFont="1" applyFill="1" applyBorder="1" applyAlignment="1">
      <alignment horizontal="center" vertical="center"/>
    </xf>
    <xf numFmtId="1" fontId="0" fillId="1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166" fontId="0" fillId="0" borderId="1" xfId="0" applyNumberFormat="1" applyFont="1" applyBorder="1" applyAlignment="1">
      <alignment horizontal="center" vertical="center"/>
    </xf>
    <xf numFmtId="164" fontId="0" fillId="12" borderId="0" xfId="0" applyNumberFormat="1" applyFont="1" applyFill="1" applyBorder="1" applyAlignment="1">
      <alignment vertical="center"/>
    </xf>
    <xf numFmtId="0" fontId="0" fillId="12" borderId="0" xfId="0" applyFont="1" applyFill="1" applyBorder="1" applyAlignment="1">
      <alignment vertical="center"/>
    </xf>
    <xf numFmtId="166" fontId="0" fillId="0" borderId="1" xfId="0" applyNumberFormat="1" applyFont="1" applyBorder="1" applyAlignment="1">
      <alignment vertical="center"/>
    </xf>
    <xf numFmtId="0" fontId="0" fillId="0" borderId="18" xfId="0" applyFont="1" applyBorder="1" applyAlignment="1">
      <alignment horizontal="left" vertical="top" wrapText="1"/>
    </xf>
    <xf numFmtId="164" fontId="3" fillId="15" borderId="49" xfId="0" applyNumberFormat="1" applyFont="1" applyFill="1" applyBorder="1" applyAlignment="1">
      <alignment vertical="center"/>
    </xf>
    <xf numFmtId="164" fontId="0" fillId="1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horizontal="left" vertical="center"/>
    </xf>
    <xf numFmtId="0" fontId="3" fillId="0" borderId="86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164" fontId="3" fillId="0" borderId="94" xfId="0" applyNumberFormat="1" applyFont="1" applyBorder="1" applyAlignment="1">
      <alignment vertical="center"/>
    </xf>
    <xf numFmtId="0" fontId="13" fillId="15" borderId="25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4" fontId="0" fillId="1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1" fontId="0" fillId="0" borderId="1" xfId="0" applyNumberFormat="1" applyFont="1" applyBorder="1" applyAlignment="1">
      <alignment horizontal="center" vertical="center"/>
    </xf>
    <xf numFmtId="0" fontId="0" fillId="0" borderId="34" xfId="0" applyFont="1" applyBorder="1" applyAlignment="1">
      <alignment vertical="center"/>
    </xf>
    <xf numFmtId="164" fontId="0" fillId="0" borderId="34" xfId="0" applyNumberFormat="1" applyFont="1" applyBorder="1" applyAlignment="1">
      <alignment vertical="center"/>
    </xf>
    <xf numFmtId="164" fontId="0" fillId="0" borderId="94" xfId="0" applyNumberFormat="1" applyFont="1" applyBorder="1" applyAlignment="1">
      <alignment vertical="center"/>
    </xf>
    <xf numFmtId="164" fontId="3" fillId="15" borderId="49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Font="1" applyAlignment="1">
      <alignment vertical="top" wrapText="1"/>
    </xf>
    <xf numFmtId="170" fontId="0" fillId="0" borderId="0" xfId="0" applyNumberFormat="1" applyFont="1" applyAlignment="1">
      <alignment vertical="center"/>
    </xf>
    <xf numFmtId="0" fontId="3" fillId="0" borderId="95" xfId="0" applyFont="1" applyBorder="1" applyAlignment="1">
      <alignment vertical="center"/>
    </xf>
    <xf numFmtId="0" fontId="3" fillId="0" borderId="95" xfId="0" applyFont="1" applyBorder="1" applyAlignment="1">
      <alignment horizontal="center" vertical="center"/>
    </xf>
    <xf numFmtId="164" fontId="3" fillId="0" borderId="9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4" fontId="0" fillId="0" borderId="1" xfId="0" applyNumberFormat="1" applyFont="1" applyBorder="1" applyAlignment="1">
      <alignment horizontal="center" vertical="center"/>
    </xf>
    <xf numFmtId="3" fontId="0" fillId="0" borderId="0" xfId="0" applyNumberFormat="1" applyFont="1" applyAlignment="1">
      <alignment vertical="center"/>
    </xf>
    <xf numFmtId="3" fontId="0" fillId="12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" fontId="0" fillId="12" borderId="1" xfId="0" applyNumberFormat="1" applyFont="1" applyFill="1" applyBorder="1" applyAlignment="1">
      <alignment vertical="center"/>
    </xf>
    <xf numFmtId="4" fontId="0" fillId="12" borderId="18" xfId="0" applyNumberFormat="1" applyFont="1" applyFill="1" applyBorder="1" applyAlignment="1">
      <alignment horizontal="center" vertical="center"/>
    </xf>
    <xf numFmtId="171" fontId="0" fillId="12" borderId="18" xfId="0" applyNumberFormat="1" applyFont="1" applyFill="1" applyBorder="1" applyAlignment="1">
      <alignment horizontal="center" vertical="center"/>
    </xf>
    <xf numFmtId="171" fontId="0" fillId="0" borderId="18" xfId="0" applyNumberFormat="1" applyFont="1" applyBorder="1" applyAlignment="1">
      <alignment horizontal="center" vertical="center"/>
    </xf>
    <xf numFmtId="164" fontId="13" fillId="15" borderId="25" xfId="0" applyNumberFormat="1" applyFont="1" applyFill="1" applyBorder="1" applyAlignment="1">
      <alignment horizontal="center" vertical="center" wrapText="1"/>
    </xf>
    <xf numFmtId="172" fontId="0" fillId="0" borderId="1" xfId="0" applyNumberFormat="1" applyFont="1" applyBorder="1" applyAlignment="1">
      <alignment horizontal="center" vertical="center"/>
    </xf>
    <xf numFmtId="0" fontId="0" fillId="12" borderId="18" xfId="0" applyFont="1" applyFill="1" applyBorder="1" applyAlignment="1">
      <alignment horizontal="center" vertical="center"/>
    </xf>
    <xf numFmtId="3" fontId="0" fillId="1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left"/>
    </xf>
    <xf numFmtId="0" fontId="16" fillId="15" borderId="8" xfId="0" applyFont="1" applyFill="1" applyBorder="1" applyAlignment="1">
      <alignment horizontal="center"/>
    </xf>
    <xf numFmtId="0" fontId="16" fillId="15" borderId="25" xfId="0" applyFont="1" applyFill="1" applyBorder="1" applyAlignment="1">
      <alignment horizontal="center"/>
    </xf>
    <xf numFmtId="164" fontId="16" fillId="15" borderId="25" xfId="0" applyNumberFormat="1" applyFont="1" applyFill="1" applyBorder="1" applyAlignment="1">
      <alignment horizontal="center"/>
    </xf>
    <xf numFmtId="164" fontId="16" fillId="15" borderId="35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4" fontId="4" fillId="0" borderId="1" xfId="0" applyNumberFormat="1" applyFont="1" applyBorder="1" applyAlignment="1">
      <alignment horizontal="center"/>
    </xf>
    <xf numFmtId="164" fontId="4" fillId="12" borderId="18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4" fillId="0" borderId="14" xfId="0" applyNumberFormat="1" applyFont="1" applyBorder="1" applyAlignment="1">
      <alignment horizontal="center"/>
    </xf>
    <xf numFmtId="164" fontId="16" fillId="0" borderId="1" xfId="0" applyNumberFormat="1" applyFont="1" applyBorder="1" applyAlignment="1">
      <alignment horizontal="center"/>
    </xf>
    <xf numFmtId="164" fontId="4" fillId="0" borderId="0" xfId="0" applyNumberFormat="1" applyFont="1" applyAlignment="1">
      <alignment horizontal="right"/>
    </xf>
    <xf numFmtId="164" fontId="4" fillId="0" borderId="18" xfId="0" applyNumberFormat="1" applyFont="1" applyBorder="1" applyAlignment="1">
      <alignment horizontal="right"/>
    </xf>
    <xf numFmtId="164" fontId="16" fillId="15" borderId="94" xfId="0" applyNumberFormat="1" applyFont="1" applyFill="1" applyBorder="1" applyAlignment="1">
      <alignment horizontal="center"/>
    </xf>
    <xf numFmtId="0" fontId="16" fillId="0" borderId="86" xfId="0" applyFont="1" applyBorder="1" applyAlignment="1">
      <alignment horizontal="left"/>
    </xf>
    <xf numFmtId="0" fontId="4" fillId="0" borderId="34" xfId="0" applyFont="1" applyBorder="1" applyAlignment="1">
      <alignment horizontal="left"/>
    </xf>
    <xf numFmtId="164" fontId="4" fillId="0" borderId="34" xfId="0" applyNumberFormat="1" applyFont="1" applyBorder="1" applyAlignment="1">
      <alignment horizontal="left"/>
    </xf>
    <xf numFmtId="164" fontId="4" fillId="0" borderId="94" xfId="0" applyNumberFormat="1" applyFont="1" applyBorder="1" applyAlignment="1">
      <alignment horizontal="left"/>
    </xf>
    <xf numFmtId="164" fontId="16" fillId="15" borderId="49" xfId="0" applyNumberFormat="1" applyFont="1" applyFill="1" applyBorder="1" applyAlignment="1">
      <alignment horizontal="center"/>
    </xf>
    <xf numFmtId="0" fontId="0" fillId="7" borderId="18" xfId="0" applyFont="1" applyFill="1" applyBorder="1" applyAlignment="1">
      <alignment vertical="center"/>
    </xf>
    <xf numFmtId="0" fontId="0" fillId="7" borderId="18" xfId="0" applyFont="1" applyFill="1" applyBorder="1" applyAlignment="1">
      <alignment horizontal="center" vertical="center"/>
    </xf>
    <xf numFmtId="164" fontId="0" fillId="16" borderId="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164" fontId="20" fillId="0" borderId="0" xfId="0" applyNumberFormat="1" applyFont="1" applyAlignment="1">
      <alignment vertical="center"/>
    </xf>
    <xf numFmtId="164" fontId="21" fillId="12" borderId="1" xfId="0" applyNumberFormat="1" applyFont="1" applyFill="1" applyBorder="1" applyAlignment="1">
      <alignment horizontal="center" vertical="center"/>
    </xf>
    <xf numFmtId="0" fontId="4" fillId="0" borderId="0" xfId="0" applyFont="1" applyAlignment="1"/>
    <xf numFmtId="164" fontId="4" fillId="0" borderId="0" xfId="0" applyNumberFormat="1" applyFont="1" applyAlignment="1"/>
    <xf numFmtId="0" fontId="4" fillId="0" borderId="1" xfId="0" applyFont="1" applyBorder="1" applyAlignment="1"/>
    <xf numFmtId="0" fontId="16" fillId="0" borderId="1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164" fontId="4" fillId="0" borderId="14" xfId="0" applyNumberFormat="1" applyFont="1" applyBorder="1" applyAlignment="1"/>
    <xf numFmtId="0" fontId="16" fillId="0" borderId="86" xfId="0" applyFont="1" applyBorder="1" applyAlignment="1"/>
    <xf numFmtId="0" fontId="4" fillId="0" borderId="34" xfId="0" applyFont="1" applyBorder="1" applyAlignment="1"/>
    <xf numFmtId="164" fontId="4" fillId="0" borderId="34" xfId="0" applyNumberFormat="1" applyFont="1" applyBorder="1" applyAlignment="1"/>
    <xf numFmtId="164" fontId="4" fillId="0" borderId="94" xfId="0" applyNumberFormat="1" applyFont="1" applyBorder="1" applyAlignment="1"/>
    <xf numFmtId="2" fontId="0" fillId="12" borderId="1" xfId="0" applyNumberFormat="1" applyFont="1" applyFill="1" applyBorder="1" applyAlignment="1">
      <alignment horizontal="center" vertical="center"/>
    </xf>
    <xf numFmtId="164" fontId="3" fillId="0" borderId="86" xfId="0" applyNumberFormat="1" applyFont="1" applyBorder="1" applyAlignment="1">
      <alignment horizontal="left" vertical="center" wrapText="1"/>
    </xf>
    <xf numFmtId="0" fontId="3" fillId="0" borderId="86" xfId="0" applyFont="1" applyBorder="1" applyAlignment="1">
      <alignment horizontal="left" vertical="center"/>
    </xf>
    <xf numFmtId="164" fontId="1" fillId="0" borderId="0" xfId="0" applyNumberFormat="1" applyFont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64" fontId="3" fillId="12" borderId="4" xfId="0" applyNumberFormat="1" applyFont="1" applyFill="1" applyBorder="1" applyAlignment="1">
      <alignment horizontal="center" vertical="center"/>
    </xf>
    <xf numFmtId="164" fontId="3" fillId="0" borderId="14" xfId="0" applyNumberFormat="1" applyFont="1" applyBorder="1" applyAlignment="1">
      <alignment vertical="center"/>
    </xf>
    <xf numFmtId="164" fontId="3" fillId="0" borderId="94" xfId="0" applyNumberFormat="1" applyFont="1" applyBorder="1" applyAlignment="1">
      <alignment horizontal="right" vertical="center"/>
    </xf>
    <xf numFmtId="173" fontId="3" fillId="15" borderId="49" xfId="0" applyNumberFormat="1" applyFont="1" applyFill="1" applyBorder="1" applyAlignment="1">
      <alignment horizontal="right" vertical="center"/>
    </xf>
    <xf numFmtId="174" fontId="3" fillId="15" borderId="49" xfId="0" applyNumberFormat="1" applyFont="1" applyFill="1" applyBorder="1" applyAlignment="1">
      <alignment horizontal="right" vertical="center"/>
    </xf>
    <xf numFmtId="10" fontId="3" fillId="0" borderId="35" xfId="0" applyNumberFormat="1" applyFont="1" applyBorder="1" applyAlignment="1">
      <alignment vertical="center"/>
    </xf>
    <xf numFmtId="164" fontId="0" fillId="0" borderId="3" xfId="0" applyNumberFormat="1" applyFont="1" applyBorder="1" applyAlignment="1">
      <alignment vertical="center"/>
    </xf>
    <xf numFmtId="164" fontId="3" fillId="0" borderId="86" xfId="0" applyNumberFormat="1" applyFont="1" applyBorder="1" applyAlignment="1">
      <alignment vertical="center" wrapText="1"/>
    </xf>
    <xf numFmtId="0" fontId="22" fillId="0" borderId="19" xfId="0" applyFont="1" applyBorder="1" applyAlignment="1">
      <alignment vertical="top" wrapText="1"/>
    </xf>
    <xf numFmtId="0" fontId="0" fillId="0" borderId="96" xfId="0" applyFont="1" applyBorder="1" applyAlignment="1">
      <alignment vertical="center"/>
    </xf>
    <xf numFmtId="166" fontId="0" fillId="0" borderId="27" xfId="0" applyNumberFormat="1" applyFont="1" applyBorder="1" applyAlignment="1">
      <alignment vertical="center"/>
    </xf>
    <xf numFmtId="164" fontId="0" fillId="12" borderId="27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0" fillId="5" borderId="18" xfId="0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18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4" fillId="0" borderId="6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10" fontId="4" fillId="0" borderId="12" xfId="0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left" vertical="center"/>
    </xf>
    <xf numFmtId="10" fontId="16" fillId="0" borderId="12" xfId="0" applyNumberFormat="1" applyFont="1" applyBorder="1" applyAlignment="1">
      <alignment horizontal="right" vertical="center"/>
    </xf>
    <xf numFmtId="0" fontId="4" fillId="13" borderId="60" xfId="0" applyFont="1" applyFill="1" applyBorder="1" applyAlignment="1">
      <alignment horizontal="left" vertical="center"/>
    </xf>
    <xf numFmtId="0" fontId="16" fillId="13" borderId="1" xfId="0" applyFont="1" applyFill="1" applyBorder="1" applyAlignment="1">
      <alignment horizontal="left" vertical="center"/>
    </xf>
    <xf numFmtId="10" fontId="16" fillId="13" borderId="12" xfId="0" applyNumberFormat="1" applyFont="1" applyFill="1" applyBorder="1" applyAlignment="1">
      <alignment horizontal="right" vertical="center"/>
    </xf>
    <xf numFmtId="10" fontId="0" fillId="0" borderId="0" xfId="0" applyNumberFormat="1" applyFont="1"/>
    <xf numFmtId="9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4" fillId="17" borderId="62" xfId="0" applyFont="1" applyFill="1" applyBorder="1" applyAlignment="1">
      <alignment horizontal="left" vertical="center"/>
    </xf>
    <xf numFmtId="0" fontId="16" fillId="17" borderId="79" xfId="0" applyFont="1" applyFill="1" applyBorder="1" applyAlignment="1">
      <alignment horizontal="left" vertical="center"/>
    </xf>
    <xf numFmtId="10" fontId="16" fillId="17" borderId="80" xfId="0" applyNumberFormat="1" applyFont="1" applyFill="1" applyBorder="1" applyAlignment="1">
      <alignment horizontal="right" vertical="center"/>
    </xf>
    <xf numFmtId="0" fontId="16" fillId="0" borderId="0" xfId="0" applyFont="1" applyAlignment="1">
      <alignment horizontal="left" vertical="center"/>
    </xf>
    <xf numFmtId="10" fontId="16" fillId="0" borderId="0" xfId="0" applyNumberFormat="1" applyFont="1" applyAlignment="1">
      <alignment horizontal="right" vertical="center"/>
    </xf>
    <xf numFmtId="0" fontId="0" fillId="7" borderId="0" xfId="0" applyFont="1" applyFill="1" applyBorder="1" applyAlignment="1">
      <alignment horizontal="left" vertical="center"/>
    </xf>
    <xf numFmtId="10" fontId="4" fillId="0" borderId="0" xfId="0" applyNumberFormat="1" applyFont="1" applyAlignment="1">
      <alignment horizontal="right" vertical="center"/>
    </xf>
    <xf numFmtId="0" fontId="4" fillId="7" borderId="0" xfId="0" applyFont="1" applyFill="1" applyBorder="1" applyAlignment="1">
      <alignment horizontal="left" vertical="center"/>
    </xf>
    <xf numFmtId="0" fontId="6" fillId="0" borderId="0" xfId="0" applyFont="1"/>
    <xf numFmtId="0" fontId="16" fillId="0" borderId="77" xfId="0" applyFont="1" applyBorder="1"/>
    <xf numFmtId="0" fontId="4" fillId="0" borderId="85" xfId="0" applyFont="1" applyBorder="1"/>
    <xf numFmtId="0" fontId="16" fillId="0" borderId="32" xfId="0" applyFont="1" applyBorder="1"/>
    <xf numFmtId="166" fontId="16" fillId="12" borderId="12" xfId="0" applyNumberFormat="1" applyFont="1" applyFill="1" applyBorder="1"/>
    <xf numFmtId="0" fontId="16" fillId="0" borderId="60" xfId="0" applyFont="1" applyBorder="1"/>
    <xf numFmtId="0" fontId="4" fillId="0" borderId="60" xfId="0" applyFont="1" applyBorder="1"/>
    <xf numFmtId="0" fontId="4" fillId="12" borderId="12" xfId="0" applyFont="1" applyFill="1" applyBorder="1"/>
    <xf numFmtId="0" fontId="4" fillId="0" borderId="32" xfId="0" applyFont="1" applyBorder="1"/>
    <xf numFmtId="0" fontId="4" fillId="12" borderId="92" xfId="0" applyFont="1" applyFill="1" applyBorder="1"/>
    <xf numFmtId="0" fontId="4" fillId="0" borderId="93" xfId="0" applyFont="1" applyBorder="1"/>
    <xf numFmtId="0" fontId="4" fillId="0" borderId="97" xfId="0" applyFont="1" applyBorder="1"/>
    <xf numFmtId="166" fontId="4" fillId="12" borderId="29" xfId="0" applyNumberFormat="1" applyFont="1" applyFill="1" applyBorder="1"/>
    <xf numFmtId="166" fontId="4" fillId="12" borderId="12" xfId="0" applyNumberFormat="1" applyFont="1" applyFill="1" applyBorder="1"/>
    <xf numFmtId="166" fontId="4" fillId="0" borderId="12" xfId="0" applyNumberFormat="1" applyFont="1" applyBorder="1"/>
    <xf numFmtId="0" fontId="4" fillId="0" borderId="82" xfId="0" applyFont="1" applyBorder="1"/>
    <xf numFmtId="0" fontId="4" fillId="0" borderId="48" xfId="0" applyFont="1" applyBorder="1"/>
    <xf numFmtId="166" fontId="16" fillId="0" borderId="92" xfId="0" applyNumberFormat="1" applyFont="1" applyBorder="1"/>
    <xf numFmtId="10" fontId="16" fillId="0" borderId="12" xfId="0" applyNumberFormat="1" applyFont="1" applyBorder="1"/>
    <xf numFmtId="175" fontId="16" fillId="0" borderId="12" xfId="0" applyNumberFormat="1" applyFont="1" applyBorder="1"/>
    <xf numFmtId="0" fontId="16" fillId="0" borderId="12" xfId="0" applyFont="1" applyBorder="1"/>
    <xf numFmtId="0" fontId="16" fillId="0" borderId="92" xfId="0" applyFont="1" applyBorder="1"/>
    <xf numFmtId="9" fontId="16" fillId="0" borderId="12" xfId="0" applyNumberFormat="1" applyFont="1" applyBorder="1"/>
    <xf numFmtId="0" fontId="16" fillId="0" borderId="90" xfId="0" applyFont="1" applyBorder="1"/>
    <xf numFmtId="9" fontId="16" fillId="0" borderId="24" xfId="0" applyNumberFormat="1" applyFont="1" applyBorder="1"/>
    <xf numFmtId="0" fontId="4" fillId="0" borderId="0" xfId="0" applyFont="1"/>
    <xf numFmtId="0" fontId="1" fillId="0" borderId="8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6" fillId="0" borderId="82" xfId="0" applyFont="1" applyBorder="1" applyAlignment="1">
      <alignment horizontal="left" vertical="center"/>
    </xf>
    <xf numFmtId="9" fontId="4" fillId="0" borderId="60" xfId="0" applyNumberFormat="1" applyFont="1" applyBorder="1"/>
    <xf numFmtId="9" fontId="4" fillId="0" borderId="1" xfId="0" applyNumberFormat="1" applyFont="1" applyBorder="1" applyAlignment="1">
      <alignment horizontal="center"/>
    </xf>
    <xf numFmtId="9" fontId="4" fillId="0" borderId="12" xfId="0" applyNumberFormat="1" applyFont="1" applyBorder="1"/>
    <xf numFmtId="0" fontId="4" fillId="0" borderId="54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10" fontId="4" fillId="12" borderId="65" xfId="0" applyNumberFormat="1" applyFont="1" applyFill="1" applyBorder="1" applyAlignment="1">
      <alignment horizontal="center" vertical="center"/>
    </xf>
    <xf numFmtId="10" fontId="4" fillId="0" borderId="60" xfId="0" applyNumberFormat="1" applyFont="1" applyBorder="1" applyAlignment="1">
      <alignment horizontal="right"/>
    </xf>
    <xf numFmtId="10" fontId="4" fillId="0" borderId="1" xfId="0" applyNumberFormat="1" applyFont="1" applyBorder="1" applyAlignment="1">
      <alignment horizontal="right"/>
    </xf>
    <xf numFmtId="10" fontId="4" fillId="0" borderId="12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10" fontId="4" fillId="12" borderId="12" xfId="0" applyNumberFormat="1" applyFont="1" applyFill="1" applyBorder="1" applyAlignment="1">
      <alignment horizontal="center" vertical="center"/>
    </xf>
    <xf numFmtId="10" fontId="4" fillId="0" borderId="12" xfId="0" applyNumberFormat="1" applyFont="1" applyBorder="1" applyAlignment="1">
      <alignment horizontal="center" vertical="center"/>
    </xf>
    <xf numFmtId="10" fontId="4" fillId="12" borderId="1" xfId="0" applyNumberFormat="1" applyFont="1" applyFill="1" applyBorder="1" applyAlignment="1">
      <alignment horizontal="center"/>
    </xf>
    <xf numFmtId="10" fontId="4" fillId="0" borderId="12" xfId="0" applyNumberFormat="1" applyFont="1" applyBorder="1"/>
    <xf numFmtId="0" fontId="4" fillId="0" borderId="60" xfId="0" applyFont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0" borderId="12" xfId="0" applyFont="1" applyBorder="1"/>
    <xf numFmtId="0" fontId="4" fillId="0" borderId="62" xfId="0" applyFont="1" applyBorder="1" applyAlignment="1">
      <alignment horizontal="left" vertical="center"/>
    </xf>
    <xf numFmtId="10" fontId="4" fillId="12" borderId="80" xfId="0" applyNumberFormat="1" applyFont="1" applyFill="1" applyBorder="1" applyAlignment="1">
      <alignment horizontal="center" vertical="center"/>
    </xf>
    <xf numFmtId="0" fontId="4" fillId="0" borderId="98" xfId="0" applyFont="1" applyBorder="1" applyAlignment="1">
      <alignment vertical="center"/>
    </xf>
    <xf numFmtId="0" fontId="4" fillId="0" borderId="99" xfId="0" applyFont="1" applyBorder="1" applyAlignment="1">
      <alignment vertical="center"/>
    </xf>
    <xf numFmtId="10" fontId="4" fillId="0" borderId="100" xfId="0" applyNumberFormat="1" applyFont="1" applyBorder="1" applyAlignment="1">
      <alignment vertical="center"/>
    </xf>
    <xf numFmtId="0" fontId="4" fillId="0" borderId="90" xfId="0" applyFont="1" applyBorder="1" applyAlignment="1">
      <alignment horizontal="left" vertical="center"/>
    </xf>
    <xf numFmtId="0" fontId="4" fillId="0" borderId="91" xfId="0" applyFont="1" applyBorder="1" applyAlignment="1">
      <alignment horizontal="left" vertical="center"/>
    </xf>
    <xf numFmtId="0" fontId="4" fillId="0" borderId="101" xfId="0" applyFont="1" applyBorder="1" applyAlignment="1">
      <alignment vertical="center"/>
    </xf>
    <xf numFmtId="0" fontId="16" fillId="13" borderId="86" xfId="0" applyFont="1" applyFill="1" applyBorder="1" applyAlignment="1">
      <alignment vertical="center" wrapText="1"/>
    </xf>
    <xf numFmtId="0" fontId="4" fillId="13" borderId="34" xfId="0" applyFont="1" applyFill="1" applyBorder="1" applyAlignment="1">
      <alignment vertical="center"/>
    </xf>
    <xf numFmtId="10" fontId="16" fillId="13" borderId="94" xfId="0" applyNumberFormat="1" applyFont="1" applyFill="1" applyBorder="1" applyAlignment="1">
      <alignment horizontal="center" vertical="center" wrapText="1"/>
    </xf>
    <xf numFmtId="10" fontId="4" fillId="0" borderId="62" xfId="0" applyNumberFormat="1" applyFont="1" applyBorder="1" applyAlignment="1">
      <alignment horizontal="right"/>
    </xf>
    <xf numFmtId="10" fontId="4" fillId="0" borderId="79" xfId="0" applyNumberFormat="1" applyFont="1" applyBorder="1" applyAlignment="1">
      <alignment horizontal="right"/>
    </xf>
    <xf numFmtId="10" fontId="4" fillId="0" borderId="80" xfId="0" applyNumberFormat="1" applyFont="1" applyBorder="1" applyAlignment="1">
      <alignment horizontal="right"/>
    </xf>
    <xf numFmtId="0" fontId="16" fillId="0" borderId="60" xfId="0" applyFont="1" applyBorder="1" applyAlignment="1">
      <alignment horizontal="center" vertical="center"/>
    </xf>
    <xf numFmtId="0" fontId="16" fillId="19" borderId="1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2" fontId="4" fillId="19" borderId="1" xfId="0" applyNumberFormat="1" applyFont="1" applyFill="1" applyBorder="1" applyAlignment="1">
      <alignment horizontal="right" vertical="center"/>
    </xf>
    <xf numFmtId="0" fontId="4" fillId="0" borderId="62" xfId="0" applyFont="1" applyBorder="1" applyAlignment="1">
      <alignment horizontal="center" vertical="center"/>
    </xf>
    <xf numFmtId="2" fontId="4" fillId="19" borderId="79" xfId="0" applyNumberFormat="1" applyFont="1" applyFill="1" applyBorder="1" applyAlignment="1">
      <alignment horizontal="right" vertical="center"/>
    </xf>
    <xf numFmtId="0" fontId="18" fillId="18" borderId="31" xfId="0" applyFont="1" applyFill="1" applyBorder="1" applyAlignment="1">
      <alignment horizontal="center"/>
    </xf>
    <xf numFmtId="0" fontId="0" fillId="0" borderId="44" xfId="0" applyFont="1" applyBorder="1"/>
    <xf numFmtId="0" fontId="17" fillId="0" borderId="44" xfId="0" applyFont="1" applyBorder="1" applyAlignment="1">
      <alignment horizontal="left"/>
    </xf>
    <xf numFmtId="0" fontId="17" fillId="0" borderId="53" xfId="0" applyFont="1" applyBorder="1" applyAlignment="1">
      <alignment horizontal="left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left" vertical="center" wrapText="1"/>
    </xf>
    <xf numFmtId="165" fontId="10" fillId="0" borderId="13" xfId="0" applyNumberFormat="1" applyFont="1" applyBorder="1" applyAlignment="1">
      <alignment horizontal="center" vertical="center" wrapText="1"/>
    </xf>
    <xf numFmtId="165" fontId="10" fillId="0" borderId="18" xfId="0" applyNumberFormat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165" fontId="10" fillId="7" borderId="2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165" fontId="10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9" fillId="8" borderId="31" xfId="0" applyFont="1" applyFill="1" applyBorder="1" applyAlignment="1">
      <alignment horizontal="center" vertical="center" wrapText="1"/>
    </xf>
    <xf numFmtId="0" fontId="9" fillId="8" borderId="32" xfId="0" applyFont="1" applyFill="1" applyBorder="1" applyAlignment="1">
      <alignment horizontal="center" vertical="center" wrapText="1"/>
    </xf>
    <xf numFmtId="0" fontId="9" fillId="8" borderId="35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wrapText="1"/>
    </xf>
    <xf numFmtId="0" fontId="9" fillId="9" borderId="31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center" wrapText="1"/>
    </xf>
    <xf numFmtId="0" fontId="10" fillId="0" borderId="40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center" wrapText="1"/>
    </xf>
    <xf numFmtId="0" fontId="4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4" fillId="0" borderId="48" xfId="0" applyFont="1" applyBorder="1" applyAlignment="1">
      <alignment horizontal="center" wrapText="1"/>
    </xf>
    <xf numFmtId="0" fontId="9" fillId="9" borderId="49" xfId="0" applyFont="1" applyFill="1" applyBorder="1" applyAlignment="1">
      <alignment horizontal="center" vertical="center" wrapText="1"/>
    </xf>
    <xf numFmtId="0" fontId="10" fillId="0" borderId="50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9" fillId="10" borderId="54" xfId="0" applyFont="1" applyFill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9" fillId="10" borderId="55" xfId="0" applyFont="1" applyFill="1" applyBorder="1" applyAlignment="1">
      <alignment horizontal="center" vertical="center" wrapText="1"/>
    </xf>
    <xf numFmtId="0" fontId="9" fillId="10" borderId="56" xfId="0" applyFont="1" applyFill="1" applyBorder="1" applyAlignment="1">
      <alignment horizontal="center" vertical="center" wrapText="1"/>
    </xf>
    <xf numFmtId="0" fontId="10" fillId="11" borderId="3" xfId="0" applyFont="1" applyFill="1" applyBorder="1" applyAlignment="1">
      <alignment horizontal="center" vertical="center" wrapText="1"/>
    </xf>
    <xf numFmtId="0" fontId="10" fillId="11" borderId="63" xfId="0" applyFont="1" applyFill="1" applyBorder="1" applyAlignment="1">
      <alignment horizontal="center" vertical="center" wrapText="1"/>
    </xf>
    <xf numFmtId="0" fontId="0" fillId="12" borderId="1" xfId="0" applyFont="1" applyFill="1" applyBorder="1" applyAlignment="1">
      <alignment vertical="center"/>
    </xf>
    <xf numFmtId="0" fontId="9" fillId="10" borderId="65" xfId="0" applyFont="1" applyFill="1" applyBorder="1" applyAlignment="1">
      <alignment horizontal="center" vertical="center" wrapText="1"/>
    </xf>
    <xf numFmtId="0" fontId="15" fillId="10" borderId="65" xfId="0" applyFont="1" applyFill="1" applyBorder="1" applyAlignment="1">
      <alignment horizontal="center" vertical="center" wrapText="1"/>
    </xf>
    <xf numFmtId="0" fontId="10" fillId="13" borderId="39" xfId="0" applyFont="1" applyFill="1" applyBorder="1" applyAlignment="1">
      <alignment horizontal="left" vertical="center" wrapText="1"/>
    </xf>
    <xf numFmtId="0" fontId="10" fillId="13" borderId="24" xfId="0" applyFont="1" applyFill="1" applyBorder="1" applyAlignment="1">
      <alignment horizontal="left" vertical="center" wrapText="1"/>
    </xf>
    <xf numFmtId="0" fontId="18" fillId="14" borderId="31" xfId="0" applyFont="1" applyFill="1" applyBorder="1" applyAlignment="1">
      <alignment horizontal="center" vertical="center"/>
    </xf>
    <xf numFmtId="0" fontId="16" fillId="14" borderId="81" xfId="0" applyFont="1" applyFill="1" applyBorder="1" applyAlignment="1">
      <alignment horizontal="center" vertical="center"/>
    </xf>
    <xf numFmtId="164" fontId="1" fillId="14" borderId="49" xfId="0" applyNumberFormat="1" applyFont="1" applyFill="1" applyBorder="1" applyAlignment="1">
      <alignment horizontal="center" vertical="center"/>
    </xf>
    <xf numFmtId="164" fontId="3" fillId="0" borderId="77" xfId="0" applyNumberFormat="1" applyFont="1" applyBorder="1" applyAlignment="1">
      <alignment horizontal="left" vertical="center"/>
    </xf>
    <xf numFmtId="164" fontId="0" fillId="0" borderId="60" xfId="0" applyNumberFormat="1" applyFont="1" applyBorder="1" applyAlignment="1">
      <alignment horizontal="left" vertical="top" wrapText="1"/>
    </xf>
    <xf numFmtId="164" fontId="3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86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vertical="top" wrapText="1"/>
    </xf>
    <xf numFmtId="164" fontId="0" fillId="0" borderId="0" xfId="0" applyNumberFormat="1" applyFont="1" applyBorder="1" applyAlignment="1">
      <alignment vertical="center"/>
    </xf>
    <xf numFmtId="0" fontId="18" fillId="14" borderId="56" xfId="0" applyFont="1" applyFill="1" applyBorder="1" applyAlignment="1">
      <alignment horizontal="center" vertical="center"/>
    </xf>
    <xf numFmtId="0" fontId="18" fillId="18" borderId="56" xfId="0" applyFont="1" applyFill="1" applyBorder="1" applyAlignment="1">
      <alignment horizontal="center"/>
    </xf>
    <xf numFmtId="0" fontId="1" fillId="18" borderId="31" xfId="0" applyFont="1" applyFill="1" applyBorder="1" applyAlignment="1">
      <alignment horizontal="center" vertical="center"/>
    </xf>
    <xf numFmtId="9" fontId="16" fillId="0" borderId="56" xfId="0" applyNumberFormat="1" applyFont="1" applyBorder="1" applyAlignment="1">
      <alignment horizontal="center"/>
    </xf>
    <xf numFmtId="0" fontId="4" fillId="0" borderId="79" xfId="0" applyFont="1" applyBorder="1" applyAlignment="1">
      <alignment horizontal="center" vertical="center"/>
    </xf>
    <xf numFmtId="0" fontId="1" fillId="18" borderId="8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EECE1"/>
      <rgbColor rgb="FF660066"/>
      <rgbColor rgb="FFFF8080"/>
      <rgbColor rgb="FF0070C0"/>
      <rgbColor rgb="FFC6D9F1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E6E0EC"/>
      <rgbColor rgb="FFEBF1DE"/>
      <rgbColor rgb="FFFFFBCC"/>
      <rgbColor rgb="FFBFBFBF"/>
      <rgbColor rgb="FFDDD9C3"/>
      <rgbColor rgb="FFD9D9D9"/>
      <rgbColor rgb="FFFAD3B3"/>
      <rgbColor rgb="FF3366FF"/>
      <rgbColor rgb="FF33CCCC"/>
      <rgbColor rgb="FFC3D69B"/>
      <rgbColor rgb="FFFDEADA"/>
      <rgbColor rgb="FFFF9900"/>
      <rgbColor rgb="FFFF6600"/>
      <rgbColor rgb="FF666699"/>
      <rgbColor rgb="FFA6A6A6"/>
      <rgbColor rgb="FF003366"/>
      <rgbColor rgb="FF339966"/>
      <rgbColor rgb="FF111111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1428750</xdr:colOff>
      <xdr:row>47</xdr:row>
      <xdr:rowOff>190500</xdr:rowOff>
    </xdr:to>
    <xdr:sp macro="" textlink="">
      <xdr:nvSpPr>
        <xdr:cNvPr id="10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1428750</xdr:colOff>
      <xdr:row>47</xdr:row>
      <xdr:rowOff>190500</xdr:rowOff>
    </xdr:to>
    <xdr:sp macro="" textlink="">
      <xdr:nvSpPr>
        <xdr:cNvPr id="10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1428750</xdr:colOff>
      <xdr:row>47</xdr:row>
      <xdr:rowOff>190500</xdr:rowOff>
    </xdr:to>
    <xdr:sp macro="" textlink="">
      <xdr:nvSpPr>
        <xdr:cNvPr id="10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1428750</xdr:colOff>
      <xdr:row>47</xdr:row>
      <xdr:rowOff>190500</xdr:rowOff>
    </xdr:to>
    <xdr:sp macro="" textlink="">
      <xdr:nvSpPr>
        <xdr:cNvPr id="10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1428750</xdr:colOff>
      <xdr:row>47</xdr:row>
      <xdr:rowOff>190500</xdr:rowOff>
    </xdr:to>
    <xdr:sp macro="" textlink="">
      <xdr:nvSpPr>
        <xdr:cNvPr id="10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1428750</xdr:colOff>
      <xdr:row>47</xdr:row>
      <xdr:rowOff>190500</xdr:rowOff>
    </xdr:to>
    <xdr:sp macro="" textlink="">
      <xdr:nvSpPr>
        <xdr:cNvPr id="10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1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1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1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1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5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8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8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8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8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8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7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6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6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6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5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1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1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1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1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4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8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8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8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8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8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7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6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6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6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5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1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1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1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1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3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8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8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8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8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8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7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6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6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6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5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1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1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1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1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2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8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8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8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8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8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7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6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6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6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5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1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1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1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1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1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8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8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8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8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8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7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6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6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6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5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1724025</xdr:colOff>
      <xdr:row>47</xdr:row>
      <xdr:rowOff>171450</xdr:rowOff>
    </xdr:to>
    <xdr:sp macro="" textlink="">
      <xdr:nvSpPr>
        <xdr:cNvPr id="20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3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3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3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3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3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8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8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8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8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8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7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6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6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6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5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1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1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1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1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2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8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8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8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8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8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7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6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6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6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5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1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1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1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1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1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8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8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8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8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8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7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1800225</xdr:colOff>
      <xdr:row>46</xdr:row>
      <xdr:rowOff>104775</xdr:rowOff>
    </xdr:to>
    <xdr:sp macro="" textlink="">
      <xdr:nvSpPr>
        <xdr:cNvPr id="30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276120</xdr:colOff>
      <xdr:row>64</xdr:row>
      <xdr:rowOff>66600</xdr:rowOff>
    </xdr:from>
    <xdr:to>
      <xdr:col>7</xdr:col>
      <xdr:colOff>329760</xdr:colOff>
      <xdr:row>71</xdr:row>
      <xdr:rowOff>75600</xdr:rowOff>
    </xdr:to>
    <xdr:pic>
      <xdr:nvPicPr>
        <xdr:cNvPr id="2" name="image1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8559000" y="12515760"/>
          <a:ext cx="2037960" cy="11520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1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1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1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1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3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8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8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8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8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8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7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6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6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6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5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1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1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1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1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2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8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8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8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8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8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7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6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6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6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5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1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1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1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1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0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0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0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0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1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1695450</xdr:colOff>
      <xdr:row>49</xdr:row>
      <xdr:rowOff>114300</xdr:rowOff>
    </xdr:to>
    <xdr:sp macro="" textlink="">
      <xdr:nvSpPr>
        <xdr:cNvPr id="40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504825</xdr:colOff>
      <xdr:row>58</xdr:row>
      <xdr:rowOff>57150</xdr:rowOff>
    </xdr:to>
    <xdr:sp macro="" textlink="">
      <xdr:nvSpPr>
        <xdr:cNvPr id="51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504825</xdr:colOff>
      <xdr:row>58</xdr:row>
      <xdr:rowOff>57150</xdr:rowOff>
    </xdr:to>
    <xdr:sp macro="" textlink="">
      <xdr:nvSpPr>
        <xdr:cNvPr id="51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504825</xdr:colOff>
      <xdr:row>58</xdr:row>
      <xdr:rowOff>57150</xdr:rowOff>
    </xdr:to>
    <xdr:sp macro="" textlink="">
      <xdr:nvSpPr>
        <xdr:cNvPr id="51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504825</xdr:colOff>
      <xdr:row>58</xdr:row>
      <xdr:rowOff>57150</xdr:rowOff>
    </xdr:to>
    <xdr:sp macro="" textlink="">
      <xdr:nvSpPr>
        <xdr:cNvPr id="51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504825</xdr:colOff>
      <xdr:row>58</xdr:row>
      <xdr:rowOff>57150</xdr:rowOff>
    </xdr:to>
    <xdr:sp macro="" textlink="">
      <xdr:nvSpPr>
        <xdr:cNvPr id="51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504825</xdr:colOff>
      <xdr:row>58</xdr:row>
      <xdr:rowOff>57150</xdr:rowOff>
    </xdr:to>
    <xdr:sp macro="" textlink="">
      <xdr:nvSpPr>
        <xdr:cNvPr id="51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504825</xdr:colOff>
      <xdr:row>58</xdr:row>
      <xdr:rowOff>57150</xdr:rowOff>
    </xdr:to>
    <xdr:sp macro="" textlink="">
      <xdr:nvSpPr>
        <xdr:cNvPr id="51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123840</xdr:colOff>
      <xdr:row>4</xdr:row>
      <xdr:rowOff>19080</xdr:rowOff>
    </xdr:from>
    <xdr:to>
      <xdr:col>0</xdr:col>
      <xdr:colOff>1399680</xdr:colOff>
      <xdr:row>6</xdr:row>
      <xdr:rowOff>47520</xdr:rowOff>
    </xdr:to>
    <xdr:pic>
      <xdr:nvPicPr>
        <xdr:cNvPr id="2" name="image3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3840" y="666720"/>
          <a:ext cx="1275840" cy="352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7</xdr:row>
      <xdr:rowOff>0</xdr:rowOff>
    </xdr:from>
    <xdr:to>
      <xdr:col>0</xdr:col>
      <xdr:colOff>2104920</xdr:colOff>
      <xdr:row>9</xdr:row>
      <xdr:rowOff>37440</xdr:rowOff>
    </xdr:to>
    <xdr:pic>
      <xdr:nvPicPr>
        <xdr:cNvPr id="3" name="image2.png"/>
        <xdr:cNvPicPr/>
      </xdr:nvPicPr>
      <xdr:blipFill>
        <a:blip xmlns:r="http://schemas.openxmlformats.org/officeDocument/2006/relationships" r:embed="rId2"/>
        <a:stretch/>
      </xdr:blipFill>
      <xdr:spPr>
        <a:xfrm>
          <a:off x="76320" y="1133280"/>
          <a:ext cx="2028600" cy="3614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precos.petrobras.com.br/w/gasolina/rs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inecarga.org.br/wp/wp-content/uploads/2025/05/ACT-2025-registrada.pdf" TargetMode="External"/><Relationship Id="rId13" Type="http://schemas.openxmlformats.org/officeDocument/2006/relationships/hyperlink" Target="https://sinecarga.org.br/wp/wp-content/uploads/2025/05/ACT-2025-registrada.pdf" TargetMode="External"/><Relationship Id="rId3" Type="http://schemas.openxmlformats.org/officeDocument/2006/relationships/hyperlink" Target="https://sinecarga.org.br/wp/wp-content/uploads/2025/05/ACT-2025-registrada.pdf" TargetMode="External"/><Relationship Id="rId7" Type="http://schemas.openxmlformats.org/officeDocument/2006/relationships/hyperlink" Target="https://seeac-rs.com.br/arquivos/2026.pdf" TargetMode="External"/><Relationship Id="rId12" Type="http://schemas.openxmlformats.org/officeDocument/2006/relationships/hyperlink" Target="https://sindirodosul.org.br/wp-content/uploads/2025/10/CONVENCAO-TURISMO-E-FRETAMENTO-2025.2026REGISTRADA.pdf" TargetMode="External"/><Relationship Id="rId17" Type="http://schemas.openxmlformats.org/officeDocument/2006/relationships/comments" Target="../comments2.xml"/><Relationship Id="rId2" Type="http://schemas.openxmlformats.org/officeDocument/2006/relationships/hyperlink" Target="https://www.glassdoor.com.br/Sal&#225;rios/encarregado-de-limpeza-urbana-sal&#225;rio-SRCH_KO0,29.htm" TargetMode="External"/><Relationship Id="rId16" Type="http://schemas.openxmlformats.org/officeDocument/2006/relationships/vmlDrawing" Target="../drawings/vmlDrawing2.vml"/><Relationship Id="rId1" Type="http://schemas.openxmlformats.org/officeDocument/2006/relationships/hyperlink" Target="https://seeac-rs.com.br/arquivos/2026.pdf" TargetMode="External"/><Relationship Id="rId6" Type="http://schemas.openxmlformats.org/officeDocument/2006/relationships/hyperlink" Target="https://seeac-rs.com.br/arquivos/2026.pdf" TargetMode="External"/><Relationship Id="rId11" Type="http://schemas.openxmlformats.org/officeDocument/2006/relationships/hyperlink" Target="https://sinecarga.org.br/wp/wp-content/uploads/2025/05/ACT-2025-registrada.pdf" TargetMode="External"/><Relationship Id="rId5" Type="http://schemas.openxmlformats.org/officeDocument/2006/relationships/hyperlink" Target="https://sinecarga.org.br/wp/wp-content/uploads/2025/05/ACT-2025-registrada.pdf" TargetMode="External"/><Relationship Id="rId15" Type="http://schemas.openxmlformats.org/officeDocument/2006/relationships/drawing" Target="../drawings/drawing2.xml"/><Relationship Id="rId10" Type="http://schemas.openxmlformats.org/officeDocument/2006/relationships/hyperlink" Target="https://sinecarga.org.br/wp/wp-content/uploads/2025/05/ACT-2025-registrada.pdf" TargetMode="External"/><Relationship Id="rId4" Type="http://schemas.openxmlformats.org/officeDocument/2006/relationships/hyperlink" Target="https://sindirodosul.org.br/wp-content/uploads/2025/10/CONVENCAO-TURISMO-E-FRETAMENTO-2025.2026REGISTRADA.pdf" TargetMode="External"/><Relationship Id="rId9" Type="http://schemas.openxmlformats.org/officeDocument/2006/relationships/hyperlink" Target="https://sindirodosul.org.br/wp-content/uploads/2025/10/CONVENCAO-TURISMO-E-FRETAMENTO-2025.2026REGISTRADA.pdf" TargetMode="External"/><Relationship Id="rId14" Type="http://schemas.openxmlformats.org/officeDocument/2006/relationships/hyperlink" Target="https://seeac-rs.com.br/arquivos/2026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seeac-rs.com.br/arquivos/2026.pdf" TargetMode="External"/><Relationship Id="rId3" Type="http://schemas.openxmlformats.org/officeDocument/2006/relationships/hyperlink" Target="https://sinecarga.org.br/wp/wp-content/uploads/2025/05/ACT-2025-registrada.pdf" TargetMode="External"/><Relationship Id="rId7" Type="http://schemas.openxmlformats.org/officeDocument/2006/relationships/hyperlink" Target="https://sinecarga.org.br/wp/wp-content/uploads/2025/05/ACT-2025-registrada.pdf" TargetMode="External"/><Relationship Id="rId2" Type="http://schemas.openxmlformats.org/officeDocument/2006/relationships/hyperlink" Target="https://www.glassdoor.com.br/Sal&#225;rios/encarregado-de-limpeza-urbana-sal&#225;rio-SRCH_KO0,29.htm" TargetMode="External"/><Relationship Id="rId1" Type="http://schemas.openxmlformats.org/officeDocument/2006/relationships/hyperlink" Target="https://seeac-rs.com.br/arquivos/2026.pdf" TargetMode="External"/><Relationship Id="rId6" Type="http://schemas.openxmlformats.org/officeDocument/2006/relationships/hyperlink" Target="https://sinecarga.org.br/wp/wp-content/uploads/2025/05/ACT-2025-registrada.pdf" TargetMode="External"/><Relationship Id="rId11" Type="http://schemas.openxmlformats.org/officeDocument/2006/relationships/comments" Target="../comments3.xml"/><Relationship Id="rId5" Type="http://schemas.openxmlformats.org/officeDocument/2006/relationships/hyperlink" Target="https://seeac-rs.com.br/arquivos/2026.pdf" TargetMode="External"/><Relationship Id="rId10" Type="http://schemas.openxmlformats.org/officeDocument/2006/relationships/vmlDrawing" Target="../drawings/vmlDrawing3.vml"/><Relationship Id="rId4" Type="http://schemas.openxmlformats.org/officeDocument/2006/relationships/hyperlink" Target="https://seeac-rs.com.br/arquivos/2026.pdf" TargetMode="External"/><Relationship Id="rId9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senge.org.br/wp-content/uploads/2025/07/Convencao-Coletiva-2025-2026-Registrada.pdf" TargetMode="External"/><Relationship Id="rId7" Type="http://schemas.openxmlformats.org/officeDocument/2006/relationships/hyperlink" Target="https://senge.org.br/wp-content/uploads/2025/07/Convencao-Coletiva-2025-2026-Registrada.pdf" TargetMode="External"/><Relationship Id="rId2" Type="http://schemas.openxmlformats.org/officeDocument/2006/relationships/hyperlink" Target="https://sinditestrs.org.br/site/wp-content/uploads/2025/10/CCT-SINDUSCON-RG_SINDITEST-RS_2025-2027-REGISTRADA-NO-MTE.pdf" TargetMode="External"/><Relationship Id="rId1" Type="http://schemas.openxmlformats.org/officeDocument/2006/relationships/hyperlink" Target="https://www.salario.com.br/profissao/gerente-de-producao-e-operacoes-cbo-141205/porto-alegre-rs/" TargetMode="External"/><Relationship Id="rId6" Type="http://schemas.openxmlformats.org/officeDocument/2006/relationships/hyperlink" Target="https://sinditestrs.org.br/site/wp-content/uploads/2025/10/CCT-SINDUSCON-RG_SINDITEST-RS_2025-2027-REGISTRADA-NO-MTE.pdf" TargetMode="External"/><Relationship Id="rId5" Type="http://schemas.openxmlformats.org/officeDocument/2006/relationships/hyperlink" Target="https://seeac-rs.com.br/arquivos/2026.pdf" TargetMode="External"/><Relationship Id="rId10" Type="http://schemas.openxmlformats.org/officeDocument/2006/relationships/comments" Target="../comments4.xml"/><Relationship Id="rId4" Type="http://schemas.openxmlformats.org/officeDocument/2006/relationships/hyperlink" Target="https://seeac-rs.com.br/arquivos/2026.pdf" TargetMode="External"/><Relationship Id="rId9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951"/>
  <sheetViews>
    <sheetView tabSelected="1" zoomScaleNormal="100" workbookViewId="0"/>
  </sheetViews>
  <sheetFormatPr defaultRowHeight="12.75" x14ac:dyDescent="0.2"/>
  <cols>
    <col min="1" max="1" width="5.5703125" customWidth="1"/>
    <col min="2" max="2" width="43.42578125" customWidth="1"/>
    <col min="3" max="3" width="16.5703125" customWidth="1"/>
    <col min="4" max="5" width="18.28515625" customWidth="1"/>
    <col min="6" max="6" width="19.28515625" customWidth="1"/>
    <col min="7" max="7" width="24.28515625" customWidth="1"/>
    <col min="8" max="8" width="14.5703125" customWidth="1"/>
    <col min="9" max="9" width="29.5703125" customWidth="1"/>
    <col min="10" max="10" width="14.42578125" customWidth="1"/>
    <col min="11" max="11" width="12.28515625" customWidth="1"/>
    <col min="12" max="13" width="14.28515625" customWidth="1"/>
    <col min="14" max="14" width="14.140625" customWidth="1"/>
    <col min="15" max="15" width="12.7109375" customWidth="1"/>
    <col min="16" max="16" width="13.7109375" customWidth="1"/>
    <col min="17" max="17" width="13.140625" customWidth="1"/>
    <col min="18" max="18" width="15" customWidth="1"/>
    <col min="19" max="19" width="14.28515625" customWidth="1"/>
    <col min="20" max="20" width="12.5703125" customWidth="1"/>
    <col min="21" max="21" width="12.28515625" customWidth="1"/>
    <col min="22" max="22" width="12.42578125" customWidth="1"/>
    <col min="23" max="23" width="16.85546875" customWidth="1"/>
    <col min="24" max="24" width="17" customWidth="1"/>
    <col min="25" max="25" width="15.85546875" customWidth="1"/>
    <col min="26" max="27" width="8.5703125" customWidth="1"/>
    <col min="28" max="1025" width="12.5703125" customWidth="1"/>
  </cols>
  <sheetData>
    <row r="1" spans="1:27" ht="12.75" customHeight="1" x14ac:dyDescent="0.2">
      <c r="A1" s="15"/>
      <c r="B1" s="16"/>
      <c r="C1" s="15"/>
      <c r="D1" s="15"/>
      <c r="E1" s="15"/>
      <c r="F1" s="17"/>
      <c r="G1" s="17"/>
      <c r="H1" s="17"/>
      <c r="I1" s="17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1:27" ht="12.75" customHeight="1" x14ac:dyDescent="0.2">
      <c r="A2" s="18" t="s">
        <v>0</v>
      </c>
      <c r="B2" s="16"/>
      <c r="C2" s="15"/>
      <c r="D2" s="15"/>
      <c r="E2" s="15"/>
      <c r="F2" s="17"/>
      <c r="G2" s="17"/>
      <c r="H2" s="17"/>
      <c r="I2" s="17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</row>
    <row r="3" spans="1:27" ht="12.75" customHeight="1" x14ac:dyDescent="0.2">
      <c r="A3" s="15"/>
      <c r="B3" s="16"/>
      <c r="C3" s="15"/>
      <c r="D3" s="15"/>
      <c r="E3" s="15"/>
      <c r="F3" s="17"/>
      <c r="G3" s="17"/>
      <c r="H3" s="17"/>
      <c r="I3" s="17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27" ht="12.75" customHeight="1" x14ac:dyDescent="0.2">
      <c r="A4" s="19" t="s">
        <v>1</v>
      </c>
      <c r="B4" s="20" t="s">
        <v>2</v>
      </c>
      <c r="C4" s="20" t="s">
        <v>3</v>
      </c>
      <c r="D4" s="20" t="s">
        <v>4</v>
      </c>
      <c r="E4" s="21"/>
      <c r="F4" s="17"/>
      <c r="G4" s="17"/>
      <c r="H4" s="17"/>
      <c r="I4" s="17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7" ht="12.75" customHeight="1" x14ac:dyDescent="0.2">
      <c r="A5" s="22">
        <v>1</v>
      </c>
      <c r="B5" s="23" t="s">
        <v>5</v>
      </c>
      <c r="C5" s="24" t="s">
        <v>6</v>
      </c>
      <c r="D5" s="25">
        <v>900</v>
      </c>
      <c r="E5" s="21"/>
      <c r="F5" s="17"/>
      <c r="G5" s="17"/>
      <c r="H5" s="17"/>
      <c r="I5" s="17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</row>
    <row r="6" spans="1:27" ht="12.75" customHeight="1" x14ac:dyDescent="0.2">
      <c r="A6" s="22">
        <v>2</v>
      </c>
      <c r="B6" s="23" t="s">
        <v>7</v>
      </c>
      <c r="C6" s="24" t="s">
        <v>6</v>
      </c>
      <c r="D6" s="25">
        <v>5100</v>
      </c>
      <c r="E6" s="21"/>
      <c r="F6" s="17"/>
      <c r="G6" s="17"/>
      <c r="H6" s="17"/>
      <c r="I6" s="17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</row>
    <row r="7" spans="1:27" ht="12.75" customHeight="1" x14ac:dyDescent="0.2">
      <c r="A7" s="26"/>
      <c r="B7" s="27"/>
      <c r="C7" s="28"/>
      <c r="D7" s="29"/>
      <c r="E7" s="21"/>
      <c r="F7" s="17"/>
      <c r="G7" s="17"/>
      <c r="H7" s="17"/>
      <c r="I7" s="17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</row>
    <row r="8" spans="1:27" ht="12.75" customHeight="1" x14ac:dyDescent="0.2">
      <c r="A8" s="30"/>
      <c r="B8" s="31"/>
      <c r="C8" s="32"/>
      <c r="D8" s="21"/>
      <c r="E8" s="21"/>
      <c r="F8" s="17"/>
      <c r="G8" s="17"/>
      <c r="H8" s="17"/>
      <c r="I8" s="17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7" ht="12.75" customHeight="1" x14ac:dyDescent="0.2">
      <c r="A9" s="30"/>
      <c r="B9" s="31"/>
      <c r="C9" s="32"/>
      <c r="D9" s="21"/>
      <c r="E9" s="21"/>
      <c r="F9" s="17"/>
      <c r="G9" s="17"/>
      <c r="H9" s="17"/>
      <c r="I9" s="17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</row>
    <row r="10" spans="1:27" ht="12.75" customHeight="1" x14ac:dyDescent="0.2">
      <c r="A10" s="15"/>
      <c r="B10" s="33" t="s">
        <v>8</v>
      </c>
      <c r="C10" s="15"/>
      <c r="D10" s="15"/>
      <c r="E10" s="15"/>
      <c r="F10" s="17"/>
      <c r="G10" s="17"/>
      <c r="H10" s="17"/>
      <c r="I10" s="17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</row>
    <row r="11" spans="1:27" ht="12.75" customHeight="1" x14ac:dyDescent="0.2">
      <c r="A11" s="15"/>
      <c r="B11" s="33" t="s">
        <v>9</v>
      </c>
      <c r="C11" s="15"/>
      <c r="D11" s="15"/>
      <c r="E11" s="15"/>
      <c r="F11" s="17"/>
      <c r="G11" s="17"/>
      <c r="H11" s="17"/>
      <c r="I11" s="17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</row>
    <row r="12" spans="1:27" ht="12.75" customHeight="1" x14ac:dyDescent="0.2">
      <c r="A12" s="15"/>
      <c r="B12" s="16" t="s">
        <v>10</v>
      </c>
      <c r="C12" s="15"/>
      <c r="D12" s="15"/>
      <c r="E12" s="15"/>
      <c r="F12" s="17"/>
      <c r="G12" s="17"/>
      <c r="H12" s="17"/>
      <c r="I12" s="17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1:27" ht="12.75" customHeight="1" x14ac:dyDescent="0.2">
      <c r="A13" s="15"/>
      <c r="B13" s="16"/>
      <c r="C13" s="15"/>
      <c r="D13" s="15"/>
      <c r="E13" s="15"/>
      <c r="F13" s="17"/>
      <c r="G13" s="17"/>
      <c r="H13" s="17"/>
      <c r="I13" s="17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27" ht="12.75" customHeight="1" x14ac:dyDescent="0.2">
      <c r="A14" s="15"/>
      <c r="B14" s="18" t="s">
        <v>11</v>
      </c>
      <c r="C14" s="15"/>
      <c r="D14" s="15"/>
      <c r="E14" s="15"/>
      <c r="F14" s="17"/>
      <c r="G14" s="17"/>
      <c r="H14" s="17"/>
      <c r="I14" s="17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1:27" ht="12.75" customHeight="1" x14ac:dyDescent="0.2">
      <c r="A15" s="15"/>
      <c r="B15" s="18"/>
      <c r="C15" s="15"/>
      <c r="D15" s="15"/>
      <c r="E15" s="15"/>
      <c r="F15" s="17"/>
      <c r="G15" s="17"/>
      <c r="H15" s="17"/>
      <c r="I15" s="17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</row>
    <row r="16" spans="1:27" ht="12.75" customHeight="1" x14ac:dyDescent="0.2">
      <c r="A16" s="15"/>
      <c r="B16" s="19" t="s">
        <v>12</v>
      </c>
      <c r="C16" s="20" t="s">
        <v>13</v>
      </c>
      <c r="D16" s="20" t="s">
        <v>14</v>
      </c>
      <c r="E16" s="20" t="s">
        <v>15</v>
      </c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ht="15" customHeight="1" x14ac:dyDescent="0.2">
      <c r="A17" s="15"/>
      <c r="B17" s="23" t="s">
        <v>16</v>
      </c>
      <c r="C17" s="22">
        <v>80</v>
      </c>
      <c r="D17" s="22">
        <v>60</v>
      </c>
      <c r="E17" s="34">
        <f t="shared" ref="E17:E26" si="0">SUM(B17:D17)</f>
        <v>140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</row>
    <row r="18" spans="1:27" ht="15" customHeight="1" x14ac:dyDescent="0.2">
      <c r="A18" s="15"/>
      <c r="B18" s="23" t="s">
        <v>17</v>
      </c>
      <c r="C18" s="22">
        <v>4</v>
      </c>
      <c r="D18" s="22">
        <v>1</v>
      </c>
      <c r="E18" s="34">
        <f t="shared" si="0"/>
        <v>5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ht="15" customHeight="1" x14ac:dyDescent="0.2">
      <c r="A19" s="15"/>
      <c r="B19" s="23" t="s">
        <v>18</v>
      </c>
      <c r="C19" s="22">
        <v>4</v>
      </c>
      <c r="D19" s="22">
        <v>2</v>
      </c>
      <c r="E19" s="34">
        <f t="shared" si="0"/>
        <v>6</v>
      </c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1:27" ht="15" customHeight="1" x14ac:dyDescent="0.2">
      <c r="A20" s="15"/>
      <c r="B20" s="23" t="s">
        <v>19</v>
      </c>
      <c r="C20" s="22">
        <v>4</v>
      </c>
      <c r="D20" s="22" t="s">
        <v>20</v>
      </c>
      <c r="E20" s="34">
        <f t="shared" si="0"/>
        <v>4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</row>
    <row r="21" spans="1:27" ht="30.75" customHeight="1" x14ac:dyDescent="0.2">
      <c r="A21" s="15"/>
      <c r="B21" s="23" t="s">
        <v>21</v>
      </c>
      <c r="C21" s="22" t="s">
        <v>20</v>
      </c>
      <c r="D21" s="22" t="s">
        <v>20</v>
      </c>
      <c r="E21" s="34">
        <f t="shared" si="0"/>
        <v>0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ht="38.25" x14ac:dyDescent="0.2">
      <c r="A22" s="15"/>
      <c r="B22" s="35" t="s">
        <v>22</v>
      </c>
      <c r="C22" s="22">
        <v>7</v>
      </c>
      <c r="D22" s="22" t="s">
        <v>20</v>
      </c>
      <c r="E22" s="34">
        <f t="shared" si="0"/>
        <v>7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ht="12.75" customHeight="1" x14ac:dyDescent="0.2">
      <c r="A23" s="36"/>
      <c r="B23" s="23" t="s">
        <v>23</v>
      </c>
      <c r="C23" s="37">
        <v>1</v>
      </c>
      <c r="D23" s="38"/>
      <c r="E23" s="34">
        <f t="shared" si="0"/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ht="21.75" customHeight="1" x14ac:dyDescent="0.2">
      <c r="A24" s="36"/>
      <c r="B24" s="23" t="s">
        <v>24</v>
      </c>
      <c r="C24" s="37">
        <v>1</v>
      </c>
      <c r="D24" s="38"/>
      <c r="E24" s="34">
        <f t="shared" si="0"/>
        <v>1</v>
      </c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ht="21" customHeight="1" x14ac:dyDescent="0.2">
      <c r="A25" s="15"/>
      <c r="B25" s="23" t="s">
        <v>25</v>
      </c>
      <c r="C25" s="37">
        <v>1</v>
      </c>
      <c r="D25" s="38"/>
      <c r="E25" s="34">
        <f t="shared" si="0"/>
        <v>1</v>
      </c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ht="15.75" customHeight="1" x14ac:dyDescent="0.2">
      <c r="A26" s="15"/>
      <c r="B26" s="23" t="s">
        <v>26</v>
      </c>
      <c r="C26" s="37">
        <v>1</v>
      </c>
      <c r="D26" s="38"/>
      <c r="E26" s="34">
        <f t="shared" si="0"/>
        <v>1</v>
      </c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ht="15.75" customHeight="1" x14ac:dyDescent="0.2">
      <c r="A27" s="15"/>
      <c r="B27" s="39"/>
      <c r="C27" s="17"/>
      <c r="D27" s="17"/>
      <c r="E27" s="17"/>
      <c r="F27" s="17"/>
      <c r="G27" s="15"/>
      <c r="H27" s="39"/>
      <c r="I27" s="17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ht="15.75" customHeight="1" x14ac:dyDescent="0.2">
      <c r="A28" s="40"/>
      <c r="B28" s="14" t="s">
        <v>27</v>
      </c>
      <c r="C28" s="14"/>
      <c r="D28" s="14"/>
      <c r="E28" s="14"/>
      <c r="F28" s="14"/>
      <c r="G28" s="14"/>
      <c r="H28" s="14"/>
      <c r="I28" s="14"/>
      <c r="J28" s="14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</row>
    <row r="29" spans="1:27" ht="15.75" customHeight="1" x14ac:dyDescent="0.2">
      <c r="A29" s="15"/>
      <c r="B29" s="13"/>
      <c r="C29" s="13"/>
      <c r="D29" s="13"/>
      <c r="E29" s="13"/>
      <c r="F29" s="13"/>
      <c r="G29" s="13"/>
      <c r="H29" s="13"/>
      <c r="I29" s="13"/>
      <c r="J29" s="41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1:27" ht="15.75" customHeight="1" x14ac:dyDescent="0.2">
      <c r="A30" s="15"/>
      <c r="B30" s="13"/>
      <c r="C30" s="13"/>
      <c r="D30" s="13"/>
      <c r="E30" s="13"/>
      <c r="F30" s="13"/>
      <c r="G30" s="13"/>
      <c r="H30" s="13"/>
      <c r="I30" s="13"/>
      <c r="J30" s="42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1:27" ht="15.75" customHeight="1" x14ac:dyDescent="0.2">
      <c r="A31" s="15"/>
      <c r="B31" s="17"/>
      <c r="C31" s="17"/>
      <c r="D31" s="17"/>
      <c r="E31" s="17"/>
      <c r="F31" s="17"/>
      <c r="G31" s="43"/>
      <c r="H31" s="44"/>
      <c r="I31" s="17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ht="15.75" customHeight="1" x14ac:dyDescent="0.2">
      <c r="A32" s="15"/>
      <c r="B32" s="18" t="s">
        <v>28</v>
      </c>
      <c r="C32" s="17"/>
      <c r="D32" s="17"/>
      <c r="E32" s="17"/>
      <c r="F32" s="17"/>
      <c r="G32" s="43"/>
      <c r="H32" s="44"/>
      <c r="I32" s="17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1:27" ht="15.75" customHeight="1" x14ac:dyDescent="0.2">
      <c r="A33" s="15"/>
      <c r="B33" s="17"/>
      <c r="C33" s="17"/>
      <c r="D33" s="17"/>
      <c r="E33" s="17"/>
      <c r="F33" s="17"/>
      <c r="G33" s="43"/>
      <c r="H33" s="44"/>
      <c r="I33" s="17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</row>
    <row r="34" spans="1:27" ht="15.75" customHeight="1" x14ac:dyDescent="0.2">
      <c r="A34" s="15"/>
      <c r="B34" s="45" t="s">
        <v>29</v>
      </c>
      <c r="C34" s="17"/>
      <c r="D34" s="17"/>
      <c r="E34" s="17"/>
      <c r="F34" s="17"/>
      <c r="G34" s="43"/>
      <c r="H34" s="44"/>
      <c r="I34" s="17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</row>
    <row r="35" spans="1:27" ht="15.75" customHeight="1" x14ac:dyDescent="0.2">
      <c r="A35" s="15"/>
      <c r="B35" s="46" t="s">
        <v>30</v>
      </c>
      <c r="C35" s="17"/>
      <c r="D35" s="17"/>
      <c r="E35" s="17"/>
      <c r="F35" s="17"/>
      <c r="G35" s="43"/>
      <c r="H35" s="44"/>
      <c r="I35" s="17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</row>
    <row r="36" spans="1:27" ht="15.75" customHeight="1" x14ac:dyDescent="0.2">
      <c r="A36" s="15"/>
      <c r="B36" s="47" t="s">
        <v>31</v>
      </c>
      <c r="C36" s="17"/>
      <c r="D36" s="17"/>
      <c r="E36" s="17"/>
      <c r="F36" s="17"/>
      <c r="G36" s="43"/>
      <c r="H36" s="44"/>
      <c r="I36" s="17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1:27" ht="15.75" customHeight="1" x14ac:dyDescent="0.2">
      <c r="A37" s="15"/>
      <c r="B37" s="46" t="s">
        <v>32</v>
      </c>
      <c r="C37" s="17"/>
      <c r="D37" s="17"/>
      <c r="E37" s="17"/>
      <c r="F37" s="17"/>
      <c r="G37" s="43"/>
      <c r="H37" s="44"/>
      <c r="I37" s="17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</row>
    <row r="38" spans="1:27" ht="15.75" customHeight="1" x14ac:dyDescent="0.2">
      <c r="A38" s="15"/>
      <c r="B38" s="46" t="s">
        <v>33</v>
      </c>
      <c r="C38" s="17"/>
      <c r="D38" s="17"/>
      <c r="E38" s="17"/>
      <c r="F38" s="17"/>
      <c r="G38" s="43"/>
      <c r="H38" s="44"/>
      <c r="I38" s="17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</row>
    <row r="39" spans="1:27" ht="15.75" customHeight="1" x14ac:dyDescent="0.2">
      <c r="A39" s="15"/>
      <c r="B39" s="46" t="s">
        <v>34</v>
      </c>
      <c r="C39" s="17"/>
      <c r="D39" s="17"/>
      <c r="E39" s="17"/>
      <c r="F39" s="17"/>
      <c r="G39" s="43"/>
      <c r="H39" s="44"/>
      <c r="I39" s="17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</row>
    <row r="40" spans="1:27" ht="15.75" customHeight="1" x14ac:dyDescent="0.2">
      <c r="A40" s="15"/>
      <c r="B40" s="46" t="s">
        <v>35</v>
      </c>
      <c r="C40" s="17"/>
      <c r="D40" s="17"/>
      <c r="E40" s="17"/>
      <c r="F40" s="17"/>
      <c r="G40" s="43"/>
      <c r="H40" s="44"/>
      <c r="I40" s="17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</row>
    <row r="41" spans="1:27" ht="15.75" customHeight="1" x14ac:dyDescent="0.2">
      <c r="A41" s="15"/>
      <c r="B41" s="48" t="s">
        <v>36</v>
      </c>
      <c r="C41" s="17"/>
      <c r="D41" s="17"/>
      <c r="E41" s="17"/>
      <c r="F41" s="17"/>
      <c r="G41" s="43"/>
      <c r="H41" s="44"/>
      <c r="I41" s="17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</row>
    <row r="42" spans="1:27" ht="15.75" customHeight="1" x14ac:dyDescent="0.2">
      <c r="A42" s="15"/>
      <c r="B42" s="12" t="s">
        <v>37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49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1:27" ht="15.75" customHeight="1" x14ac:dyDescent="0.2">
      <c r="A43" s="15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49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1:27" ht="15.75" customHeight="1" x14ac:dyDescent="0.2">
      <c r="A44" s="15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</row>
    <row r="45" spans="1:27" ht="15.75" customHeight="1" x14ac:dyDescent="0.2">
      <c r="A45" s="15"/>
      <c r="B45" s="45" t="s">
        <v>38</v>
      </c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</row>
    <row r="46" spans="1:27" ht="15.75" customHeight="1" x14ac:dyDescent="0.2">
      <c r="A46" s="15"/>
      <c r="B46" s="11" t="s">
        <v>39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49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</row>
    <row r="47" spans="1:27" ht="15.75" customHeight="1" x14ac:dyDescent="0.2">
      <c r="A47" s="15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49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</row>
    <row r="48" spans="1:27" ht="15.75" customHeight="1" x14ac:dyDescent="0.2">
      <c r="A48" s="15"/>
      <c r="B48" s="50" t="s">
        <v>40</v>
      </c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</row>
    <row r="49" spans="1:27" ht="15.75" customHeight="1" x14ac:dyDescent="0.2">
      <c r="A49" s="15"/>
      <c r="B49" s="51" t="s">
        <v>41</v>
      </c>
      <c r="C49" s="51"/>
      <c r="D49" s="51"/>
      <c r="E49" s="51"/>
      <c r="F49" s="51"/>
      <c r="G49" s="49"/>
      <c r="H49" s="49"/>
      <c r="I49" s="49"/>
      <c r="J49" s="49"/>
      <c r="K49" s="49"/>
      <c r="L49" s="49"/>
      <c r="M49" s="49"/>
      <c r="N49" s="49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</row>
    <row r="50" spans="1:27" ht="15.75" customHeight="1" x14ac:dyDescent="0.2">
      <c r="A50" s="15"/>
      <c r="B50" s="51" t="s">
        <v>42</v>
      </c>
      <c r="C50" s="51"/>
      <c r="D50" s="51"/>
      <c r="E50" s="51"/>
      <c r="F50" s="51"/>
      <c r="G50" s="49"/>
      <c r="H50" s="49"/>
      <c r="I50" s="49"/>
      <c r="J50" s="49"/>
      <c r="K50" s="49"/>
      <c r="L50" s="49"/>
      <c r="M50" s="49"/>
      <c r="N50" s="49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</row>
    <row r="51" spans="1:27" ht="15.75" customHeight="1" x14ac:dyDescent="0.2">
      <c r="A51" s="15"/>
      <c r="B51" s="11" t="s">
        <v>43</v>
      </c>
      <c r="C51" s="11"/>
      <c r="D51" s="11"/>
      <c r="E51" s="11"/>
      <c r="F51" s="11"/>
      <c r="G51" s="49"/>
      <c r="H51" s="49"/>
      <c r="I51" s="49"/>
      <c r="J51" s="49"/>
      <c r="K51" s="49"/>
      <c r="L51" s="49"/>
      <c r="M51" s="49"/>
      <c r="N51" s="49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</row>
    <row r="52" spans="1:27" ht="15.75" customHeight="1" x14ac:dyDescent="0.2">
      <c r="A52" s="15"/>
      <c r="B52" s="10" t="s">
        <v>44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49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</row>
    <row r="53" spans="1:27" ht="15.75" customHeight="1" x14ac:dyDescent="0.2">
      <c r="A53" s="15"/>
      <c r="B53" s="17"/>
      <c r="C53" s="17"/>
      <c r="D53" s="17"/>
      <c r="E53" s="17"/>
      <c r="F53" s="17"/>
      <c r="G53" s="43"/>
      <c r="H53" s="44"/>
      <c r="I53" s="17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</row>
    <row r="54" spans="1:27" ht="54.75" customHeight="1" x14ac:dyDescent="0.2">
      <c r="A54" s="15"/>
      <c r="B54" s="52" t="s">
        <v>45</v>
      </c>
      <c r="C54" s="9" t="s">
        <v>46</v>
      </c>
      <c r="D54" s="9"/>
      <c r="E54" s="9"/>
      <c r="F54" s="9"/>
      <c r="G54" s="9"/>
      <c r="H54" s="9"/>
      <c r="I54" s="9" t="s">
        <v>47</v>
      </c>
      <c r="J54" s="9"/>
      <c r="K54" s="9"/>
      <c r="L54" s="9"/>
      <c r="M54" s="53" t="s">
        <v>48</v>
      </c>
      <c r="N54" s="9" t="s">
        <v>49</v>
      </c>
      <c r="O54" s="9"/>
      <c r="P54" s="53" t="s">
        <v>50</v>
      </c>
      <c r="Q54" s="53" t="s">
        <v>51</v>
      </c>
      <c r="R54" s="53" t="s">
        <v>52</v>
      </c>
      <c r="S54" s="53" t="s">
        <v>53</v>
      </c>
      <c r="T54" s="53" t="s">
        <v>54</v>
      </c>
      <c r="U54" s="53" t="s">
        <v>55</v>
      </c>
      <c r="V54" s="53" t="s">
        <v>56</v>
      </c>
      <c r="W54" s="53" t="s">
        <v>57</v>
      </c>
      <c r="X54" s="53" t="s">
        <v>58</v>
      </c>
      <c r="Y54" s="54" t="s">
        <v>59</v>
      </c>
      <c r="Z54" s="15"/>
      <c r="AA54" s="15"/>
    </row>
    <row r="55" spans="1:27" ht="51.75" customHeight="1" x14ac:dyDescent="0.2">
      <c r="A55" s="15"/>
      <c r="B55" s="8" t="s">
        <v>60</v>
      </c>
      <c r="C55" s="7" t="s">
        <v>61</v>
      </c>
      <c r="D55" s="7"/>
      <c r="E55" s="7"/>
      <c r="F55" s="7"/>
      <c r="G55" s="7"/>
      <c r="H55" s="7"/>
      <c r="I55" s="6" t="s">
        <v>62</v>
      </c>
      <c r="J55" s="6"/>
      <c r="K55" s="6"/>
      <c r="L55" s="6"/>
      <c r="M55" s="55" t="s">
        <v>63</v>
      </c>
      <c r="N55" s="5">
        <v>595732.14</v>
      </c>
      <c r="O55" s="5"/>
      <c r="P55" s="56">
        <v>4</v>
      </c>
      <c r="Q55" s="56">
        <v>7</v>
      </c>
      <c r="R55" s="56">
        <v>40</v>
      </c>
      <c r="S55" s="56">
        <v>0.9</v>
      </c>
      <c r="T55" s="56">
        <v>0.1</v>
      </c>
      <c r="U55" s="56">
        <f>185*0.7355</f>
        <v>136.0675</v>
      </c>
      <c r="V55" s="56">
        <v>5</v>
      </c>
      <c r="W55" s="56">
        <f>'1. Capina e Roçada'!C163</f>
        <v>25.25</v>
      </c>
      <c r="X55" s="56">
        <f t="shared" ref="X55:X60" si="1">U55*T55*V55*W55</f>
        <v>1717.8521874999999</v>
      </c>
      <c r="Y55" s="57">
        <f t="shared" ref="Y55:Y60" si="2">X55*P55</f>
        <v>6871.4087499999996</v>
      </c>
      <c r="Z55" s="15"/>
      <c r="AA55" s="15"/>
    </row>
    <row r="56" spans="1:27" ht="40.5" customHeight="1" x14ac:dyDescent="0.2">
      <c r="A56" s="15"/>
      <c r="B56" s="8"/>
      <c r="C56" s="4" t="s">
        <v>64</v>
      </c>
      <c r="D56" s="4"/>
      <c r="E56" s="4"/>
      <c r="F56" s="4"/>
      <c r="G56" s="4"/>
      <c r="H56" s="4"/>
      <c r="I56" s="4" t="s">
        <v>65</v>
      </c>
      <c r="J56" s="4"/>
      <c r="K56" s="4"/>
      <c r="L56" s="4"/>
      <c r="M56" s="58" t="s">
        <v>66</v>
      </c>
      <c r="N56" s="5">
        <v>405666.67</v>
      </c>
      <c r="O56" s="5"/>
      <c r="P56" s="59">
        <v>4</v>
      </c>
      <c r="Q56" s="59">
        <v>5</v>
      </c>
      <c r="R56" s="59">
        <v>30</v>
      </c>
      <c r="S56" s="59">
        <v>0.7</v>
      </c>
      <c r="T56" s="59">
        <v>0.13</v>
      </c>
      <c r="U56" s="59">
        <f>58*0.7457</f>
        <v>43.250599999999999</v>
      </c>
      <c r="V56" s="59">
        <v>5</v>
      </c>
      <c r="W56" s="59">
        <f>'1. Capina e Roçada'!C163</f>
        <v>25.25</v>
      </c>
      <c r="X56" s="59">
        <f t="shared" si="1"/>
        <v>709.85047250000002</v>
      </c>
      <c r="Y56" s="60">
        <f t="shared" si="2"/>
        <v>2839.4018900000001</v>
      </c>
      <c r="Z56" s="15"/>
      <c r="AA56" s="15"/>
    </row>
    <row r="57" spans="1:27" ht="32.25" customHeight="1" x14ac:dyDescent="0.2">
      <c r="A57" s="15"/>
      <c r="B57" s="8"/>
      <c r="C57" s="4" t="s">
        <v>67</v>
      </c>
      <c r="D57" s="4"/>
      <c r="E57" s="4"/>
      <c r="F57" s="4"/>
      <c r="G57" s="4"/>
      <c r="H57" s="4"/>
      <c r="I57" s="4" t="s">
        <v>68</v>
      </c>
      <c r="J57" s="4"/>
      <c r="K57" s="4"/>
      <c r="L57" s="4"/>
      <c r="M57" s="58" t="s">
        <v>69</v>
      </c>
      <c r="N57" s="5">
        <v>504367</v>
      </c>
      <c r="O57" s="5"/>
      <c r="P57" s="59">
        <v>4</v>
      </c>
      <c r="Q57" s="59">
        <v>7</v>
      </c>
      <c r="R57" s="59">
        <v>40</v>
      </c>
      <c r="S57" s="59">
        <v>0.9</v>
      </c>
      <c r="T57" s="59">
        <v>0.19</v>
      </c>
      <c r="U57" s="59">
        <v>81</v>
      </c>
      <c r="V57" s="59">
        <v>2</v>
      </c>
      <c r="W57" s="59">
        <f>'1. Capina e Roçada'!C163</f>
        <v>25.25</v>
      </c>
      <c r="X57" s="59">
        <f t="shared" si="1"/>
        <v>777.19500000000005</v>
      </c>
      <c r="Y57" s="60">
        <f t="shared" si="2"/>
        <v>3108.78</v>
      </c>
      <c r="Z57" s="15"/>
      <c r="AA57" s="15"/>
    </row>
    <row r="58" spans="1:27" ht="15.75" customHeight="1" x14ac:dyDescent="0.2">
      <c r="A58" s="15"/>
      <c r="B58" s="8"/>
      <c r="C58" s="4" t="s">
        <v>70</v>
      </c>
      <c r="D58" s="4"/>
      <c r="E58" s="4"/>
      <c r="F58" s="4"/>
      <c r="G58" s="4"/>
      <c r="H58" s="4"/>
      <c r="I58" s="3" t="s">
        <v>71</v>
      </c>
      <c r="J58" s="3"/>
      <c r="K58" s="3"/>
      <c r="L58" s="3"/>
      <c r="M58" s="58" t="s">
        <v>63</v>
      </c>
      <c r="N58" s="5">
        <v>949.98</v>
      </c>
      <c r="O58" s="5"/>
      <c r="P58" s="59">
        <v>32</v>
      </c>
      <c r="Q58" s="59">
        <v>3</v>
      </c>
      <c r="R58" s="59">
        <v>10</v>
      </c>
      <c r="S58" s="59">
        <v>0.7</v>
      </c>
      <c r="T58" s="59">
        <v>1.1000000000000001</v>
      </c>
      <c r="U58" s="59">
        <f>4*0.7457</f>
        <v>2.9828000000000001</v>
      </c>
      <c r="V58" s="59">
        <v>6</v>
      </c>
      <c r="W58" s="59">
        <f>'1. Capina e Roçada'!C163</f>
        <v>25.25</v>
      </c>
      <c r="X58" s="59">
        <f t="shared" si="1"/>
        <v>497.08362000000005</v>
      </c>
      <c r="Y58" s="60">
        <f t="shared" si="2"/>
        <v>15906.675840000002</v>
      </c>
      <c r="Z58" s="15"/>
      <c r="AA58" s="15"/>
    </row>
    <row r="59" spans="1:27" ht="15.75" customHeight="1" x14ac:dyDescent="0.2">
      <c r="A59" s="15"/>
      <c r="B59" s="8"/>
      <c r="C59" s="3" t="s">
        <v>72</v>
      </c>
      <c r="D59" s="3"/>
      <c r="E59" s="3"/>
      <c r="F59" s="3"/>
      <c r="G59" s="3"/>
      <c r="H59" s="3"/>
      <c r="I59" s="4" t="s">
        <v>73</v>
      </c>
      <c r="J59" s="4"/>
      <c r="K59" s="4"/>
      <c r="L59" s="4"/>
      <c r="M59" s="61" t="s">
        <v>63</v>
      </c>
      <c r="N59" s="5">
        <v>2050.9899999999998</v>
      </c>
      <c r="O59" s="5"/>
      <c r="P59" s="62">
        <v>4</v>
      </c>
      <c r="Q59" s="62">
        <v>5</v>
      </c>
      <c r="R59" s="62">
        <v>20</v>
      </c>
      <c r="S59" s="62">
        <v>0.7</v>
      </c>
      <c r="T59" s="62">
        <v>0.35</v>
      </c>
      <c r="U59" s="62">
        <f>3.48*0.7457</f>
        <v>2.5950359999999999</v>
      </c>
      <c r="V59" s="62">
        <v>6</v>
      </c>
      <c r="W59" s="62">
        <f>'1. Capina e Roçada'!C163</f>
        <v>25.25</v>
      </c>
      <c r="X59" s="62">
        <f t="shared" si="1"/>
        <v>137.60178389999999</v>
      </c>
      <c r="Y59" s="60">
        <f t="shared" si="2"/>
        <v>550.40713559999995</v>
      </c>
      <c r="Z59" s="15"/>
      <c r="AA59" s="15"/>
    </row>
    <row r="60" spans="1:27" ht="12.75" customHeight="1" x14ac:dyDescent="0.2">
      <c r="A60" s="15"/>
      <c r="B60" s="8"/>
      <c r="C60" s="4" t="s">
        <v>74</v>
      </c>
      <c r="D60" s="4"/>
      <c r="E60" s="4"/>
      <c r="F60" s="4"/>
      <c r="G60" s="4"/>
      <c r="H60" s="4"/>
      <c r="I60" s="4" t="s">
        <v>75</v>
      </c>
      <c r="J60" s="4"/>
      <c r="K60" s="4"/>
      <c r="L60" s="4"/>
      <c r="M60" s="63" t="s">
        <v>63</v>
      </c>
      <c r="N60" s="5">
        <v>228930</v>
      </c>
      <c r="O60" s="5"/>
      <c r="P60" s="64">
        <v>2</v>
      </c>
      <c r="Q60" s="64">
        <v>6</v>
      </c>
      <c r="R60" s="64">
        <v>20</v>
      </c>
      <c r="S60" s="64">
        <v>0.7</v>
      </c>
      <c r="T60" s="64">
        <v>0.18</v>
      </c>
      <c r="U60" s="64">
        <f>85*0.7355</f>
        <v>62.517500000000005</v>
      </c>
      <c r="V60" s="64">
        <v>5</v>
      </c>
      <c r="W60" s="64">
        <f>'1. Capina e Roçada'!C163</f>
        <v>25.25</v>
      </c>
      <c r="X60" s="64">
        <f t="shared" si="1"/>
        <v>1420.7101874999998</v>
      </c>
      <c r="Y60" s="65">
        <f t="shared" si="2"/>
        <v>2841.4203749999997</v>
      </c>
      <c r="Z60" s="15"/>
      <c r="AA60" s="15"/>
    </row>
    <row r="61" spans="1:27" ht="35.25" customHeight="1" x14ac:dyDescent="0.2">
      <c r="A61" s="15"/>
      <c r="B61" s="8"/>
      <c r="C61" s="4"/>
      <c r="D61" s="4"/>
      <c r="E61" s="4"/>
      <c r="F61" s="4"/>
      <c r="G61" s="4"/>
      <c r="H61" s="4"/>
      <c r="I61" s="2" t="s">
        <v>76</v>
      </c>
      <c r="J61" s="2"/>
      <c r="K61" s="2"/>
      <c r="L61" s="2"/>
      <c r="M61" s="66" t="s">
        <v>77</v>
      </c>
      <c r="N61" s="5">
        <v>96215.41</v>
      </c>
      <c r="O61" s="5"/>
      <c r="P61" s="67">
        <f>P60</f>
        <v>2</v>
      </c>
      <c r="Q61" s="67">
        <f>Q60</f>
        <v>6</v>
      </c>
      <c r="R61" s="67">
        <f>R60</f>
        <v>20</v>
      </c>
      <c r="S61" s="67">
        <f>S60</f>
        <v>0.7</v>
      </c>
      <c r="T61" s="68"/>
      <c r="U61" s="68"/>
      <c r="V61" s="68"/>
      <c r="W61" s="68"/>
      <c r="X61" s="68"/>
      <c r="Y61" s="69"/>
      <c r="Z61" s="15"/>
      <c r="AA61" s="15"/>
    </row>
    <row r="62" spans="1:27" ht="12.75" customHeight="1" x14ac:dyDescent="0.2">
      <c r="A62" s="15"/>
      <c r="B62" s="8"/>
      <c r="C62" s="1" t="s">
        <v>78</v>
      </c>
      <c r="D62" s="1"/>
      <c r="E62" s="1"/>
      <c r="F62" s="1"/>
      <c r="G62" s="1"/>
      <c r="H62" s="1"/>
      <c r="I62" s="464" t="s">
        <v>75</v>
      </c>
      <c r="J62" s="464"/>
      <c r="K62" s="464"/>
      <c r="L62" s="464"/>
      <c r="M62" s="63" t="str">
        <f>M60</f>
        <v>SMLC (DFPO)</v>
      </c>
      <c r="N62" s="5">
        <f>N60</f>
        <v>228930</v>
      </c>
      <c r="O62" s="5"/>
      <c r="P62" s="64">
        <v>1</v>
      </c>
      <c r="Q62" s="64">
        <v>6</v>
      </c>
      <c r="R62" s="64">
        <v>20</v>
      </c>
      <c r="S62" s="64">
        <v>0.7</v>
      </c>
      <c r="T62" s="64">
        <v>0.18</v>
      </c>
      <c r="U62" s="64">
        <f>85*0.7355</f>
        <v>62.517500000000005</v>
      </c>
      <c r="V62" s="64">
        <v>5</v>
      </c>
      <c r="W62" s="64">
        <f>'1. Capina e Roçada'!C163</f>
        <v>25.25</v>
      </c>
      <c r="X62" s="64">
        <f>U62*T62*V62*W62</f>
        <v>1420.7101874999998</v>
      </c>
      <c r="Y62" s="65">
        <f>X62*P62</f>
        <v>1420.7101874999998</v>
      </c>
      <c r="Z62" s="15"/>
      <c r="AA62" s="15"/>
    </row>
    <row r="63" spans="1:27" ht="38.25" customHeight="1" x14ac:dyDescent="0.2">
      <c r="A63" s="15"/>
      <c r="B63" s="8"/>
      <c r="C63" s="1"/>
      <c r="D63" s="1"/>
      <c r="E63" s="1"/>
      <c r="F63" s="1"/>
      <c r="G63" s="1"/>
      <c r="H63" s="1"/>
      <c r="I63" s="465" t="s">
        <v>76</v>
      </c>
      <c r="J63" s="465"/>
      <c r="K63" s="465"/>
      <c r="L63" s="465"/>
      <c r="M63" s="70" t="str">
        <f>M61</f>
        <v>SINAPI - Insumo 00013726</v>
      </c>
      <c r="N63" s="5">
        <f>N61</f>
        <v>96215.41</v>
      </c>
      <c r="O63" s="5"/>
      <c r="P63" s="71">
        <f>P62*2</f>
        <v>2</v>
      </c>
      <c r="Q63" s="71">
        <f>Q62</f>
        <v>6</v>
      </c>
      <c r="R63" s="71">
        <f>R62</f>
        <v>20</v>
      </c>
      <c r="S63" s="71">
        <f>S62</f>
        <v>0.7</v>
      </c>
      <c r="T63" s="72"/>
      <c r="U63" s="72"/>
      <c r="V63" s="72"/>
      <c r="W63" s="72"/>
      <c r="X63" s="72"/>
      <c r="Y63" s="73"/>
      <c r="Z63" s="15"/>
      <c r="AA63" s="15"/>
    </row>
    <row r="64" spans="1:27" ht="60" customHeight="1" x14ac:dyDescent="0.2">
      <c r="A64" s="74"/>
      <c r="B64" s="8" t="s">
        <v>14</v>
      </c>
      <c r="C64" s="466" t="s">
        <v>79</v>
      </c>
      <c r="D64" s="466"/>
      <c r="E64" s="466"/>
      <c r="F64" s="466"/>
      <c r="G64" s="466"/>
      <c r="H64" s="466"/>
      <c r="I64" s="6" t="s">
        <v>80</v>
      </c>
      <c r="J64" s="6"/>
      <c r="K64" s="6"/>
      <c r="L64" s="6"/>
      <c r="M64" s="75" t="s">
        <v>81</v>
      </c>
      <c r="N64" s="5">
        <v>561083.36</v>
      </c>
      <c r="O64" s="5"/>
      <c r="P64" s="56">
        <v>2</v>
      </c>
      <c r="Q64" s="56">
        <v>7</v>
      </c>
      <c r="R64" s="56">
        <v>40</v>
      </c>
      <c r="S64" s="56">
        <v>0.9</v>
      </c>
      <c r="T64" s="56">
        <v>0.1</v>
      </c>
      <c r="U64" s="56">
        <f>185*0.7355</f>
        <v>136.0675</v>
      </c>
      <c r="V64" s="56">
        <v>5</v>
      </c>
      <c r="W64" s="56">
        <f>'2. Varrição Manual'!C94</f>
        <v>25.25</v>
      </c>
      <c r="X64" s="56">
        <f>U64*T64*V64*W64</f>
        <v>1717.8521874999999</v>
      </c>
      <c r="Y64" s="57">
        <f>X64*P64</f>
        <v>3435.7043749999998</v>
      </c>
      <c r="Z64" s="15"/>
      <c r="AA64" s="15"/>
    </row>
    <row r="65" spans="1:27" ht="57" customHeight="1" x14ac:dyDescent="0.2">
      <c r="A65" s="74"/>
      <c r="B65" s="8"/>
      <c r="C65" s="466"/>
      <c r="D65" s="466"/>
      <c r="E65" s="466"/>
      <c r="F65" s="466"/>
      <c r="G65" s="466"/>
      <c r="H65" s="466"/>
      <c r="I65" s="467" t="s">
        <v>82</v>
      </c>
      <c r="J65" s="467"/>
      <c r="K65" s="467"/>
      <c r="L65" s="467"/>
      <c r="M65" s="76" t="s">
        <v>83</v>
      </c>
      <c r="N65" s="468">
        <v>36033.56</v>
      </c>
      <c r="O65" s="468"/>
      <c r="P65" s="77">
        <f>P64</f>
        <v>2</v>
      </c>
      <c r="Q65" s="77">
        <f>Q64</f>
        <v>7</v>
      </c>
      <c r="R65" s="77">
        <f>R64</f>
        <v>40</v>
      </c>
      <c r="S65" s="77">
        <f>S64</f>
        <v>0.9</v>
      </c>
      <c r="T65" s="78"/>
      <c r="U65" s="78"/>
      <c r="V65" s="78"/>
      <c r="W65" s="78"/>
      <c r="X65" s="78"/>
      <c r="Y65" s="79"/>
      <c r="Z65" s="15"/>
      <c r="AA65" s="15"/>
    </row>
    <row r="66" spans="1:27" ht="37.5" customHeight="1" x14ac:dyDescent="0.2">
      <c r="A66" s="15"/>
      <c r="B66" s="80" t="s">
        <v>84</v>
      </c>
      <c r="C66" s="7" t="s">
        <v>85</v>
      </c>
      <c r="D66" s="7"/>
      <c r="E66" s="7"/>
      <c r="F66" s="7"/>
      <c r="G66" s="7"/>
      <c r="H66" s="7"/>
      <c r="I66" s="2" t="s">
        <v>86</v>
      </c>
      <c r="J66" s="2"/>
      <c r="K66" s="2"/>
      <c r="L66" s="2"/>
      <c r="M66" s="76" t="s">
        <v>87</v>
      </c>
      <c r="N66" s="469">
        <v>65690</v>
      </c>
      <c r="O66" s="469"/>
      <c r="P66" s="81">
        <v>1</v>
      </c>
      <c r="Q66" s="81">
        <v>5</v>
      </c>
      <c r="R66" s="81">
        <v>40</v>
      </c>
      <c r="S66" s="81">
        <v>0.6</v>
      </c>
      <c r="T66" s="81">
        <v>0.09</v>
      </c>
      <c r="U66" s="82">
        <f>73*0.7355</f>
        <v>53.691500000000005</v>
      </c>
      <c r="V66" s="82">
        <v>4</v>
      </c>
      <c r="W66" s="81">
        <f>'3. Equipe Técnica'!C106</f>
        <v>20.91</v>
      </c>
      <c r="X66" s="81">
        <f>U66*T66*V66*W66</f>
        <v>404.16813539999998</v>
      </c>
      <c r="Y66" s="83">
        <f>X66*P66</f>
        <v>404.16813539999998</v>
      </c>
      <c r="Z66" s="15"/>
      <c r="AA66" s="15"/>
    </row>
    <row r="67" spans="1:27" ht="15" customHeight="1" x14ac:dyDescent="0.2">
      <c r="A67" s="15"/>
      <c r="B67" s="84"/>
      <c r="C67" s="470" t="s">
        <v>88</v>
      </c>
      <c r="D67" s="470"/>
      <c r="E67" s="470"/>
      <c r="F67" s="470"/>
      <c r="G67" s="470"/>
      <c r="H67" s="470"/>
      <c r="I67" s="470" t="s">
        <v>89</v>
      </c>
      <c r="J67" s="470"/>
      <c r="K67" s="470"/>
      <c r="L67" s="470"/>
      <c r="M67" s="85" t="s">
        <v>87</v>
      </c>
      <c r="N67" s="468">
        <v>90058</v>
      </c>
      <c r="O67" s="468"/>
      <c r="P67" s="62">
        <v>1</v>
      </c>
      <c r="Q67" s="62">
        <v>5</v>
      </c>
      <c r="R67" s="62">
        <v>40</v>
      </c>
      <c r="S67" s="62">
        <v>0.6</v>
      </c>
      <c r="T67" s="62">
        <v>0.05</v>
      </c>
      <c r="U67" s="62">
        <f>106*0.7355</f>
        <v>77.963000000000008</v>
      </c>
      <c r="V67" s="86">
        <v>5</v>
      </c>
      <c r="W67" s="62">
        <f>'3. Equipe Técnica'!C115</f>
        <v>25.25</v>
      </c>
      <c r="X67" s="62">
        <f>U67*T67*V67*W67</f>
        <v>492.14143750000005</v>
      </c>
      <c r="Y67" s="62">
        <f>X67*P67</f>
        <v>492.14143750000005</v>
      </c>
      <c r="Z67" s="15"/>
      <c r="AA67" s="15"/>
    </row>
    <row r="68" spans="1:27" ht="15.75" customHeight="1" x14ac:dyDescent="0.2">
      <c r="A68" s="15"/>
      <c r="B68" s="30"/>
      <c r="C68" s="471"/>
      <c r="D68" s="471"/>
      <c r="E68" s="471"/>
      <c r="F68" s="471"/>
      <c r="G68" s="471"/>
      <c r="H68" s="471"/>
      <c r="I68" s="471"/>
      <c r="J68" s="471"/>
      <c r="K68" s="471"/>
      <c r="L68" s="471"/>
      <c r="M68" s="87"/>
      <c r="N68" s="472"/>
      <c r="O68" s="472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15"/>
      <c r="AA68" s="15"/>
    </row>
    <row r="69" spans="1:27" ht="21" customHeight="1" x14ac:dyDescent="0.2">
      <c r="A69" s="15"/>
      <c r="Z69" s="15"/>
      <c r="AA69" s="15"/>
    </row>
    <row r="70" spans="1:27" x14ac:dyDescent="0.2">
      <c r="A70" s="15"/>
      <c r="Z70" s="15"/>
      <c r="AA70" s="15"/>
    </row>
    <row r="71" spans="1:27" ht="25.5" customHeight="1" x14ac:dyDescent="0.2">
      <c r="A71" s="15"/>
      <c r="B71" s="473"/>
      <c r="C71" s="474"/>
      <c r="D71" s="474"/>
      <c r="E71" s="474"/>
      <c r="F71" s="474"/>
      <c r="G71" s="474"/>
      <c r="H71" s="474"/>
      <c r="I71" s="474"/>
      <c r="J71" s="474"/>
      <c r="K71" s="474"/>
      <c r="L71" s="474"/>
      <c r="M71" s="89"/>
      <c r="N71" s="475"/>
      <c r="O71" s="475"/>
      <c r="P71" s="90"/>
      <c r="Q71" s="90"/>
      <c r="R71" s="90"/>
      <c r="S71" s="90"/>
      <c r="T71" s="90"/>
      <c r="U71" s="91"/>
      <c r="V71" s="91"/>
      <c r="W71" s="90"/>
      <c r="X71" s="90"/>
      <c r="Y71" s="90"/>
      <c r="Z71" s="15"/>
      <c r="AA71" s="15"/>
    </row>
    <row r="72" spans="1:27" ht="24" customHeight="1" x14ac:dyDescent="0.2">
      <c r="A72" s="15"/>
      <c r="B72" s="473"/>
      <c r="C72" s="476"/>
      <c r="D72" s="476"/>
      <c r="E72" s="476"/>
      <c r="F72" s="476"/>
      <c r="G72" s="476"/>
      <c r="H72" s="476"/>
      <c r="I72" s="476"/>
      <c r="J72" s="476"/>
      <c r="K72" s="476"/>
      <c r="L72" s="476"/>
      <c r="M72" s="89"/>
      <c r="N72" s="475"/>
      <c r="O72" s="475"/>
      <c r="P72" s="90"/>
      <c r="Q72" s="90"/>
      <c r="R72" s="90"/>
      <c r="S72" s="90"/>
      <c r="T72" s="90"/>
      <c r="U72" s="90"/>
      <c r="V72" s="91"/>
      <c r="W72" s="90"/>
      <c r="X72" s="90"/>
      <c r="Y72" s="90"/>
      <c r="Z72" s="15"/>
      <c r="AA72" s="15"/>
    </row>
    <row r="73" spans="1:27" ht="15.75" customHeight="1" x14ac:dyDescent="0.2">
      <c r="A73" s="15"/>
      <c r="B73" s="92"/>
      <c r="C73" s="93"/>
      <c r="D73" s="17"/>
      <c r="E73" s="17"/>
      <c r="F73" s="17"/>
      <c r="G73" s="43"/>
      <c r="H73" s="44"/>
      <c r="I73" s="17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</row>
    <row r="74" spans="1:27" ht="12.75" customHeight="1" x14ac:dyDescent="0.2">
      <c r="A74" s="15"/>
      <c r="B74" s="18" t="s">
        <v>90</v>
      </c>
      <c r="C74" s="51"/>
      <c r="D74" s="51"/>
      <c r="E74" s="51"/>
      <c r="F74" s="51"/>
      <c r="G74" s="43"/>
      <c r="H74" s="44"/>
      <c r="I74" s="17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</row>
    <row r="75" spans="1:27" ht="15.75" customHeight="1" x14ac:dyDescent="0.2">
      <c r="A75" s="15"/>
      <c r="B75" s="92"/>
      <c r="C75" s="93"/>
      <c r="D75" s="17"/>
      <c r="E75" s="17"/>
      <c r="F75" s="17"/>
      <c r="G75" s="43"/>
      <c r="H75" s="44"/>
      <c r="I75" s="17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1:27" ht="15.75" customHeight="1" x14ac:dyDescent="0.2">
      <c r="A76" s="15"/>
      <c r="B76" s="94"/>
      <c r="C76" s="477" t="s">
        <v>91</v>
      </c>
      <c r="D76" s="477"/>
      <c r="E76" s="477"/>
      <c r="F76" s="477"/>
      <c r="G76" s="477"/>
      <c r="H76" s="44"/>
      <c r="I76" s="17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1:27" ht="31.5" customHeight="1" x14ac:dyDescent="0.25">
      <c r="A77" s="15"/>
      <c r="B77" s="94"/>
      <c r="C77" s="478" t="s">
        <v>92</v>
      </c>
      <c r="D77" s="478"/>
      <c r="E77" s="478"/>
      <c r="F77" s="478"/>
      <c r="G77" s="95" t="s">
        <v>93</v>
      </c>
      <c r="H77" s="96" t="s">
        <v>94</v>
      </c>
      <c r="I77" s="96" t="s">
        <v>95</v>
      </c>
      <c r="J77" s="97" t="s">
        <v>96</v>
      </c>
      <c r="K77" s="479" t="s">
        <v>48</v>
      </c>
      <c r="L77" s="479"/>
      <c r="M77" s="479"/>
      <c r="N77" s="480" t="s">
        <v>97</v>
      </c>
      <c r="O77" s="480"/>
      <c r="P77" s="480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1:27" ht="15" customHeight="1" x14ac:dyDescent="0.2">
      <c r="A78" s="15"/>
      <c r="B78" s="481" t="s">
        <v>98</v>
      </c>
      <c r="C78" s="482" t="s">
        <v>99</v>
      </c>
      <c r="D78" s="482"/>
      <c r="E78" s="482"/>
      <c r="F78" s="482"/>
      <c r="G78" s="98">
        <v>264</v>
      </c>
      <c r="H78" s="56">
        <f t="shared" ref="H78:H86" si="3">G78/12</f>
        <v>22</v>
      </c>
      <c r="I78" s="56" t="s">
        <v>100</v>
      </c>
      <c r="J78" s="99">
        <v>69.989999999999995</v>
      </c>
      <c r="K78" s="483" t="s">
        <v>101</v>
      </c>
      <c r="L78" s="483"/>
      <c r="M78" s="483"/>
      <c r="N78" s="484" t="s">
        <v>102</v>
      </c>
      <c r="O78" s="484"/>
      <c r="P78" s="484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1:27" ht="15.75" customHeight="1" x14ac:dyDescent="0.2">
      <c r="A79" s="15"/>
      <c r="B79" s="481"/>
      <c r="C79" s="485" t="s">
        <v>103</v>
      </c>
      <c r="D79" s="485"/>
      <c r="E79" s="485"/>
      <c r="F79" s="485"/>
      <c r="G79" s="100">
        <v>264</v>
      </c>
      <c r="H79" s="101">
        <f t="shared" si="3"/>
        <v>22</v>
      </c>
      <c r="I79" s="101" t="s">
        <v>100</v>
      </c>
      <c r="J79" s="102">
        <v>40</v>
      </c>
      <c r="K79" s="483" t="s">
        <v>101</v>
      </c>
      <c r="L79" s="483"/>
      <c r="M79" s="483"/>
      <c r="N79" s="486" t="s">
        <v>102</v>
      </c>
      <c r="O79" s="486"/>
      <c r="P79" s="486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1:27" ht="15.75" customHeight="1" x14ac:dyDescent="0.2">
      <c r="A80" s="15"/>
      <c r="B80" s="481"/>
      <c r="C80" s="485" t="s">
        <v>104</v>
      </c>
      <c r="D80" s="485"/>
      <c r="E80" s="485"/>
      <c r="F80" s="485"/>
      <c r="G80" s="100">
        <v>264</v>
      </c>
      <c r="H80" s="101">
        <f t="shared" si="3"/>
        <v>22</v>
      </c>
      <c r="I80" s="101" t="s">
        <v>100</v>
      </c>
      <c r="J80" s="102">
        <v>40.9</v>
      </c>
      <c r="K80" s="483" t="s">
        <v>101</v>
      </c>
      <c r="L80" s="483"/>
      <c r="M80" s="483"/>
      <c r="N80" s="486" t="s">
        <v>102</v>
      </c>
      <c r="O80" s="486"/>
      <c r="P80" s="486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1:27" ht="15" customHeight="1" x14ac:dyDescent="0.2">
      <c r="A81" s="15"/>
      <c r="B81" s="481"/>
      <c r="C81" s="485" t="s">
        <v>105</v>
      </c>
      <c r="D81" s="485"/>
      <c r="E81" s="485"/>
      <c r="F81" s="485"/>
      <c r="G81" s="100">
        <v>44</v>
      </c>
      <c r="H81" s="101">
        <f t="shared" si="3"/>
        <v>3.6666666666666665</v>
      </c>
      <c r="I81" s="101" t="s">
        <v>100</v>
      </c>
      <c r="J81" s="102">
        <v>40.49</v>
      </c>
      <c r="K81" s="483" t="s">
        <v>101</v>
      </c>
      <c r="L81" s="483"/>
      <c r="M81" s="483"/>
      <c r="N81" s="487" t="s">
        <v>102</v>
      </c>
      <c r="O81" s="487"/>
      <c r="P81" s="487"/>
      <c r="Q81" s="103"/>
      <c r="R81" s="103"/>
      <c r="S81" s="15"/>
      <c r="T81" s="15"/>
      <c r="U81" s="15"/>
      <c r="V81" s="15"/>
      <c r="W81" s="15"/>
      <c r="X81" s="15"/>
      <c r="Y81" s="15"/>
      <c r="Z81" s="15"/>
      <c r="AA81" s="15"/>
    </row>
    <row r="82" spans="1:27" ht="15" customHeight="1" x14ac:dyDescent="0.2">
      <c r="A82" s="15"/>
      <c r="B82" s="481"/>
      <c r="C82" s="488" t="s">
        <v>106</v>
      </c>
      <c r="D82" s="488"/>
      <c r="E82" s="488"/>
      <c r="F82" s="488"/>
      <c r="G82" s="104">
        <f>8640*32</f>
        <v>276480</v>
      </c>
      <c r="H82" s="105">
        <f t="shared" si="3"/>
        <v>23040</v>
      </c>
      <c r="I82" s="105" t="s">
        <v>107</v>
      </c>
      <c r="J82" s="106">
        <v>1.25</v>
      </c>
      <c r="K82" s="489" t="s">
        <v>101</v>
      </c>
      <c r="L82" s="489"/>
      <c r="M82" s="489"/>
      <c r="N82" s="490" t="s">
        <v>108</v>
      </c>
      <c r="O82" s="490"/>
      <c r="P82" s="490"/>
      <c r="Q82" s="103"/>
      <c r="R82" s="103"/>
      <c r="S82" s="15"/>
      <c r="T82" s="15"/>
      <c r="U82" s="15"/>
      <c r="V82" s="15"/>
      <c r="W82" s="15"/>
      <c r="X82" s="15"/>
      <c r="Y82" s="15"/>
      <c r="Z82" s="15"/>
      <c r="AA82" s="15"/>
    </row>
    <row r="83" spans="1:27" ht="12.75" customHeight="1" x14ac:dyDescent="0.2">
      <c r="A83" s="15"/>
      <c r="B83" s="491" t="s">
        <v>109</v>
      </c>
      <c r="C83" s="482" t="s">
        <v>110</v>
      </c>
      <c r="D83" s="482"/>
      <c r="E83" s="482"/>
      <c r="F83" s="482"/>
      <c r="G83" s="98">
        <v>472</v>
      </c>
      <c r="H83" s="56">
        <f t="shared" si="3"/>
        <v>39.333333333333336</v>
      </c>
      <c r="I83" s="56" t="s">
        <v>100</v>
      </c>
      <c r="J83" s="107">
        <v>19.07</v>
      </c>
      <c r="K83" s="483" t="s">
        <v>101</v>
      </c>
      <c r="L83" s="483"/>
      <c r="M83" s="483"/>
      <c r="N83" s="484" t="s">
        <v>102</v>
      </c>
      <c r="O83" s="484"/>
      <c r="P83" s="484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</row>
    <row r="84" spans="1:27" ht="12.75" customHeight="1" x14ac:dyDescent="0.2">
      <c r="A84" s="15"/>
      <c r="B84" s="491"/>
      <c r="C84" s="485" t="s">
        <v>111</v>
      </c>
      <c r="D84" s="485"/>
      <c r="E84" s="485"/>
      <c r="F84" s="485"/>
      <c r="G84" s="100">
        <v>168</v>
      </c>
      <c r="H84" s="101">
        <f t="shared" si="3"/>
        <v>14</v>
      </c>
      <c r="I84" s="101" t="s">
        <v>100</v>
      </c>
      <c r="J84" s="102">
        <v>9.23</v>
      </c>
      <c r="K84" s="483" t="s">
        <v>101</v>
      </c>
      <c r="L84" s="483"/>
      <c r="M84" s="483"/>
      <c r="N84" s="486" t="s">
        <v>102</v>
      </c>
      <c r="O84" s="486"/>
      <c r="P84" s="486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1:27" ht="12.75" customHeight="1" x14ac:dyDescent="0.2">
      <c r="A85" s="15"/>
      <c r="B85" s="491"/>
      <c r="C85" s="485" t="s">
        <v>112</v>
      </c>
      <c r="D85" s="485"/>
      <c r="E85" s="485"/>
      <c r="F85" s="485"/>
      <c r="G85" s="100">
        <v>87000</v>
      </c>
      <c r="H85" s="101">
        <f t="shared" si="3"/>
        <v>7250</v>
      </c>
      <c r="I85" s="101" t="s">
        <v>100</v>
      </c>
      <c r="J85" s="102">
        <v>0.22</v>
      </c>
      <c r="K85" s="483" t="s">
        <v>101</v>
      </c>
      <c r="L85" s="483"/>
      <c r="M85" s="483"/>
      <c r="N85" s="490" t="s">
        <v>108</v>
      </c>
      <c r="O85" s="490"/>
      <c r="P85" s="490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</row>
    <row r="86" spans="1:27" ht="15.75" customHeight="1" x14ac:dyDescent="0.2">
      <c r="A86" s="15"/>
      <c r="B86" s="491"/>
      <c r="C86" s="492" t="s">
        <v>113</v>
      </c>
      <c r="D86" s="492"/>
      <c r="E86" s="492"/>
      <c r="F86" s="492"/>
      <c r="G86" s="108">
        <v>28</v>
      </c>
      <c r="H86" s="109">
        <f t="shared" si="3"/>
        <v>2.3333333333333335</v>
      </c>
      <c r="I86" s="109" t="s">
        <v>100</v>
      </c>
      <c r="J86" s="110">
        <v>263.58</v>
      </c>
      <c r="K86" s="489" t="s">
        <v>101</v>
      </c>
      <c r="L86" s="489"/>
      <c r="M86" s="489"/>
      <c r="N86" s="493" t="s">
        <v>108</v>
      </c>
      <c r="O86" s="493"/>
      <c r="P86" s="493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</row>
    <row r="87" spans="1:27" ht="14.25" x14ac:dyDescent="0.2">
      <c r="A87" s="15"/>
      <c r="B87" s="494"/>
      <c r="C87" s="474"/>
      <c r="D87" s="474"/>
      <c r="E87" s="474"/>
      <c r="F87" s="474"/>
      <c r="G87" s="90"/>
      <c r="H87" s="90"/>
      <c r="I87" s="90"/>
      <c r="J87" s="111"/>
      <c r="K87" s="495"/>
      <c r="L87" s="495"/>
      <c r="M87" s="495"/>
      <c r="N87" s="496"/>
      <c r="O87" s="496"/>
      <c r="P87" s="496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</row>
    <row r="88" spans="1:27" ht="12.75" customHeight="1" x14ac:dyDescent="0.2">
      <c r="A88" s="15"/>
      <c r="B88" s="494"/>
      <c r="C88" s="474"/>
      <c r="D88" s="474"/>
      <c r="E88" s="474"/>
      <c r="F88" s="474"/>
      <c r="G88" s="90"/>
      <c r="H88" s="90"/>
      <c r="I88" s="90"/>
      <c r="J88" s="111"/>
      <c r="K88" s="495"/>
      <c r="L88" s="495"/>
      <c r="M88" s="495"/>
      <c r="N88" s="496"/>
      <c r="O88" s="496"/>
      <c r="P88" s="496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</row>
    <row r="89" spans="1:27" ht="15" customHeight="1" x14ac:dyDescent="0.2">
      <c r="A89" s="15"/>
      <c r="B89" s="494"/>
      <c r="C89" s="474"/>
      <c r="D89" s="474"/>
      <c r="E89" s="474"/>
      <c r="F89" s="474"/>
      <c r="G89" s="90"/>
      <c r="H89" s="90"/>
      <c r="I89" s="90"/>
      <c r="J89" s="111"/>
      <c r="K89" s="495"/>
      <c r="L89" s="495"/>
      <c r="M89" s="495"/>
      <c r="N89" s="496"/>
      <c r="O89" s="496"/>
      <c r="P89" s="496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</row>
    <row r="90" spans="1:27" ht="14.25" x14ac:dyDescent="0.2">
      <c r="A90" s="15"/>
      <c r="B90" s="494"/>
      <c r="C90" s="474"/>
      <c r="D90" s="474"/>
      <c r="E90" s="474"/>
      <c r="F90" s="474"/>
      <c r="G90" s="90"/>
      <c r="H90" s="90"/>
      <c r="I90" s="90"/>
      <c r="J90" s="111"/>
      <c r="K90" s="495"/>
      <c r="L90" s="495"/>
      <c r="M90" s="495"/>
      <c r="N90" s="496"/>
      <c r="O90" s="496"/>
      <c r="P90" s="496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</row>
    <row r="91" spans="1:27" ht="15" customHeight="1" x14ac:dyDescent="0.2">
      <c r="A91" s="15"/>
      <c r="B91" s="17"/>
      <c r="C91" s="17"/>
      <c r="D91" s="17"/>
      <c r="E91" s="17"/>
      <c r="F91" s="15"/>
      <c r="G91" s="112"/>
      <c r="H91" s="17"/>
      <c r="I91" s="17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</row>
    <row r="92" spans="1:27" ht="15" customHeight="1" x14ac:dyDescent="0.2">
      <c r="A92" s="15"/>
      <c r="B92" s="18" t="s">
        <v>114</v>
      </c>
      <c r="C92" s="17"/>
      <c r="D92" s="17"/>
      <c r="E92" s="17"/>
      <c r="F92" s="15"/>
      <c r="G92" s="112"/>
      <c r="H92" s="17"/>
      <c r="I92" s="17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</row>
    <row r="93" spans="1:27" ht="15" customHeight="1" x14ac:dyDescent="0.2">
      <c r="A93" s="15"/>
      <c r="B93" s="17"/>
      <c r="C93" s="17"/>
      <c r="D93" s="17"/>
      <c r="E93" s="17"/>
      <c r="F93" s="15"/>
      <c r="G93" s="112"/>
      <c r="H93" s="17"/>
      <c r="I93" s="17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</row>
    <row r="94" spans="1:27" ht="15" customHeight="1" x14ac:dyDescent="0.2">
      <c r="A94" s="15"/>
      <c r="B94" s="42" t="s">
        <v>115</v>
      </c>
      <c r="C94" s="17"/>
      <c r="D94" s="17"/>
      <c r="E94" s="17"/>
      <c r="F94" s="15"/>
      <c r="G94" s="112"/>
      <c r="H94" s="17"/>
      <c r="I94" s="17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</row>
    <row r="95" spans="1:27" ht="15" customHeight="1" x14ac:dyDescent="0.2">
      <c r="A95" s="15"/>
      <c r="B95" s="45"/>
      <c r="C95" s="113"/>
      <c r="D95" s="113"/>
      <c r="E95" s="113"/>
      <c r="F95" s="15"/>
      <c r="G95" s="114"/>
      <c r="H95" s="17"/>
      <c r="I95" s="17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</row>
    <row r="96" spans="1:27" ht="15" customHeight="1" x14ac:dyDescent="0.2">
      <c r="A96" s="15"/>
      <c r="B96" s="497" t="s">
        <v>116</v>
      </c>
      <c r="C96" s="498" t="s">
        <v>117</v>
      </c>
      <c r="D96" s="498"/>
      <c r="E96" s="115"/>
      <c r="F96" s="498" t="s">
        <v>118</v>
      </c>
      <c r="G96" s="498"/>
      <c r="H96" s="498" t="s">
        <v>119</v>
      </c>
      <c r="I96" s="498"/>
      <c r="J96" s="498" t="s">
        <v>120</v>
      </c>
      <c r="K96" s="498"/>
      <c r="L96" s="499" t="s">
        <v>121</v>
      </c>
      <c r="M96" s="499"/>
      <c r="N96" s="499"/>
      <c r="O96" s="500" t="s">
        <v>122</v>
      </c>
      <c r="P96" s="500" t="s">
        <v>123</v>
      </c>
      <c r="Q96" s="116"/>
      <c r="R96" s="116"/>
      <c r="S96" s="117"/>
      <c r="T96" s="15"/>
      <c r="U96" s="15"/>
      <c r="V96" s="15"/>
      <c r="W96" s="15"/>
      <c r="X96" s="15"/>
      <c r="Y96" s="15"/>
      <c r="Z96" s="15"/>
      <c r="AA96" s="15"/>
    </row>
    <row r="97" spans="1:27" ht="15" customHeight="1" x14ac:dyDescent="0.2">
      <c r="A97" s="15"/>
      <c r="B97" s="497"/>
      <c r="C97" s="118" t="s">
        <v>124</v>
      </c>
      <c r="D97" s="119" t="s">
        <v>125</v>
      </c>
      <c r="E97" s="120"/>
      <c r="F97" s="118" t="s">
        <v>124</v>
      </c>
      <c r="G97" s="119" t="s">
        <v>126</v>
      </c>
      <c r="H97" s="118" t="s">
        <v>124</v>
      </c>
      <c r="I97" s="119" t="s">
        <v>126</v>
      </c>
      <c r="J97" s="118" t="s">
        <v>124</v>
      </c>
      <c r="K97" s="119" t="s">
        <v>126</v>
      </c>
      <c r="L97" s="118" t="s">
        <v>124</v>
      </c>
      <c r="M97" s="120"/>
      <c r="N97" s="121" t="s">
        <v>127</v>
      </c>
      <c r="O97" s="500"/>
      <c r="P97" s="500"/>
      <c r="Q97" s="116"/>
      <c r="R97" s="116"/>
      <c r="S97" s="117"/>
      <c r="T97" s="15"/>
      <c r="U97" s="15"/>
      <c r="V97" s="15"/>
      <c r="W97" s="15"/>
      <c r="X97" s="15"/>
      <c r="Y97" s="15"/>
      <c r="Z97" s="15"/>
      <c r="AA97" s="15"/>
    </row>
    <row r="98" spans="1:27" ht="12.75" customHeight="1" x14ac:dyDescent="0.2">
      <c r="A98" s="15"/>
      <c r="B98" s="122" t="s">
        <v>128</v>
      </c>
      <c r="C98" s="123">
        <v>1</v>
      </c>
      <c r="D98" s="124">
        <f t="shared" ref="D98:D110" si="4">C98*$C$17</f>
        <v>80</v>
      </c>
      <c r="E98" s="125"/>
      <c r="F98" s="123">
        <v>1</v>
      </c>
      <c r="G98" s="124">
        <f t="shared" ref="G98:G110" si="5">F98*$C$19</f>
        <v>4</v>
      </c>
      <c r="H98" s="123">
        <v>1</v>
      </c>
      <c r="I98" s="124">
        <f t="shared" ref="I98:I110" si="6">H98*$C$20</f>
        <v>4</v>
      </c>
      <c r="J98" s="123">
        <v>1</v>
      </c>
      <c r="K98" s="124">
        <f t="shared" ref="K98:K110" si="7">J98*$C$18</f>
        <v>4</v>
      </c>
      <c r="L98" s="123">
        <v>1</v>
      </c>
      <c r="M98" s="126"/>
      <c r="N98" s="127">
        <f t="shared" ref="N98:N110" si="8">L98*$C$22</f>
        <v>7</v>
      </c>
      <c r="O98" s="128">
        <f t="shared" ref="O98:O110" si="9">D98+G98+I98+K98+N98</f>
        <v>99</v>
      </c>
      <c r="P98" s="128"/>
      <c r="Q98" s="116"/>
      <c r="R98" s="116"/>
      <c r="S98" s="117"/>
      <c r="T98" s="15"/>
      <c r="U98" s="15"/>
      <c r="V98" s="15"/>
      <c r="W98" s="15"/>
      <c r="X98" s="15"/>
      <c r="Y98" s="15"/>
      <c r="Z98" s="15"/>
      <c r="AA98" s="15"/>
    </row>
    <row r="99" spans="1:27" ht="12.75" customHeight="1" x14ac:dyDescent="0.2">
      <c r="A99" s="15"/>
      <c r="B99" s="122" t="s">
        <v>129</v>
      </c>
      <c r="C99" s="123">
        <v>6</v>
      </c>
      <c r="D99" s="124">
        <f t="shared" si="4"/>
        <v>480</v>
      </c>
      <c r="E99" s="125"/>
      <c r="F99" s="123">
        <v>6</v>
      </c>
      <c r="G99" s="124">
        <f t="shared" si="5"/>
        <v>24</v>
      </c>
      <c r="H99" s="123">
        <v>6</v>
      </c>
      <c r="I99" s="124">
        <f t="shared" si="6"/>
        <v>24</v>
      </c>
      <c r="J99" s="123">
        <v>6</v>
      </c>
      <c r="K99" s="124">
        <f t="shared" si="7"/>
        <v>24</v>
      </c>
      <c r="L99" s="123">
        <v>6</v>
      </c>
      <c r="M99" s="126"/>
      <c r="N99" s="127">
        <f t="shared" si="8"/>
        <v>42</v>
      </c>
      <c r="O99" s="128">
        <f t="shared" si="9"/>
        <v>594</v>
      </c>
      <c r="P99" s="128"/>
      <c r="Q99" s="116"/>
      <c r="R99" s="116"/>
      <c r="S99" s="117"/>
      <c r="T99" s="15"/>
      <c r="U99" s="15"/>
      <c r="V99" s="15"/>
      <c r="W99" s="15"/>
      <c r="X99" s="15"/>
      <c r="Y99" s="15"/>
      <c r="Z99" s="15"/>
      <c r="AA99" s="15"/>
    </row>
    <row r="100" spans="1:27" ht="12.75" customHeight="1" x14ac:dyDescent="0.2">
      <c r="A100" s="15"/>
      <c r="B100" s="122" t="s">
        <v>130</v>
      </c>
      <c r="C100" s="123">
        <v>6</v>
      </c>
      <c r="D100" s="124">
        <f t="shared" si="4"/>
        <v>480</v>
      </c>
      <c r="E100" s="125"/>
      <c r="F100" s="123">
        <v>6</v>
      </c>
      <c r="G100" s="124">
        <f t="shared" si="5"/>
        <v>24</v>
      </c>
      <c r="H100" s="123">
        <v>6</v>
      </c>
      <c r="I100" s="124">
        <f t="shared" si="6"/>
        <v>24</v>
      </c>
      <c r="J100" s="123">
        <v>6</v>
      </c>
      <c r="K100" s="124">
        <f t="shared" si="7"/>
        <v>24</v>
      </c>
      <c r="L100" s="123">
        <v>6</v>
      </c>
      <c r="M100" s="126"/>
      <c r="N100" s="127">
        <f t="shared" si="8"/>
        <v>42</v>
      </c>
      <c r="O100" s="128">
        <f t="shared" si="9"/>
        <v>594</v>
      </c>
      <c r="P100" s="128"/>
      <c r="Q100" s="116"/>
      <c r="R100" s="116"/>
      <c r="S100" s="117"/>
      <c r="T100" s="15"/>
      <c r="U100" s="15"/>
      <c r="V100" s="15"/>
      <c r="W100" s="15"/>
      <c r="X100" s="15"/>
      <c r="Y100" s="15"/>
      <c r="Z100" s="15"/>
      <c r="AA100" s="15"/>
    </row>
    <row r="101" spans="1:27" ht="30" customHeight="1" x14ac:dyDescent="0.2">
      <c r="A101" s="15"/>
      <c r="B101" s="122" t="s">
        <v>131</v>
      </c>
      <c r="C101" s="123">
        <v>6</v>
      </c>
      <c r="D101" s="124">
        <f t="shared" si="4"/>
        <v>480</v>
      </c>
      <c r="E101" s="125"/>
      <c r="F101" s="123">
        <v>6</v>
      </c>
      <c r="G101" s="124">
        <f t="shared" si="5"/>
        <v>24</v>
      </c>
      <c r="H101" s="123">
        <v>6</v>
      </c>
      <c r="I101" s="124">
        <f t="shared" si="6"/>
        <v>24</v>
      </c>
      <c r="J101" s="123">
        <v>6</v>
      </c>
      <c r="K101" s="124">
        <f t="shared" si="7"/>
        <v>24</v>
      </c>
      <c r="L101" s="123">
        <v>6</v>
      </c>
      <c r="M101" s="126"/>
      <c r="N101" s="127">
        <f t="shared" si="8"/>
        <v>42</v>
      </c>
      <c r="O101" s="128">
        <f t="shared" si="9"/>
        <v>594</v>
      </c>
      <c r="P101" s="128"/>
      <c r="Q101" s="116"/>
      <c r="R101" s="116"/>
      <c r="S101" s="117"/>
      <c r="T101" s="15"/>
      <c r="U101" s="15"/>
      <c r="V101" s="15"/>
      <c r="W101" s="15"/>
      <c r="X101" s="15"/>
      <c r="Y101" s="15"/>
      <c r="Z101" s="15"/>
      <c r="AA101" s="15"/>
    </row>
    <row r="102" spans="1:27" ht="15" customHeight="1" x14ac:dyDescent="0.2">
      <c r="A102" s="15"/>
      <c r="B102" s="122" t="s">
        <v>132</v>
      </c>
      <c r="C102" s="123">
        <v>3</v>
      </c>
      <c r="D102" s="124">
        <f t="shared" si="4"/>
        <v>240</v>
      </c>
      <c r="E102" s="125"/>
      <c r="F102" s="123">
        <v>0</v>
      </c>
      <c r="G102" s="124">
        <f t="shared" si="5"/>
        <v>0</v>
      </c>
      <c r="H102" s="123">
        <v>0</v>
      </c>
      <c r="I102" s="124">
        <f t="shared" si="6"/>
        <v>0</v>
      </c>
      <c r="J102" s="123">
        <v>3</v>
      </c>
      <c r="K102" s="124">
        <f t="shared" si="7"/>
        <v>12</v>
      </c>
      <c r="L102" s="123">
        <v>3</v>
      </c>
      <c r="M102" s="126"/>
      <c r="N102" s="127">
        <f t="shared" si="8"/>
        <v>21</v>
      </c>
      <c r="O102" s="128">
        <f t="shared" si="9"/>
        <v>273</v>
      </c>
      <c r="P102" s="128"/>
      <c r="Q102" s="116"/>
      <c r="R102" s="116"/>
      <c r="S102" s="117"/>
      <c r="T102" s="15"/>
      <c r="U102" s="15"/>
      <c r="V102" s="15"/>
      <c r="W102" s="15"/>
      <c r="X102" s="15"/>
      <c r="Y102" s="15"/>
      <c r="Z102" s="15"/>
      <c r="AA102" s="15"/>
    </row>
    <row r="103" spans="1:27" ht="15" customHeight="1" x14ac:dyDescent="0.2">
      <c r="A103" s="15"/>
      <c r="B103" s="122" t="s">
        <v>133</v>
      </c>
      <c r="C103" s="123">
        <v>3</v>
      </c>
      <c r="D103" s="124">
        <f t="shared" si="4"/>
        <v>240</v>
      </c>
      <c r="E103" s="125"/>
      <c r="F103" s="123">
        <v>1</v>
      </c>
      <c r="G103" s="124">
        <f t="shared" si="5"/>
        <v>4</v>
      </c>
      <c r="H103" s="123">
        <v>1</v>
      </c>
      <c r="I103" s="124">
        <f t="shared" si="6"/>
        <v>4</v>
      </c>
      <c r="J103" s="123">
        <v>3</v>
      </c>
      <c r="K103" s="124">
        <f t="shared" si="7"/>
        <v>12</v>
      </c>
      <c r="L103" s="123">
        <v>3</v>
      </c>
      <c r="M103" s="126"/>
      <c r="N103" s="127">
        <f t="shared" si="8"/>
        <v>21</v>
      </c>
      <c r="O103" s="128">
        <f t="shared" si="9"/>
        <v>281</v>
      </c>
      <c r="P103" s="128"/>
      <c r="Q103" s="116"/>
      <c r="R103" s="116"/>
      <c r="S103" s="117"/>
      <c r="T103" s="15"/>
      <c r="U103" s="15"/>
      <c r="V103" s="15"/>
      <c r="W103" s="15"/>
      <c r="X103" s="15"/>
      <c r="Y103" s="15"/>
      <c r="Z103" s="15"/>
      <c r="AA103" s="15"/>
    </row>
    <row r="104" spans="1:27" ht="15" customHeight="1" x14ac:dyDescent="0.2">
      <c r="A104" s="15"/>
      <c r="B104" s="122" t="s">
        <v>134</v>
      </c>
      <c r="C104" s="123">
        <v>12</v>
      </c>
      <c r="D104" s="124">
        <f t="shared" si="4"/>
        <v>960</v>
      </c>
      <c r="E104" s="125"/>
      <c r="F104" s="123">
        <v>0</v>
      </c>
      <c r="G104" s="124">
        <f t="shared" si="5"/>
        <v>0</v>
      </c>
      <c r="H104" s="123">
        <v>0</v>
      </c>
      <c r="I104" s="124">
        <f t="shared" si="6"/>
        <v>0</v>
      </c>
      <c r="J104" s="123">
        <v>0</v>
      </c>
      <c r="K104" s="124">
        <f t="shared" si="7"/>
        <v>0</v>
      </c>
      <c r="L104" s="123">
        <v>12</v>
      </c>
      <c r="M104" s="126"/>
      <c r="N104" s="127">
        <f t="shared" si="8"/>
        <v>84</v>
      </c>
      <c r="O104" s="128">
        <f t="shared" si="9"/>
        <v>1044</v>
      </c>
      <c r="P104" s="128"/>
      <c r="Q104" s="116"/>
      <c r="R104" s="116"/>
      <c r="S104" s="117"/>
      <c r="T104" s="15"/>
      <c r="U104" s="15"/>
      <c r="V104" s="15"/>
      <c r="W104" s="15"/>
      <c r="X104" s="15"/>
      <c r="Y104" s="15"/>
      <c r="Z104" s="15"/>
      <c r="AA104" s="15"/>
    </row>
    <row r="105" spans="1:27" ht="15" customHeight="1" x14ac:dyDescent="0.2">
      <c r="A105" s="15"/>
      <c r="B105" s="122" t="s">
        <v>135</v>
      </c>
      <c r="C105" s="123">
        <v>3</v>
      </c>
      <c r="D105" s="124">
        <f t="shared" si="4"/>
        <v>240</v>
      </c>
      <c r="E105" s="125"/>
      <c r="F105" s="123">
        <v>0</v>
      </c>
      <c r="G105" s="124">
        <f t="shared" si="5"/>
        <v>0</v>
      </c>
      <c r="H105" s="123">
        <v>0</v>
      </c>
      <c r="I105" s="124">
        <f t="shared" si="6"/>
        <v>0</v>
      </c>
      <c r="J105" s="123">
        <v>3</v>
      </c>
      <c r="K105" s="124">
        <f t="shared" si="7"/>
        <v>12</v>
      </c>
      <c r="L105" s="123">
        <v>0</v>
      </c>
      <c r="M105" s="126"/>
      <c r="N105" s="127">
        <f t="shared" si="8"/>
        <v>0</v>
      </c>
      <c r="O105" s="128">
        <f t="shared" si="9"/>
        <v>252</v>
      </c>
      <c r="P105" s="128"/>
      <c r="Q105" s="116"/>
      <c r="R105" s="116"/>
      <c r="S105" s="117"/>
      <c r="T105" s="15"/>
      <c r="U105" s="15"/>
      <c r="V105" s="15"/>
      <c r="W105" s="15"/>
      <c r="X105" s="15"/>
      <c r="Y105" s="15"/>
      <c r="Z105" s="15"/>
      <c r="AA105" s="15"/>
    </row>
    <row r="106" spans="1:27" ht="15" customHeight="1" x14ac:dyDescent="0.2">
      <c r="A106" s="15"/>
      <c r="B106" s="122" t="s">
        <v>136</v>
      </c>
      <c r="C106" s="123">
        <v>3</v>
      </c>
      <c r="D106" s="124">
        <f t="shared" si="4"/>
        <v>240</v>
      </c>
      <c r="E106" s="125"/>
      <c r="F106" s="123">
        <v>0</v>
      </c>
      <c r="G106" s="124">
        <f t="shared" si="5"/>
        <v>0</v>
      </c>
      <c r="H106" s="123">
        <v>0</v>
      </c>
      <c r="I106" s="124">
        <f t="shared" si="6"/>
        <v>0</v>
      </c>
      <c r="J106" s="123">
        <v>3</v>
      </c>
      <c r="K106" s="124">
        <f t="shared" si="7"/>
        <v>12</v>
      </c>
      <c r="L106" s="123">
        <v>0</v>
      </c>
      <c r="M106" s="126"/>
      <c r="N106" s="127">
        <f t="shared" si="8"/>
        <v>0</v>
      </c>
      <c r="O106" s="128">
        <f t="shared" si="9"/>
        <v>252</v>
      </c>
      <c r="P106" s="128"/>
      <c r="Q106" s="116"/>
      <c r="R106" s="116"/>
      <c r="S106" s="117"/>
      <c r="T106" s="15"/>
      <c r="U106" s="15"/>
      <c r="V106" s="15"/>
      <c r="W106" s="15"/>
      <c r="X106" s="15"/>
      <c r="Y106" s="15"/>
      <c r="Z106" s="15"/>
      <c r="AA106" s="15"/>
    </row>
    <row r="107" spans="1:27" ht="15.75" customHeight="1" x14ac:dyDescent="0.2">
      <c r="A107" s="40"/>
      <c r="B107" s="122" t="s">
        <v>137</v>
      </c>
      <c r="C107" s="123">
        <v>24</v>
      </c>
      <c r="D107" s="124">
        <f t="shared" si="4"/>
        <v>1920</v>
      </c>
      <c r="E107" s="125"/>
      <c r="F107" s="123">
        <v>0</v>
      </c>
      <c r="G107" s="124">
        <f t="shared" si="5"/>
        <v>0</v>
      </c>
      <c r="H107" s="123">
        <v>0</v>
      </c>
      <c r="I107" s="124">
        <f t="shared" si="6"/>
        <v>0</v>
      </c>
      <c r="J107" s="123">
        <v>0</v>
      </c>
      <c r="K107" s="124">
        <f t="shared" si="7"/>
        <v>0</v>
      </c>
      <c r="L107" s="123">
        <v>0</v>
      </c>
      <c r="M107" s="126"/>
      <c r="N107" s="127">
        <f t="shared" si="8"/>
        <v>0</v>
      </c>
      <c r="O107" s="128">
        <f t="shared" si="9"/>
        <v>1920</v>
      </c>
      <c r="P107" s="128"/>
      <c r="Q107" s="116"/>
      <c r="R107" s="116"/>
      <c r="S107" s="117"/>
      <c r="T107" s="40"/>
      <c r="U107" s="40"/>
      <c r="V107" s="40"/>
      <c r="W107" s="40"/>
      <c r="X107" s="40"/>
      <c r="Y107" s="40"/>
      <c r="Z107" s="40"/>
      <c r="AA107" s="40"/>
    </row>
    <row r="108" spans="1:27" ht="15.75" customHeight="1" x14ac:dyDescent="0.2">
      <c r="A108" s="15"/>
      <c r="B108" s="122" t="s">
        <v>138</v>
      </c>
      <c r="C108" s="123">
        <v>9</v>
      </c>
      <c r="D108" s="124">
        <f t="shared" si="4"/>
        <v>720</v>
      </c>
      <c r="E108" s="125"/>
      <c r="F108" s="123">
        <v>0</v>
      </c>
      <c r="G108" s="124">
        <f t="shared" si="5"/>
        <v>0</v>
      </c>
      <c r="H108" s="123">
        <v>0</v>
      </c>
      <c r="I108" s="124">
        <f t="shared" si="6"/>
        <v>0</v>
      </c>
      <c r="J108" s="123">
        <v>9</v>
      </c>
      <c r="K108" s="124">
        <f t="shared" si="7"/>
        <v>36</v>
      </c>
      <c r="L108" s="123">
        <v>9</v>
      </c>
      <c r="M108" s="126"/>
      <c r="N108" s="127">
        <f t="shared" si="8"/>
        <v>63</v>
      </c>
      <c r="O108" s="128">
        <f t="shared" si="9"/>
        <v>819</v>
      </c>
      <c r="P108" s="128"/>
      <c r="Q108" s="116"/>
      <c r="R108" s="116"/>
      <c r="S108" s="117"/>
      <c r="T108" s="15"/>
      <c r="U108" s="15"/>
      <c r="V108" s="15"/>
      <c r="W108" s="15"/>
      <c r="X108" s="15"/>
      <c r="Y108" s="15"/>
      <c r="Z108" s="15"/>
      <c r="AA108" s="15"/>
    </row>
    <row r="109" spans="1:27" ht="12.75" customHeight="1" x14ac:dyDescent="0.2">
      <c r="A109" s="15"/>
      <c r="B109" s="122" t="s">
        <v>139</v>
      </c>
      <c r="C109" s="123">
        <v>6</v>
      </c>
      <c r="D109" s="124">
        <f t="shared" si="4"/>
        <v>480</v>
      </c>
      <c r="E109" s="125"/>
      <c r="F109" s="123">
        <v>6</v>
      </c>
      <c r="G109" s="124">
        <f t="shared" si="5"/>
        <v>24</v>
      </c>
      <c r="H109" s="123">
        <v>6</v>
      </c>
      <c r="I109" s="124">
        <f t="shared" si="6"/>
        <v>24</v>
      </c>
      <c r="J109" s="123">
        <v>6</v>
      </c>
      <c r="K109" s="124">
        <f t="shared" si="7"/>
        <v>24</v>
      </c>
      <c r="L109" s="123">
        <v>6</v>
      </c>
      <c r="M109" s="126"/>
      <c r="N109" s="127">
        <f t="shared" si="8"/>
        <v>42</v>
      </c>
      <c r="O109" s="128">
        <f t="shared" si="9"/>
        <v>594</v>
      </c>
      <c r="P109" s="128"/>
      <c r="Q109" s="116"/>
      <c r="R109" s="116"/>
      <c r="S109" s="117"/>
      <c r="T109" s="15"/>
      <c r="U109" s="15"/>
      <c r="V109" s="15"/>
      <c r="W109" s="15"/>
      <c r="X109" s="15"/>
      <c r="Y109" s="15"/>
      <c r="Z109" s="15"/>
      <c r="AA109" s="15"/>
    </row>
    <row r="110" spans="1:27" ht="11.25" customHeight="1" x14ac:dyDescent="0.2">
      <c r="A110" s="15"/>
      <c r="B110" s="122" t="s">
        <v>140</v>
      </c>
      <c r="C110" s="123">
        <v>2</v>
      </c>
      <c r="D110" s="124">
        <f t="shared" si="4"/>
        <v>160</v>
      </c>
      <c r="E110" s="125"/>
      <c r="F110" s="123">
        <v>0</v>
      </c>
      <c r="G110" s="124">
        <f t="shared" si="5"/>
        <v>0</v>
      </c>
      <c r="H110" s="123">
        <v>0</v>
      </c>
      <c r="I110" s="124">
        <f t="shared" si="6"/>
        <v>0</v>
      </c>
      <c r="J110" s="123">
        <v>0</v>
      </c>
      <c r="K110" s="124">
        <f t="shared" si="7"/>
        <v>0</v>
      </c>
      <c r="L110" s="123">
        <v>0</v>
      </c>
      <c r="M110" s="126"/>
      <c r="N110" s="127">
        <f t="shared" si="8"/>
        <v>0</v>
      </c>
      <c r="O110" s="128">
        <f t="shared" si="9"/>
        <v>160</v>
      </c>
      <c r="P110" s="128"/>
      <c r="Q110" s="116"/>
      <c r="R110" s="116"/>
      <c r="S110" s="117"/>
      <c r="T110" s="15"/>
      <c r="U110" s="15"/>
      <c r="V110" s="15"/>
      <c r="W110" s="15"/>
      <c r="X110" s="15"/>
      <c r="Y110" s="15"/>
      <c r="Z110" s="15"/>
      <c r="AA110" s="15"/>
    </row>
    <row r="111" spans="1:27" ht="13.5" customHeight="1" x14ac:dyDescent="0.2">
      <c r="A111" s="15"/>
      <c r="B111" s="129" t="s">
        <v>141</v>
      </c>
      <c r="C111" s="501">
        <v>60</v>
      </c>
      <c r="D111" s="501"/>
      <c r="E111" s="501"/>
      <c r="F111" s="501"/>
      <c r="G111" s="501"/>
      <c r="H111" s="501"/>
      <c r="I111" s="501"/>
      <c r="J111" s="501"/>
      <c r="K111" s="501"/>
      <c r="L111" s="501"/>
      <c r="M111" s="501"/>
      <c r="N111" s="501"/>
      <c r="O111" s="130">
        <f>C111</f>
        <v>60</v>
      </c>
      <c r="P111" s="130">
        <f>O111/12</f>
        <v>5</v>
      </c>
      <c r="Q111" s="116" t="s">
        <v>142</v>
      </c>
      <c r="R111" s="116"/>
      <c r="S111" s="117"/>
      <c r="T111" s="15"/>
      <c r="U111" s="15"/>
      <c r="V111" s="15"/>
      <c r="W111" s="15"/>
      <c r="X111" s="15"/>
      <c r="Y111" s="15"/>
      <c r="Z111" s="15"/>
      <c r="AA111" s="15"/>
    </row>
    <row r="112" spans="1:27" ht="13.5" customHeight="1" x14ac:dyDescent="0.2">
      <c r="A112" s="15"/>
      <c r="B112" s="131" t="s">
        <v>143</v>
      </c>
      <c r="C112" s="502">
        <v>25</v>
      </c>
      <c r="D112" s="502"/>
      <c r="E112" s="502"/>
      <c r="F112" s="502"/>
      <c r="G112" s="502"/>
      <c r="H112" s="502"/>
      <c r="I112" s="502"/>
      <c r="J112" s="502"/>
      <c r="K112" s="502"/>
      <c r="L112" s="502"/>
      <c r="M112" s="502"/>
      <c r="N112" s="502"/>
      <c r="O112" s="132">
        <f>C112</f>
        <v>25</v>
      </c>
      <c r="P112" s="132">
        <f>O112/12</f>
        <v>2.0833333333333335</v>
      </c>
      <c r="Q112" s="116" t="s">
        <v>142</v>
      </c>
      <c r="R112" s="116"/>
      <c r="S112" s="117"/>
      <c r="T112" s="15"/>
      <c r="U112" s="15"/>
      <c r="V112" s="15"/>
      <c r="W112" s="15"/>
      <c r="X112" s="15"/>
      <c r="Y112" s="15"/>
      <c r="Z112" s="15"/>
      <c r="AA112" s="15"/>
    </row>
    <row r="113" spans="1:27" ht="12.75" customHeight="1" x14ac:dyDescent="0.2">
      <c r="A113" s="15"/>
      <c r="B113" s="503" t="s">
        <v>144</v>
      </c>
      <c r="C113" s="503"/>
      <c r="D113" s="133"/>
      <c r="E113" s="133"/>
      <c r="F113" s="134"/>
      <c r="G113" s="134"/>
      <c r="H113" s="17"/>
      <c r="I113" s="17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</row>
    <row r="114" spans="1:27" ht="12.75" customHeight="1" x14ac:dyDescent="0.2">
      <c r="A114" s="15"/>
      <c r="B114" s="15"/>
      <c r="C114" s="133"/>
      <c r="D114" s="133"/>
      <c r="E114" s="133"/>
      <c r="F114" s="134"/>
      <c r="G114" s="134"/>
      <c r="H114" s="17"/>
      <c r="I114" s="17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</row>
    <row r="115" spans="1:27" ht="12.75" customHeight="1" x14ac:dyDescent="0.2">
      <c r="A115" s="15"/>
      <c r="B115" s="42" t="s">
        <v>145</v>
      </c>
      <c r="C115" s="133"/>
      <c r="D115" s="133"/>
      <c r="E115" s="133"/>
      <c r="F115" s="134"/>
      <c r="G115" s="134"/>
      <c r="H115" s="17"/>
      <c r="I115" s="17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</row>
    <row r="116" spans="1:27" ht="12.75" customHeight="1" x14ac:dyDescent="0.2">
      <c r="A116" s="15"/>
      <c r="B116" s="40"/>
      <c r="C116" s="135"/>
      <c r="D116" s="135"/>
      <c r="E116" s="135"/>
      <c r="F116" s="39"/>
      <c r="G116" s="39"/>
      <c r="H116" s="17"/>
      <c r="I116" s="17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</row>
    <row r="117" spans="1:27" ht="12.75" customHeight="1" x14ac:dyDescent="0.2">
      <c r="A117" s="15"/>
      <c r="B117" s="497" t="s">
        <v>116</v>
      </c>
      <c r="C117" s="498" t="s">
        <v>117</v>
      </c>
      <c r="D117" s="498"/>
      <c r="E117" s="115"/>
      <c r="F117" s="498" t="s">
        <v>118</v>
      </c>
      <c r="G117" s="498"/>
      <c r="H117" s="504" t="s">
        <v>120</v>
      </c>
      <c r="I117" s="504"/>
      <c r="J117" s="500" t="s">
        <v>122</v>
      </c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</row>
    <row r="118" spans="1:27" ht="12.75" customHeight="1" x14ac:dyDescent="0.2">
      <c r="A118" s="15"/>
      <c r="B118" s="497"/>
      <c r="C118" s="118" t="s">
        <v>124</v>
      </c>
      <c r="D118" s="119" t="s">
        <v>146</v>
      </c>
      <c r="E118" s="120"/>
      <c r="F118" s="118" t="s">
        <v>124</v>
      </c>
      <c r="G118" s="119" t="s">
        <v>147</v>
      </c>
      <c r="H118" s="118" t="s">
        <v>124</v>
      </c>
      <c r="I118" s="136" t="s">
        <v>148</v>
      </c>
      <c r="J118" s="500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</row>
    <row r="119" spans="1:27" ht="12.75" customHeight="1" x14ac:dyDescent="0.2">
      <c r="A119" s="15"/>
      <c r="B119" s="122" t="s">
        <v>128</v>
      </c>
      <c r="C119" s="123">
        <v>1</v>
      </c>
      <c r="D119" s="124">
        <f t="shared" ref="D119:D130" si="10">C119*$D$17</f>
        <v>60</v>
      </c>
      <c r="E119" s="125"/>
      <c r="F119" s="123">
        <v>1</v>
      </c>
      <c r="G119" s="124">
        <f t="shared" ref="G119:G130" si="11">F119*$D$19</f>
        <v>2</v>
      </c>
      <c r="H119" s="123">
        <v>1</v>
      </c>
      <c r="I119" s="137">
        <f t="shared" ref="I119:I130" si="12">H119*$D$18</f>
        <v>1</v>
      </c>
      <c r="J119" s="128">
        <f t="shared" ref="J119:J130" si="13">D119+G119+I119</f>
        <v>63</v>
      </c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</row>
    <row r="120" spans="1:27" ht="13.5" customHeight="1" x14ac:dyDescent="0.2">
      <c r="A120" s="15"/>
      <c r="B120" s="122" t="s">
        <v>129</v>
      </c>
      <c r="C120" s="123">
        <v>6</v>
      </c>
      <c r="D120" s="124">
        <f t="shared" si="10"/>
        <v>360</v>
      </c>
      <c r="E120" s="125"/>
      <c r="F120" s="123">
        <v>6</v>
      </c>
      <c r="G120" s="124">
        <f t="shared" si="11"/>
        <v>12</v>
      </c>
      <c r="H120" s="123">
        <v>6</v>
      </c>
      <c r="I120" s="137">
        <f t="shared" si="12"/>
        <v>6</v>
      </c>
      <c r="J120" s="128">
        <f t="shared" si="13"/>
        <v>378</v>
      </c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</row>
    <row r="121" spans="1:27" ht="12.75" customHeight="1" x14ac:dyDescent="0.2">
      <c r="A121" s="15"/>
      <c r="B121" s="122" t="s">
        <v>130</v>
      </c>
      <c r="C121" s="123">
        <v>6</v>
      </c>
      <c r="D121" s="124">
        <f t="shared" si="10"/>
        <v>360</v>
      </c>
      <c r="E121" s="125"/>
      <c r="F121" s="123">
        <v>6</v>
      </c>
      <c r="G121" s="124">
        <f t="shared" si="11"/>
        <v>12</v>
      </c>
      <c r="H121" s="123">
        <v>6</v>
      </c>
      <c r="I121" s="137">
        <f t="shared" si="12"/>
        <v>6</v>
      </c>
      <c r="J121" s="128">
        <f t="shared" si="13"/>
        <v>378</v>
      </c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</row>
    <row r="122" spans="1:27" ht="12.75" customHeight="1" x14ac:dyDescent="0.2">
      <c r="A122" s="15"/>
      <c r="B122" s="122" t="s">
        <v>131</v>
      </c>
      <c r="C122" s="123">
        <v>6</v>
      </c>
      <c r="D122" s="124">
        <f t="shared" si="10"/>
        <v>360</v>
      </c>
      <c r="E122" s="125"/>
      <c r="F122" s="123">
        <v>6</v>
      </c>
      <c r="G122" s="124">
        <f t="shared" si="11"/>
        <v>12</v>
      </c>
      <c r="H122" s="123">
        <v>6</v>
      </c>
      <c r="I122" s="137">
        <f t="shared" si="12"/>
        <v>6</v>
      </c>
      <c r="J122" s="128">
        <f t="shared" si="13"/>
        <v>378</v>
      </c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</row>
    <row r="123" spans="1:27" ht="11.25" customHeight="1" x14ac:dyDescent="0.2">
      <c r="A123" s="15"/>
      <c r="B123" s="122" t="s">
        <v>132</v>
      </c>
      <c r="C123" s="123">
        <v>3</v>
      </c>
      <c r="D123" s="124">
        <f t="shared" si="10"/>
        <v>180</v>
      </c>
      <c r="E123" s="125"/>
      <c r="F123" s="123">
        <v>0</v>
      </c>
      <c r="G123" s="124">
        <f t="shared" si="11"/>
        <v>0</v>
      </c>
      <c r="H123" s="123">
        <v>3</v>
      </c>
      <c r="I123" s="137">
        <f t="shared" si="12"/>
        <v>3</v>
      </c>
      <c r="J123" s="128">
        <f t="shared" si="13"/>
        <v>183</v>
      </c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1:27" ht="11.25" customHeight="1" x14ac:dyDescent="0.2">
      <c r="A124" s="15"/>
      <c r="B124" s="122" t="s">
        <v>133</v>
      </c>
      <c r="C124" s="123">
        <v>3</v>
      </c>
      <c r="D124" s="124">
        <f t="shared" si="10"/>
        <v>180</v>
      </c>
      <c r="E124" s="125"/>
      <c r="F124" s="123">
        <v>1</v>
      </c>
      <c r="G124" s="124">
        <f t="shared" si="11"/>
        <v>2</v>
      </c>
      <c r="H124" s="123">
        <v>3</v>
      </c>
      <c r="I124" s="137">
        <f t="shared" si="12"/>
        <v>3</v>
      </c>
      <c r="J124" s="128">
        <f t="shared" si="13"/>
        <v>185</v>
      </c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1:27" ht="11.25" customHeight="1" x14ac:dyDescent="0.2">
      <c r="A125" s="15"/>
      <c r="B125" s="122" t="s">
        <v>149</v>
      </c>
      <c r="C125" s="123">
        <v>1</v>
      </c>
      <c r="D125" s="124">
        <f t="shared" si="10"/>
        <v>60</v>
      </c>
      <c r="E125" s="125"/>
      <c r="F125" s="123">
        <v>0</v>
      </c>
      <c r="G125" s="124">
        <f t="shared" si="11"/>
        <v>0</v>
      </c>
      <c r="H125" s="123">
        <v>1</v>
      </c>
      <c r="I125" s="137">
        <f t="shared" si="12"/>
        <v>1</v>
      </c>
      <c r="J125" s="128">
        <f t="shared" si="13"/>
        <v>61</v>
      </c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</row>
    <row r="126" spans="1:27" ht="11.25" customHeight="1" x14ac:dyDescent="0.2">
      <c r="A126" s="15"/>
      <c r="B126" s="122" t="s">
        <v>135</v>
      </c>
      <c r="C126" s="123">
        <v>3</v>
      </c>
      <c r="D126" s="124">
        <f t="shared" si="10"/>
        <v>180</v>
      </c>
      <c r="E126" s="125"/>
      <c r="F126" s="123">
        <v>0</v>
      </c>
      <c r="G126" s="124">
        <f t="shared" si="11"/>
        <v>0</v>
      </c>
      <c r="H126" s="123">
        <v>3</v>
      </c>
      <c r="I126" s="137">
        <f t="shared" si="12"/>
        <v>3</v>
      </c>
      <c r="J126" s="128">
        <f t="shared" si="13"/>
        <v>183</v>
      </c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</row>
    <row r="127" spans="1:27" ht="11.25" customHeight="1" x14ac:dyDescent="0.2">
      <c r="A127" s="15"/>
      <c r="B127" s="122" t="s">
        <v>136</v>
      </c>
      <c r="C127" s="123">
        <v>3</v>
      </c>
      <c r="D127" s="124">
        <f t="shared" si="10"/>
        <v>180</v>
      </c>
      <c r="E127" s="125"/>
      <c r="F127" s="123">
        <v>0</v>
      </c>
      <c r="G127" s="124">
        <f t="shared" si="11"/>
        <v>0</v>
      </c>
      <c r="H127" s="123">
        <v>3</v>
      </c>
      <c r="I127" s="137">
        <f t="shared" si="12"/>
        <v>3</v>
      </c>
      <c r="J127" s="128">
        <f t="shared" si="13"/>
        <v>183</v>
      </c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</row>
    <row r="128" spans="1:27" ht="11.25" customHeight="1" x14ac:dyDescent="0.2">
      <c r="A128" s="15"/>
      <c r="B128" s="122" t="s">
        <v>137</v>
      </c>
      <c r="C128" s="123">
        <v>24</v>
      </c>
      <c r="D128" s="124">
        <f t="shared" si="10"/>
        <v>1440</v>
      </c>
      <c r="E128" s="125"/>
      <c r="F128" s="123">
        <v>0</v>
      </c>
      <c r="G128" s="124">
        <f t="shared" si="11"/>
        <v>0</v>
      </c>
      <c r="H128" s="123">
        <v>0</v>
      </c>
      <c r="I128" s="137">
        <f t="shared" si="12"/>
        <v>0</v>
      </c>
      <c r="J128" s="128">
        <f t="shared" si="13"/>
        <v>1440</v>
      </c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</row>
    <row r="129" spans="1:27" ht="11.25" customHeight="1" x14ac:dyDescent="0.2">
      <c r="A129" s="15"/>
      <c r="B129" s="122" t="s">
        <v>150</v>
      </c>
      <c r="C129" s="123">
        <v>12</v>
      </c>
      <c r="D129" s="124">
        <f t="shared" si="10"/>
        <v>720</v>
      </c>
      <c r="E129" s="125"/>
      <c r="F129" s="123">
        <v>0</v>
      </c>
      <c r="G129" s="124">
        <f t="shared" si="11"/>
        <v>0</v>
      </c>
      <c r="H129" s="123">
        <v>0</v>
      </c>
      <c r="I129" s="137">
        <f t="shared" si="12"/>
        <v>0</v>
      </c>
      <c r="J129" s="128">
        <f t="shared" si="13"/>
        <v>720</v>
      </c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</row>
    <row r="130" spans="1:27" ht="11.25" customHeight="1" x14ac:dyDescent="0.2">
      <c r="A130" s="15"/>
      <c r="B130" s="138" t="s">
        <v>139</v>
      </c>
      <c r="C130" s="139">
        <v>6</v>
      </c>
      <c r="D130" s="140">
        <f t="shared" si="10"/>
        <v>360</v>
      </c>
      <c r="E130" s="141"/>
      <c r="F130" s="139">
        <v>6</v>
      </c>
      <c r="G130" s="140">
        <f t="shared" si="11"/>
        <v>12</v>
      </c>
      <c r="H130" s="139">
        <v>6</v>
      </c>
      <c r="I130" s="142">
        <f t="shared" si="12"/>
        <v>6</v>
      </c>
      <c r="J130" s="143">
        <f t="shared" si="13"/>
        <v>378</v>
      </c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</row>
    <row r="131" spans="1:27" ht="11.25" customHeight="1" x14ac:dyDescent="0.2">
      <c r="A131" s="15"/>
      <c r="B131" s="503" t="s">
        <v>144</v>
      </c>
      <c r="C131" s="503"/>
      <c r="D131" s="15"/>
      <c r="E131" s="15"/>
      <c r="F131" s="17"/>
      <c r="G131" s="17"/>
      <c r="H131" s="17"/>
      <c r="I131" s="17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</row>
    <row r="132" spans="1:27" ht="12.75" customHeight="1" x14ac:dyDescent="0.2">
      <c r="A132" s="15"/>
      <c r="B132" s="42"/>
      <c r="C132" s="15"/>
      <c r="D132" s="15"/>
      <c r="E132" s="15"/>
      <c r="F132" s="17"/>
      <c r="G132" s="17"/>
      <c r="H132" s="17"/>
      <c r="I132" s="17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1:27" ht="11.25" customHeight="1" x14ac:dyDescent="0.2">
      <c r="A133" s="15"/>
      <c r="B133" s="15"/>
      <c r="C133" s="133"/>
      <c r="D133" s="133"/>
      <c r="E133" s="133"/>
      <c r="F133" s="134"/>
      <c r="G133" s="134"/>
      <c r="H133" s="17"/>
      <c r="I133" s="17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</row>
    <row r="134" spans="1:27" ht="11.25" customHeight="1" x14ac:dyDescent="0.2">
      <c r="A134" s="15"/>
      <c r="B134" s="144" t="s">
        <v>151</v>
      </c>
      <c r="C134" s="145"/>
      <c r="D134" s="145"/>
      <c r="E134" s="145"/>
      <c r="F134" s="146"/>
      <c r="G134" s="146"/>
      <c r="H134" s="146"/>
      <c r="I134" s="15"/>
      <c r="J134" s="15"/>
      <c r="K134" s="15"/>
      <c r="L134" s="15"/>
      <c r="M134" s="40"/>
      <c r="N134" s="40"/>
      <c r="O134" s="40"/>
      <c r="P134" s="40"/>
      <c r="Q134" s="40"/>
      <c r="R134" s="40"/>
      <c r="S134" s="15"/>
      <c r="T134" s="15"/>
      <c r="U134" s="15"/>
      <c r="V134" s="15"/>
      <c r="W134" s="15"/>
      <c r="X134" s="15"/>
      <c r="Y134" s="15"/>
      <c r="Z134" s="15"/>
      <c r="AA134" s="15"/>
    </row>
    <row r="135" spans="1:27" ht="11.25" customHeight="1" x14ac:dyDescent="0.2">
      <c r="A135" s="15"/>
      <c r="B135" s="15"/>
      <c r="C135" s="133"/>
      <c r="D135" s="147"/>
      <c r="E135" s="147"/>
      <c r="F135" s="17"/>
      <c r="G135" s="134"/>
      <c r="H135" s="17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</row>
    <row r="136" spans="1:27" ht="11.25" customHeight="1" x14ac:dyDescent="0.2">
      <c r="A136" s="15"/>
      <c r="B136" s="497" t="s">
        <v>116</v>
      </c>
      <c r="C136" s="498" t="s">
        <v>23</v>
      </c>
      <c r="D136" s="498"/>
      <c r="E136" s="115"/>
      <c r="F136" s="498" t="s">
        <v>24</v>
      </c>
      <c r="G136" s="498"/>
      <c r="H136" s="498" t="s">
        <v>152</v>
      </c>
      <c r="I136" s="498"/>
      <c r="J136" s="498" t="s">
        <v>153</v>
      </c>
      <c r="K136" s="498"/>
      <c r="L136" s="500" t="s">
        <v>122</v>
      </c>
      <c r="M136" s="40"/>
      <c r="N136" s="40"/>
      <c r="O136" s="40"/>
      <c r="P136" s="40"/>
      <c r="Q136" s="40"/>
      <c r="R136" s="40"/>
      <c r="S136" s="15"/>
      <c r="T136" s="15"/>
      <c r="U136" s="15"/>
      <c r="V136" s="15"/>
      <c r="W136" s="15"/>
      <c r="X136" s="15"/>
      <c r="Y136" s="15"/>
      <c r="Z136" s="15"/>
      <c r="AA136" s="15"/>
    </row>
    <row r="137" spans="1:27" ht="11.25" customHeight="1" x14ac:dyDescent="0.2">
      <c r="A137" s="15"/>
      <c r="B137" s="497"/>
      <c r="C137" s="118" t="s">
        <v>124</v>
      </c>
      <c r="D137" s="119" t="s">
        <v>148</v>
      </c>
      <c r="E137" s="120"/>
      <c r="F137" s="118" t="s">
        <v>124</v>
      </c>
      <c r="G137" s="119" t="s">
        <v>148</v>
      </c>
      <c r="H137" s="118" t="s">
        <v>124</v>
      </c>
      <c r="I137" s="119" t="s">
        <v>148</v>
      </c>
      <c r="J137" s="118" t="s">
        <v>124</v>
      </c>
      <c r="K137" s="119" t="s">
        <v>148</v>
      </c>
      <c r="L137" s="500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</row>
    <row r="138" spans="1:27" ht="11.25" customHeight="1" x14ac:dyDescent="0.2">
      <c r="A138" s="15"/>
      <c r="B138" s="122" t="s">
        <v>128</v>
      </c>
      <c r="C138" s="123">
        <v>1</v>
      </c>
      <c r="D138" s="124">
        <f t="shared" ref="D138:D146" si="14">C138</f>
        <v>1</v>
      </c>
      <c r="E138" s="125"/>
      <c r="F138" s="123">
        <v>1</v>
      </c>
      <c r="G138" s="124">
        <f t="shared" ref="G138:G146" si="15">F138</f>
        <v>1</v>
      </c>
      <c r="H138" s="123">
        <v>1</v>
      </c>
      <c r="I138" s="124">
        <f t="shared" ref="I138:I146" si="16">H138</f>
        <v>1</v>
      </c>
      <c r="J138" s="123">
        <v>0</v>
      </c>
      <c r="K138" s="124">
        <f t="shared" ref="K138:K146" si="17">J138</f>
        <v>0</v>
      </c>
      <c r="L138" s="128">
        <f t="shared" ref="L138:L146" si="18">D138+G138+I138+K138</f>
        <v>3</v>
      </c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</row>
    <row r="139" spans="1:27" ht="11.25" customHeight="1" x14ac:dyDescent="0.2">
      <c r="A139" s="15"/>
      <c r="B139" s="122" t="s">
        <v>129</v>
      </c>
      <c r="C139" s="123">
        <v>2</v>
      </c>
      <c r="D139" s="124">
        <f t="shared" si="14"/>
        <v>2</v>
      </c>
      <c r="E139" s="125"/>
      <c r="F139" s="123">
        <v>2</v>
      </c>
      <c r="G139" s="124">
        <f t="shared" si="15"/>
        <v>2</v>
      </c>
      <c r="H139" s="123">
        <v>2</v>
      </c>
      <c r="I139" s="124">
        <f t="shared" si="16"/>
        <v>2</v>
      </c>
      <c r="J139" s="123">
        <v>0</v>
      </c>
      <c r="K139" s="124">
        <f t="shared" si="17"/>
        <v>0</v>
      </c>
      <c r="L139" s="128">
        <f t="shared" si="18"/>
        <v>6</v>
      </c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</row>
    <row r="140" spans="1:27" ht="12.75" customHeight="1" x14ac:dyDescent="0.2">
      <c r="A140" s="15"/>
      <c r="B140" s="122" t="s">
        <v>130</v>
      </c>
      <c r="C140" s="123">
        <v>2</v>
      </c>
      <c r="D140" s="124">
        <f t="shared" si="14"/>
        <v>2</v>
      </c>
      <c r="E140" s="125"/>
      <c r="F140" s="123">
        <v>2</v>
      </c>
      <c r="G140" s="124">
        <f t="shared" si="15"/>
        <v>2</v>
      </c>
      <c r="H140" s="123">
        <v>2</v>
      </c>
      <c r="I140" s="124">
        <f t="shared" si="16"/>
        <v>2</v>
      </c>
      <c r="J140" s="123">
        <v>0</v>
      </c>
      <c r="K140" s="124">
        <f t="shared" si="17"/>
        <v>0</v>
      </c>
      <c r="L140" s="128">
        <f t="shared" si="18"/>
        <v>6</v>
      </c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</row>
    <row r="141" spans="1:27" ht="12.75" customHeight="1" x14ac:dyDescent="0.2">
      <c r="A141" s="15"/>
      <c r="B141" s="122" t="s">
        <v>131</v>
      </c>
      <c r="C141" s="123">
        <v>2</v>
      </c>
      <c r="D141" s="124">
        <f t="shared" si="14"/>
        <v>2</v>
      </c>
      <c r="E141" s="125"/>
      <c r="F141" s="123">
        <v>2</v>
      </c>
      <c r="G141" s="124">
        <f t="shared" si="15"/>
        <v>2</v>
      </c>
      <c r="H141" s="123">
        <v>2</v>
      </c>
      <c r="I141" s="124">
        <f t="shared" si="16"/>
        <v>2</v>
      </c>
      <c r="J141" s="123">
        <v>0</v>
      </c>
      <c r="K141" s="124">
        <f t="shared" si="17"/>
        <v>0</v>
      </c>
      <c r="L141" s="128">
        <f t="shared" si="18"/>
        <v>6</v>
      </c>
      <c r="M141" s="148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</row>
    <row r="142" spans="1:27" ht="11.25" customHeight="1" x14ac:dyDescent="0.2">
      <c r="A142" s="15"/>
      <c r="B142" s="122" t="s">
        <v>132</v>
      </c>
      <c r="C142" s="123">
        <v>1</v>
      </c>
      <c r="D142" s="124">
        <f t="shared" si="14"/>
        <v>1</v>
      </c>
      <c r="E142" s="125"/>
      <c r="F142" s="123">
        <v>1</v>
      </c>
      <c r="G142" s="124">
        <f t="shared" si="15"/>
        <v>1</v>
      </c>
      <c r="H142" s="123">
        <v>1</v>
      </c>
      <c r="I142" s="124">
        <f t="shared" si="16"/>
        <v>1</v>
      </c>
      <c r="J142" s="123">
        <v>1</v>
      </c>
      <c r="K142" s="124">
        <f t="shared" si="17"/>
        <v>1</v>
      </c>
      <c r="L142" s="128">
        <f t="shared" si="18"/>
        <v>4</v>
      </c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</row>
    <row r="143" spans="1:27" ht="11.25" customHeight="1" x14ac:dyDescent="0.2">
      <c r="A143" s="15"/>
      <c r="B143" s="122" t="s">
        <v>133</v>
      </c>
      <c r="C143" s="123">
        <v>1</v>
      </c>
      <c r="D143" s="124">
        <f t="shared" si="14"/>
        <v>1</v>
      </c>
      <c r="E143" s="125"/>
      <c r="F143" s="123">
        <v>1</v>
      </c>
      <c r="G143" s="124">
        <f t="shared" si="15"/>
        <v>1</v>
      </c>
      <c r="H143" s="123">
        <v>1</v>
      </c>
      <c r="I143" s="124">
        <f t="shared" si="16"/>
        <v>1</v>
      </c>
      <c r="J143" s="123">
        <v>1</v>
      </c>
      <c r="K143" s="124">
        <f t="shared" si="17"/>
        <v>1</v>
      </c>
      <c r="L143" s="128">
        <f t="shared" si="18"/>
        <v>4</v>
      </c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</row>
    <row r="144" spans="1:27" ht="11.25" customHeight="1" x14ac:dyDescent="0.2">
      <c r="A144" s="15"/>
      <c r="B144" s="122" t="s">
        <v>134</v>
      </c>
      <c r="C144" s="123">
        <v>1</v>
      </c>
      <c r="D144" s="124">
        <f t="shared" si="14"/>
        <v>1</v>
      </c>
      <c r="E144" s="125"/>
      <c r="F144" s="123">
        <v>1</v>
      </c>
      <c r="G144" s="124">
        <f t="shared" si="15"/>
        <v>1</v>
      </c>
      <c r="H144" s="123">
        <v>1</v>
      </c>
      <c r="I144" s="124">
        <f t="shared" si="16"/>
        <v>1</v>
      </c>
      <c r="J144" s="123">
        <v>1</v>
      </c>
      <c r="K144" s="124">
        <f t="shared" si="17"/>
        <v>1</v>
      </c>
      <c r="L144" s="128">
        <f t="shared" si="18"/>
        <v>4</v>
      </c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</row>
    <row r="145" spans="1:27" ht="11.25" customHeight="1" x14ac:dyDescent="0.2">
      <c r="A145" s="15"/>
      <c r="B145" s="122" t="s">
        <v>138</v>
      </c>
      <c r="C145" s="123">
        <v>3</v>
      </c>
      <c r="D145" s="124">
        <f t="shared" si="14"/>
        <v>3</v>
      </c>
      <c r="E145" s="125"/>
      <c r="F145" s="123">
        <v>1</v>
      </c>
      <c r="G145" s="124">
        <f t="shared" si="15"/>
        <v>1</v>
      </c>
      <c r="H145" s="123">
        <v>1</v>
      </c>
      <c r="I145" s="124">
        <f t="shared" si="16"/>
        <v>1</v>
      </c>
      <c r="J145" s="123">
        <v>1</v>
      </c>
      <c r="K145" s="124">
        <f t="shared" si="17"/>
        <v>1</v>
      </c>
      <c r="L145" s="128">
        <f t="shared" si="18"/>
        <v>6</v>
      </c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</row>
    <row r="146" spans="1:27" ht="11.25" customHeight="1" x14ac:dyDescent="0.2">
      <c r="A146" s="15"/>
      <c r="B146" s="122" t="s">
        <v>139</v>
      </c>
      <c r="C146" s="123">
        <v>1</v>
      </c>
      <c r="D146" s="124">
        <f t="shared" si="14"/>
        <v>1</v>
      </c>
      <c r="E146" s="125"/>
      <c r="F146" s="123">
        <v>1</v>
      </c>
      <c r="G146" s="124">
        <f t="shared" si="15"/>
        <v>1</v>
      </c>
      <c r="H146" s="123">
        <v>1</v>
      </c>
      <c r="I146" s="124">
        <f t="shared" si="16"/>
        <v>1</v>
      </c>
      <c r="J146" s="123">
        <v>1</v>
      </c>
      <c r="K146" s="124">
        <f t="shared" si="17"/>
        <v>1</v>
      </c>
      <c r="L146" s="128">
        <f t="shared" si="18"/>
        <v>4</v>
      </c>
      <c r="M146" s="40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</row>
    <row r="147" spans="1:27" ht="11.25" customHeight="1" x14ac:dyDescent="0.2">
      <c r="A147" s="15"/>
      <c r="B147" s="503" t="s">
        <v>154</v>
      </c>
      <c r="C147" s="503"/>
      <c r="D147" s="15"/>
      <c r="E147" s="15"/>
      <c r="F147" s="17"/>
      <c r="G147" s="17"/>
      <c r="H147" s="4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</row>
    <row r="148" spans="1:27" ht="11.25" customHeight="1" x14ac:dyDescent="0.2">
      <c r="A148" s="15"/>
      <c r="B148" s="94"/>
      <c r="C148" s="89"/>
      <c r="D148" s="116"/>
      <c r="E148" s="116"/>
      <c r="F148" s="89"/>
      <c r="G148" s="116"/>
      <c r="H148" s="149"/>
      <c r="I148" s="149"/>
      <c r="J148" s="149"/>
      <c r="K148" s="149"/>
      <c r="L148" s="40"/>
      <c r="M148" s="40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</row>
    <row r="149" spans="1:27" ht="11.25" customHeight="1" x14ac:dyDescent="0.2">
      <c r="A149" s="15"/>
      <c r="B149" s="94"/>
      <c r="C149" s="89"/>
      <c r="D149" s="116"/>
      <c r="E149" s="116"/>
      <c r="F149" s="89"/>
      <c r="G149" s="116"/>
      <c r="H149" s="149"/>
      <c r="I149" s="149"/>
      <c r="J149" s="149"/>
      <c r="K149" s="149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</row>
    <row r="150" spans="1:27" ht="12.75" customHeight="1" x14ac:dyDescent="0.2">
      <c r="A150" s="15"/>
      <c r="B150" s="15"/>
      <c r="C150" s="15"/>
      <c r="D150" s="15"/>
      <c r="E150" s="15"/>
      <c r="F150" s="17"/>
      <c r="G150" s="17"/>
      <c r="H150" s="4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</row>
    <row r="151" spans="1:27" ht="12.75" customHeight="1" x14ac:dyDescent="0.2">
      <c r="A151" s="15"/>
      <c r="B151" s="144" t="s">
        <v>155</v>
      </c>
      <c r="C151" s="15"/>
      <c r="D151" s="15"/>
      <c r="E151" s="15"/>
      <c r="F151" s="17"/>
      <c r="G151" s="17"/>
      <c r="H151" s="17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</row>
    <row r="152" spans="1:27" ht="12.75" customHeight="1" x14ac:dyDescent="0.2">
      <c r="A152" s="15"/>
      <c r="B152" s="15"/>
      <c r="C152" s="15"/>
      <c r="D152" s="15"/>
      <c r="E152" s="15"/>
      <c r="F152" s="17"/>
      <c r="G152" s="17"/>
      <c r="H152" s="17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</row>
    <row r="153" spans="1:27" ht="15.75" customHeight="1" x14ac:dyDescent="0.2">
      <c r="A153" s="15"/>
      <c r="B153" s="150" t="s">
        <v>1</v>
      </c>
      <c r="C153" s="151" t="s">
        <v>156</v>
      </c>
      <c r="D153" s="151" t="s">
        <v>100</v>
      </c>
      <c r="E153" s="151" t="s">
        <v>157</v>
      </c>
      <c r="F153" s="505" t="s">
        <v>48</v>
      </c>
      <c r="G153" s="505"/>
      <c r="H153" s="505"/>
      <c r="I153" s="17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</row>
    <row r="154" spans="1:27" ht="25.5" customHeight="1" x14ac:dyDescent="0.2">
      <c r="A154" s="15"/>
      <c r="B154" s="152" t="s">
        <v>128</v>
      </c>
      <c r="C154" s="153" t="s">
        <v>158</v>
      </c>
      <c r="D154" s="154" t="s">
        <v>100</v>
      </c>
      <c r="E154" s="155">
        <v>155.66</v>
      </c>
      <c r="F154" s="483" t="s">
        <v>101</v>
      </c>
      <c r="G154" s="483"/>
      <c r="H154" s="483"/>
      <c r="I154" s="116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</row>
    <row r="155" spans="1:27" ht="25.5" customHeight="1" x14ac:dyDescent="0.2">
      <c r="A155" s="15"/>
      <c r="B155" s="156" t="s">
        <v>129</v>
      </c>
      <c r="C155" s="157" t="s">
        <v>158</v>
      </c>
      <c r="D155" s="157" t="s">
        <v>100</v>
      </c>
      <c r="E155" s="158">
        <v>60.73</v>
      </c>
      <c r="F155" s="483" t="s">
        <v>101</v>
      </c>
      <c r="G155" s="483"/>
      <c r="H155" s="483"/>
      <c r="I155" s="116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</row>
    <row r="156" spans="1:27" ht="25.5" customHeight="1" x14ac:dyDescent="0.2">
      <c r="A156" s="15"/>
      <c r="B156" s="156" t="s">
        <v>130</v>
      </c>
      <c r="C156" s="157" t="s">
        <v>158</v>
      </c>
      <c r="D156" s="157" t="s">
        <v>100</v>
      </c>
      <c r="E156" s="159">
        <v>36.630000000000003</v>
      </c>
      <c r="F156" s="483" t="s">
        <v>101</v>
      </c>
      <c r="G156" s="483"/>
      <c r="H156" s="483"/>
      <c r="I156" s="116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</row>
    <row r="157" spans="1:27" ht="25.5" customHeight="1" x14ac:dyDescent="0.2">
      <c r="A157" s="15"/>
      <c r="B157" s="156" t="s">
        <v>131</v>
      </c>
      <c r="C157" s="157" t="s">
        <v>158</v>
      </c>
      <c r="D157" s="157" t="s">
        <v>100</v>
      </c>
      <c r="E157" s="159">
        <v>34.630000000000003</v>
      </c>
      <c r="F157" s="483" t="s">
        <v>101</v>
      </c>
      <c r="G157" s="483"/>
      <c r="H157" s="483"/>
      <c r="I157" s="116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</row>
    <row r="158" spans="1:27" ht="12.75" customHeight="1" x14ac:dyDescent="0.2">
      <c r="A158" s="15"/>
      <c r="B158" s="156" t="s">
        <v>132</v>
      </c>
      <c r="C158" s="157" t="s">
        <v>158</v>
      </c>
      <c r="D158" s="157" t="s">
        <v>100</v>
      </c>
      <c r="E158" s="159">
        <v>25.1</v>
      </c>
      <c r="F158" s="483" t="s">
        <v>101</v>
      </c>
      <c r="G158" s="483"/>
      <c r="H158" s="483"/>
      <c r="I158" s="116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</row>
    <row r="159" spans="1:27" ht="12.75" customHeight="1" x14ac:dyDescent="0.2">
      <c r="A159" s="15"/>
      <c r="B159" s="156" t="s">
        <v>133</v>
      </c>
      <c r="C159" s="157" t="s">
        <v>158</v>
      </c>
      <c r="D159" s="157" t="s">
        <v>100</v>
      </c>
      <c r="E159" s="159">
        <v>4.28</v>
      </c>
      <c r="F159" s="483" t="s">
        <v>101</v>
      </c>
      <c r="G159" s="483"/>
      <c r="H159" s="483"/>
      <c r="I159" s="116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</row>
    <row r="160" spans="1:27" ht="12.75" customHeight="1" x14ac:dyDescent="0.2">
      <c r="A160" s="15"/>
      <c r="B160" s="156" t="s">
        <v>134</v>
      </c>
      <c r="C160" s="157" t="s">
        <v>158</v>
      </c>
      <c r="D160" s="157" t="s">
        <v>100</v>
      </c>
      <c r="E160" s="159">
        <v>1.1499999999999999</v>
      </c>
      <c r="F160" s="483" t="s">
        <v>101</v>
      </c>
      <c r="G160" s="483"/>
      <c r="H160" s="483"/>
      <c r="I160" s="116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</row>
    <row r="161" spans="1:27" ht="12.75" customHeight="1" x14ac:dyDescent="0.2">
      <c r="A161" s="15"/>
      <c r="B161" s="156" t="s">
        <v>135</v>
      </c>
      <c r="C161" s="157" t="s">
        <v>158</v>
      </c>
      <c r="D161" s="157" t="s">
        <v>100</v>
      </c>
      <c r="E161" s="159">
        <v>18</v>
      </c>
      <c r="F161" s="483" t="s">
        <v>101</v>
      </c>
      <c r="G161" s="483"/>
      <c r="H161" s="483"/>
      <c r="I161" s="116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</row>
    <row r="162" spans="1:27" ht="12.75" customHeight="1" x14ac:dyDescent="0.2">
      <c r="A162" s="15"/>
      <c r="B162" s="156" t="s">
        <v>136</v>
      </c>
      <c r="C162" s="157" t="s">
        <v>158</v>
      </c>
      <c r="D162" s="157" t="s">
        <v>100</v>
      </c>
      <c r="E162" s="159">
        <v>13.18</v>
      </c>
      <c r="F162" s="483" t="s">
        <v>101</v>
      </c>
      <c r="G162" s="483"/>
      <c r="H162" s="483"/>
      <c r="I162" s="116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</row>
    <row r="163" spans="1:27" ht="12.75" customHeight="1" x14ac:dyDescent="0.2">
      <c r="A163" s="15"/>
      <c r="B163" s="156" t="s">
        <v>137</v>
      </c>
      <c r="C163" s="157" t="s">
        <v>158</v>
      </c>
      <c r="D163" s="157" t="s">
        <v>100</v>
      </c>
      <c r="E163" s="159">
        <v>2.58</v>
      </c>
      <c r="F163" s="483" t="s">
        <v>101</v>
      </c>
      <c r="G163" s="483"/>
      <c r="H163" s="483"/>
      <c r="I163" s="116"/>
      <c r="J163" s="17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</row>
    <row r="164" spans="1:27" ht="12.75" customHeight="1" x14ac:dyDescent="0.2">
      <c r="A164" s="15"/>
      <c r="B164" s="156" t="s">
        <v>138</v>
      </c>
      <c r="C164" s="157" t="s">
        <v>158</v>
      </c>
      <c r="D164" s="157" t="s">
        <v>100</v>
      </c>
      <c r="E164" s="159">
        <v>33.130000000000003</v>
      </c>
      <c r="F164" s="483" t="s">
        <v>101</v>
      </c>
      <c r="G164" s="483"/>
      <c r="H164" s="483"/>
      <c r="I164" s="116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</row>
    <row r="165" spans="1:27" ht="27.75" customHeight="1" x14ac:dyDescent="0.2">
      <c r="A165" s="15"/>
      <c r="B165" s="156" t="s">
        <v>139</v>
      </c>
      <c r="C165" s="157" t="s">
        <v>158</v>
      </c>
      <c r="D165" s="157" t="s">
        <v>159</v>
      </c>
      <c r="E165" s="159">
        <v>43.29</v>
      </c>
      <c r="F165" s="483" t="s">
        <v>101</v>
      </c>
      <c r="G165" s="483"/>
      <c r="H165" s="483"/>
      <c r="I165" s="116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</row>
    <row r="166" spans="1:27" ht="13.5" customHeight="1" x14ac:dyDescent="0.2">
      <c r="A166" s="15"/>
      <c r="B166" s="156" t="s">
        <v>140</v>
      </c>
      <c r="C166" s="157" t="s">
        <v>158</v>
      </c>
      <c r="D166" s="157" t="s">
        <v>159</v>
      </c>
      <c r="E166" s="159">
        <v>25.04</v>
      </c>
      <c r="F166" s="483" t="s">
        <v>101</v>
      </c>
      <c r="G166" s="483"/>
      <c r="H166" s="483"/>
      <c r="I166" s="116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</row>
    <row r="167" spans="1:27" ht="11.25" customHeight="1" x14ac:dyDescent="0.2">
      <c r="A167" s="15"/>
      <c r="B167" s="160" t="s">
        <v>141</v>
      </c>
      <c r="C167" s="161" t="s">
        <v>142</v>
      </c>
      <c r="D167" s="161" t="s">
        <v>100</v>
      </c>
      <c r="E167" s="162">
        <v>35.1</v>
      </c>
      <c r="F167" s="506" t="s">
        <v>101</v>
      </c>
      <c r="G167" s="506"/>
      <c r="H167" s="506"/>
      <c r="I167" s="116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</row>
    <row r="168" spans="1:27" ht="13.5" customHeight="1" x14ac:dyDescent="0.2">
      <c r="A168" s="15"/>
      <c r="B168" s="163" t="s">
        <v>143</v>
      </c>
      <c r="C168" s="164" t="s">
        <v>142</v>
      </c>
      <c r="D168" s="164" t="s">
        <v>100</v>
      </c>
      <c r="E168" s="165">
        <v>1640.84</v>
      </c>
      <c r="F168" s="507" t="s">
        <v>101</v>
      </c>
      <c r="G168" s="507"/>
      <c r="H168" s="507"/>
      <c r="I168" s="17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</row>
    <row r="169" spans="1:27" ht="12.75" customHeight="1" x14ac:dyDescent="0.2">
      <c r="A169" s="15"/>
      <c r="B169" s="15"/>
      <c r="C169" s="133"/>
      <c r="D169" s="166"/>
      <c r="E169" s="166"/>
      <c r="F169" s="134"/>
      <c r="G169" s="134"/>
      <c r="H169" s="17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</row>
    <row r="170" spans="1:27" ht="13.5" customHeight="1" x14ac:dyDescent="0.25">
      <c r="A170" s="15"/>
      <c r="B170" s="167" t="s">
        <v>160</v>
      </c>
      <c r="C170" s="168"/>
      <c r="D170" s="169"/>
      <c r="E170" s="169"/>
      <c r="F170" s="170"/>
      <c r="G170" s="134"/>
      <c r="H170" s="17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</row>
    <row r="171" spans="1:27" ht="12.75" customHeight="1" x14ac:dyDescent="0.2">
      <c r="A171" s="15"/>
      <c r="B171" s="171"/>
      <c r="C171" s="168"/>
      <c r="D171" s="169"/>
      <c r="E171" s="169"/>
      <c r="F171" s="170"/>
      <c r="G171" s="134"/>
      <c r="H171" s="17"/>
      <c r="I171" s="17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</row>
    <row r="172" spans="1:27" ht="12.75" customHeight="1" x14ac:dyDescent="0.25">
      <c r="A172" s="15"/>
      <c r="B172" s="172" t="s">
        <v>161</v>
      </c>
      <c r="C172" s="173" t="s">
        <v>100</v>
      </c>
      <c r="D172" s="174" t="s">
        <v>162</v>
      </c>
      <c r="E172" s="174" t="s">
        <v>48</v>
      </c>
      <c r="F172" s="175" t="s">
        <v>163</v>
      </c>
      <c r="G172" s="134"/>
      <c r="H172" s="17"/>
      <c r="I172" s="17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</row>
    <row r="173" spans="1:27" ht="12.75" customHeight="1" x14ac:dyDescent="0.2">
      <c r="A173" s="117"/>
      <c r="B173" s="176" t="s">
        <v>164</v>
      </c>
      <c r="C173" s="177" t="s">
        <v>100</v>
      </c>
      <c r="D173" s="178">
        <v>150</v>
      </c>
      <c r="E173" s="179" t="s">
        <v>165</v>
      </c>
      <c r="F173" s="180">
        <v>45833</v>
      </c>
      <c r="G173" s="134"/>
      <c r="H173" s="181"/>
      <c r="I173" s="181"/>
      <c r="J173" s="117"/>
      <c r="K173" s="117"/>
      <c r="L173" s="117"/>
      <c r="M173" s="117"/>
      <c r="N173" s="117"/>
      <c r="O173" s="117"/>
      <c r="P173" s="117"/>
      <c r="Q173" s="117"/>
      <c r="R173" s="117"/>
      <c r="S173" s="117"/>
      <c r="T173" s="117"/>
      <c r="U173" s="117"/>
      <c r="V173" s="117"/>
      <c r="W173" s="117"/>
      <c r="X173" s="117"/>
      <c r="Y173" s="117"/>
      <c r="Z173" s="117"/>
      <c r="AA173" s="117"/>
    </row>
    <row r="174" spans="1:27" ht="12.75" customHeight="1" x14ac:dyDescent="0.2">
      <c r="A174" s="17"/>
      <c r="B174" s="182" t="s">
        <v>166</v>
      </c>
      <c r="C174" s="183" t="s">
        <v>167</v>
      </c>
      <c r="D174" s="184">
        <v>56.99</v>
      </c>
      <c r="E174" s="185" t="s">
        <v>168</v>
      </c>
      <c r="F174" s="186">
        <v>45833</v>
      </c>
      <c r="G174" s="134"/>
      <c r="H174" s="17"/>
      <c r="I174" s="17"/>
      <c r="J174" s="15"/>
      <c r="K174" s="15"/>
      <c r="L174" s="15"/>
      <c r="M174" s="15"/>
      <c r="N174" s="15"/>
      <c r="O174" s="15"/>
      <c r="P174" s="15"/>
      <c r="Q174" s="15"/>
      <c r="R174" s="15"/>
      <c r="S174" s="17"/>
      <c r="T174" s="17"/>
      <c r="U174" s="17"/>
      <c r="V174" s="17"/>
      <c r="W174" s="17"/>
      <c r="X174" s="17"/>
      <c r="Y174" s="17"/>
      <c r="Z174" s="17"/>
      <c r="AA174" s="17"/>
    </row>
    <row r="175" spans="1:27" ht="12.75" customHeight="1" x14ac:dyDescent="0.2"/>
    <row r="176" spans="1:27" ht="12.75" customHeight="1" x14ac:dyDescent="0.2"/>
    <row r="177" ht="11.25" customHeight="1" x14ac:dyDescent="0.2"/>
    <row r="178" ht="11.25" customHeight="1" x14ac:dyDescent="0.2"/>
    <row r="179" ht="11.25" customHeight="1" x14ac:dyDescent="0.2"/>
    <row r="180" ht="11.25" customHeight="1" x14ac:dyDescent="0.2"/>
    <row r="181" ht="11.25" customHeight="1" x14ac:dyDescent="0.2"/>
    <row r="182" ht="11.25" customHeight="1" x14ac:dyDescent="0.2"/>
    <row r="183" ht="11.25" customHeight="1" x14ac:dyDescent="0.2"/>
    <row r="184" ht="11.25" customHeight="1" x14ac:dyDescent="0.2"/>
    <row r="185" ht="11.25" customHeight="1" x14ac:dyDescent="0.2"/>
    <row r="186" ht="11.25" customHeight="1" x14ac:dyDescent="0.2"/>
    <row r="187" ht="11.25" customHeight="1" x14ac:dyDescent="0.2"/>
    <row r="188" ht="11.25" customHeight="1" x14ac:dyDescent="0.2"/>
    <row r="189" ht="11.25" customHeight="1" x14ac:dyDescent="0.2"/>
    <row r="190" ht="11.25" customHeight="1" x14ac:dyDescent="0.2"/>
    <row r="191" ht="13.5" customHeight="1" x14ac:dyDescent="0.2"/>
    <row r="192" ht="11.2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1.25" customHeight="1" x14ac:dyDescent="0.2"/>
    <row r="204" ht="11.25" customHeight="1" x14ac:dyDescent="0.2"/>
    <row r="205" ht="11.25" customHeight="1" x14ac:dyDescent="0.2"/>
    <row r="206" ht="11.25" customHeight="1" x14ac:dyDescent="0.2"/>
    <row r="207" ht="11.25" customHeight="1" x14ac:dyDescent="0.2"/>
    <row r="208" ht="11.25" customHeight="1" x14ac:dyDescent="0.2"/>
    <row r="209" ht="11.25" customHeight="1" x14ac:dyDescent="0.2"/>
    <row r="210" ht="11.25" customHeight="1" x14ac:dyDescent="0.2"/>
    <row r="211" ht="11.25" customHeight="1" x14ac:dyDescent="0.2"/>
    <row r="212" ht="11.25" customHeight="1" x14ac:dyDescent="0.2"/>
    <row r="213" ht="11.25" customHeight="1" x14ac:dyDescent="0.2"/>
    <row r="214" ht="11.25" customHeight="1" x14ac:dyDescent="0.2"/>
    <row r="215" ht="11.25" customHeight="1" x14ac:dyDescent="0.2"/>
    <row r="216" ht="11.25" customHeight="1" x14ac:dyDescent="0.2"/>
    <row r="217" ht="11.25" customHeight="1" x14ac:dyDescent="0.2"/>
    <row r="218" ht="11.25" customHeight="1" x14ac:dyDescent="0.2"/>
    <row r="219" ht="11.25" customHeight="1" x14ac:dyDescent="0.2"/>
    <row r="220" ht="12.75" customHeight="1" x14ac:dyDescent="0.2"/>
    <row r="221" ht="11.25" customHeight="1" x14ac:dyDescent="0.2"/>
    <row r="222" ht="12.75" customHeight="1" x14ac:dyDescent="0.2"/>
    <row r="223" ht="11.25" customHeight="1" x14ac:dyDescent="0.2"/>
    <row r="224" ht="43.5" customHeight="1" x14ac:dyDescent="0.2"/>
    <row r="225" ht="11.2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1.2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1.2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1.2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1.2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1.2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1.25" customHeight="1" x14ac:dyDescent="0.2"/>
    <row r="298" ht="30.75" customHeight="1" x14ac:dyDescent="0.2"/>
    <row r="299" ht="11.25" customHeight="1" x14ac:dyDescent="0.2"/>
    <row r="300" ht="11.25" customHeight="1" x14ac:dyDescent="0.2"/>
    <row r="301" ht="11.25" customHeight="1" x14ac:dyDescent="0.2"/>
    <row r="302" ht="11.25" customHeight="1" x14ac:dyDescent="0.2"/>
    <row r="303" ht="11.25" customHeight="1" x14ac:dyDescent="0.2"/>
    <row r="304" ht="11.25" customHeight="1" x14ac:dyDescent="0.2"/>
    <row r="305" ht="11.25" customHeight="1" x14ac:dyDescent="0.2"/>
    <row r="306" ht="11.25" customHeight="1" x14ac:dyDescent="0.2"/>
    <row r="307" ht="11.25" customHeight="1" x14ac:dyDescent="0.2"/>
    <row r="308" ht="11.25" customHeight="1" x14ac:dyDescent="0.2"/>
    <row r="309" ht="11.25" customHeight="1" x14ac:dyDescent="0.2"/>
    <row r="310" ht="11.25" customHeight="1" x14ac:dyDescent="0.2"/>
    <row r="311" ht="11.25" customHeight="1" x14ac:dyDescent="0.2"/>
    <row r="312" ht="11.25" customHeight="1" x14ac:dyDescent="0.2"/>
    <row r="313" ht="11.25" customHeight="1" x14ac:dyDescent="0.2"/>
    <row r="314" ht="11.25" customHeight="1" x14ac:dyDescent="0.2"/>
    <row r="315" ht="11.25" customHeight="1" x14ac:dyDescent="0.2"/>
    <row r="316" ht="11.25" customHeight="1" x14ac:dyDescent="0.2"/>
    <row r="317" ht="11.25" customHeight="1" x14ac:dyDescent="0.2"/>
    <row r="318" ht="11.25" customHeight="1" x14ac:dyDescent="0.2"/>
    <row r="319" ht="11.25" customHeight="1" x14ac:dyDescent="0.2"/>
    <row r="320" ht="11.25" customHeight="1" x14ac:dyDescent="0.2"/>
    <row r="321" ht="11.25" customHeight="1" x14ac:dyDescent="0.2"/>
    <row r="322" ht="11.25" customHeight="1" x14ac:dyDescent="0.2"/>
    <row r="323" ht="11.25" customHeight="1" x14ac:dyDescent="0.2"/>
    <row r="324" ht="11.25" customHeight="1" x14ac:dyDescent="0.2"/>
    <row r="325" ht="11.25" customHeight="1" x14ac:dyDescent="0.2"/>
    <row r="326" ht="11.25" customHeight="1" x14ac:dyDescent="0.2"/>
    <row r="327" ht="11.25" customHeight="1" x14ac:dyDescent="0.2"/>
    <row r="328" ht="11.25" customHeight="1" x14ac:dyDescent="0.2"/>
    <row r="329" ht="11.25" customHeight="1" x14ac:dyDescent="0.2"/>
    <row r="330" ht="11.25" customHeight="1" x14ac:dyDescent="0.2"/>
    <row r="331" ht="11.25" customHeight="1" x14ac:dyDescent="0.2"/>
    <row r="332" ht="11.25" customHeight="1" x14ac:dyDescent="0.2"/>
    <row r="333" ht="11.25" customHeight="1" x14ac:dyDescent="0.2"/>
    <row r="334" ht="11.25" customHeight="1" x14ac:dyDescent="0.2"/>
    <row r="335" ht="11.25" customHeight="1" x14ac:dyDescent="0.2"/>
    <row r="336" ht="11.25" customHeight="1" x14ac:dyDescent="0.2"/>
    <row r="337" ht="11.25" customHeight="1" x14ac:dyDescent="0.2"/>
    <row r="338" ht="11.25" customHeight="1" x14ac:dyDescent="0.2"/>
    <row r="339" ht="11.25" customHeight="1" x14ac:dyDescent="0.2"/>
    <row r="340" ht="11.25" customHeight="1" x14ac:dyDescent="0.2"/>
    <row r="341" ht="11.25" customHeight="1" x14ac:dyDescent="0.2"/>
    <row r="342" ht="11.25" customHeight="1" x14ac:dyDescent="0.2"/>
    <row r="343" ht="11.25" customHeight="1" x14ac:dyDescent="0.2"/>
    <row r="344" ht="11.25" customHeight="1" x14ac:dyDescent="0.2"/>
    <row r="345" ht="11.25" customHeight="1" x14ac:dyDescent="0.2"/>
    <row r="346" ht="11.25" customHeight="1" x14ac:dyDescent="0.2"/>
    <row r="347" ht="11.25" customHeight="1" x14ac:dyDescent="0.2"/>
    <row r="348" ht="11.25" customHeight="1" x14ac:dyDescent="0.2"/>
    <row r="349" ht="11.25" customHeight="1" x14ac:dyDescent="0.2"/>
    <row r="350" ht="11.25" customHeight="1" x14ac:dyDescent="0.2"/>
    <row r="351" ht="11.25" customHeight="1" x14ac:dyDescent="0.2"/>
    <row r="352" ht="11.25" customHeight="1" x14ac:dyDescent="0.2"/>
    <row r="353" ht="11.25" customHeight="1" x14ac:dyDescent="0.2"/>
    <row r="354" ht="11.25" customHeight="1" x14ac:dyDescent="0.2"/>
    <row r="355" ht="11.25" customHeight="1" x14ac:dyDescent="0.2"/>
    <row r="356" ht="11.25" customHeight="1" x14ac:dyDescent="0.2"/>
    <row r="357" ht="11.25" customHeight="1" x14ac:dyDescent="0.2"/>
    <row r="358" ht="11.25" customHeight="1" x14ac:dyDescent="0.2"/>
    <row r="359" ht="11.25" customHeight="1" x14ac:dyDescent="0.2"/>
    <row r="360" ht="11.25" customHeight="1" x14ac:dyDescent="0.2"/>
    <row r="361" ht="11.25" customHeight="1" x14ac:dyDescent="0.2"/>
    <row r="362" ht="46.5" customHeight="1" x14ac:dyDescent="0.2"/>
    <row r="363" ht="11.25" customHeight="1" x14ac:dyDescent="0.2"/>
    <row r="364" ht="11.25" customHeight="1" x14ac:dyDescent="0.2"/>
    <row r="365" ht="11.25" customHeight="1" x14ac:dyDescent="0.2"/>
    <row r="366" ht="11.25" customHeight="1" x14ac:dyDescent="0.2"/>
    <row r="367" ht="11.25" customHeight="1" x14ac:dyDescent="0.2"/>
    <row r="368" ht="11.25" customHeight="1" x14ac:dyDescent="0.2"/>
    <row r="369" ht="11.25" customHeight="1" x14ac:dyDescent="0.2"/>
    <row r="370" ht="11.25" customHeight="1" x14ac:dyDescent="0.2"/>
    <row r="371" ht="11.25" customHeight="1" x14ac:dyDescent="0.2"/>
    <row r="372" ht="11.25" customHeight="1" x14ac:dyDescent="0.2"/>
    <row r="373" ht="11.25" customHeight="1" x14ac:dyDescent="0.2"/>
    <row r="374" ht="11.25" customHeight="1" x14ac:dyDescent="0.2"/>
    <row r="375" ht="11.25" customHeight="1" x14ac:dyDescent="0.2"/>
    <row r="376" ht="11.25" customHeight="1" x14ac:dyDescent="0.2"/>
    <row r="377" ht="11.25" customHeight="1" x14ac:dyDescent="0.2"/>
    <row r="378" ht="11.25" customHeight="1" x14ac:dyDescent="0.2"/>
    <row r="379" ht="11.25" customHeight="1" x14ac:dyDescent="0.2"/>
    <row r="380" ht="11.25" customHeight="1" x14ac:dyDescent="0.2"/>
    <row r="381" ht="11.25" customHeight="1" x14ac:dyDescent="0.2"/>
    <row r="382" ht="11.25" customHeight="1" x14ac:dyDescent="0.2"/>
    <row r="383" ht="11.25" customHeight="1" x14ac:dyDescent="0.2"/>
    <row r="384" ht="11.25" customHeight="1" x14ac:dyDescent="0.2"/>
    <row r="385" ht="11.25" customHeight="1" x14ac:dyDescent="0.2"/>
    <row r="386" ht="11.25" customHeight="1" x14ac:dyDescent="0.2"/>
    <row r="387" ht="11.25" customHeight="1" x14ac:dyDescent="0.2"/>
    <row r="388" ht="11.25" customHeight="1" x14ac:dyDescent="0.2"/>
    <row r="389" ht="11.25" customHeight="1" x14ac:dyDescent="0.2"/>
    <row r="390" ht="11.25" customHeight="1" x14ac:dyDescent="0.2"/>
    <row r="391" ht="11.25" customHeight="1" x14ac:dyDescent="0.2"/>
    <row r="392" ht="11.25" customHeight="1" x14ac:dyDescent="0.2"/>
    <row r="393" ht="11.25" customHeight="1" x14ac:dyDescent="0.2"/>
    <row r="394" ht="11.25" customHeight="1" x14ac:dyDescent="0.2"/>
    <row r="395" ht="11.25" customHeight="1" x14ac:dyDescent="0.2"/>
    <row r="396" ht="11.25" customHeight="1" x14ac:dyDescent="0.2"/>
    <row r="397" ht="11.25" customHeight="1" x14ac:dyDescent="0.2"/>
    <row r="398" ht="11.25" customHeight="1" x14ac:dyDescent="0.2"/>
    <row r="399" ht="11.25" customHeight="1" x14ac:dyDescent="0.2"/>
    <row r="400" ht="11.25" customHeight="1" x14ac:dyDescent="0.2"/>
    <row r="401" ht="11.25" customHeight="1" x14ac:dyDescent="0.2"/>
    <row r="402" ht="11.25" customHeight="1" x14ac:dyDescent="0.2"/>
    <row r="403" ht="11.25" customHeight="1" x14ac:dyDescent="0.2"/>
    <row r="404" ht="11.25" customHeight="1" x14ac:dyDescent="0.2"/>
    <row r="405" ht="11.25" customHeight="1" x14ac:dyDescent="0.2"/>
    <row r="406" ht="11.25" customHeight="1" x14ac:dyDescent="0.2"/>
    <row r="407" ht="11.25" customHeight="1" x14ac:dyDescent="0.2"/>
    <row r="408" ht="11.25" customHeight="1" x14ac:dyDescent="0.2"/>
    <row r="409" ht="11.25" customHeight="1" x14ac:dyDescent="0.2"/>
    <row r="410" ht="11.25" customHeight="1" x14ac:dyDescent="0.2"/>
    <row r="411" ht="11.25" customHeight="1" x14ac:dyDescent="0.2"/>
    <row r="412" ht="11.25" customHeight="1" x14ac:dyDescent="0.2"/>
    <row r="413" ht="11.25" customHeight="1" x14ac:dyDescent="0.2"/>
    <row r="414" ht="11.25" customHeight="1" x14ac:dyDescent="0.2"/>
    <row r="415" ht="11.25" customHeight="1" x14ac:dyDescent="0.2"/>
    <row r="416" ht="11.25" customHeight="1" x14ac:dyDescent="0.2"/>
    <row r="417" ht="11.25" customHeight="1" x14ac:dyDescent="0.2"/>
    <row r="418" ht="11.25" customHeight="1" x14ac:dyDescent="0.2"/>
    <row r="419" ht="11.25" customHeight="1" x14ac:dyDescent="0.2"/>
    <row r="420" ht="11.25" customHeight="1" x14ac:dyDescent="0.2"/>
    <row r="421" ht="11.25" customHeight="1" x14ac:dyDescent="0.2"/>
    <row r="422" ht="11.25" customHeight="1" x14ac:dyDescent="0.2"/>
    <row r="423" ht="11.25" customHeight="1" x14ac:dyDescent="0.2"/>
    <row r="424" ht="11.25" customHeight="1" x14ac:dyDescent="0.2"/>
    <row r="425" ht="11.25" customHeight="1" x14ac:dyDescent="0.2"/>
    <row r="426" ht="11.25" customHeight="1" x14ac:dyDescent="0.2"/>
    <row r="427" ht="11.25" customHeight="1" x14ac:dyDescent="0.2"/>
    <row r="428" ht="11.25" customHeight="1" x14ac:dyDescent="0.2"/>
    <row r="429" ht="11.25" customHeight="1" x14ac:dyDescent="0.2"/>
    <row r="430" ht="11.25" customHeight="1" x14ac:dyDescent="0.2"/>
    <row r="431" ht="11.25" customHeight="1" x14ac:dyDescent="0.2"/>
    <row r="432" ht="11.25" customHeight="1" x14ac:dyDescent="0.2"/>
    <row r="433" ht="11.25" customHeight="1" x14ac:dyDescent="0.2"/>
    <row r="434" ht="11.25" customHeight="1" x14ac:dyDescent="0.2"/>
    <row r="435" ht="11.25" customHeight="1" x14ac:dyDescent="0.2"/>
    <row r="436" ht="44.25" customHeight="1" x14ac:dyDescent="0.2"/>
    <row r="437" ht="11.25" customHeight="1" x14ac:dyDescent="0.2"/>
    <row r="438" ht="11.25" customHeight="1" x14ac:dyDescent="0.2"/>
    <row r="439" ht="11.25" customHeight="1" x14ac:dyDescent="0.2"/>
    <row r="440" ht="11.25" customHeight="1" x14ac:dyDescent="0.2"/>
    <row r="441" ht="11.25" customHeight="1" x14ac:dyDescent="0.2"/>
    <row r="442" ht="11.25" customHeight="1" x14ac:dyDescent="0.2"/>
    <row r="443" ht="11.25" customHeight="1" x14ac:dyDescent="0.2"/>
    <row r="444" ht="11.25" customHeight="1" x14ac:dyDescent="0.2"/>
    <row r="445" ht="11.25" customHeight="1" x14ac:dyDescent="0.2"/>
    <row r="446" ht="11.25" customHeight="1" x14ac:dyDescent="0.2"/>
    <row r="447" ht="11.25" customHeight="1" x14ac:dyDescent="0.2"/>
    <row r="448" ht="11.25" customHeight="1" x14ac:dyDescent="0.2"/>
    <row r="449" ht="11.25" customHeight="1" x14ac:dyDescent="0.2"/>
    <row r="450" ht="11.25" customHeight="1" x14ac:dyDescent="0.2"/>
    <row r="451" ht="11.25" customHeight="1" x14ac:dyDescent="0.2"/>
    <row r="452" ht="11.25" customHeight="1" x14ac:dyDescent="0.2"/>
    <row r="453" ht="11.25" customHeight="1" x14ac:dyDescent="0.2"/>
    <row r="454" ht="11.25" customHeight="1" x14ac:dyDescent="0.2"/>
    <row r="455" ht="11.25" customHeight="1" x14ac:dyDescent="0.2"/>
    <row r="456" ht="11.25" customHeight="1" x14ac:dyDescent="0.2"/>
    <row r="457" ht="11.25" customHeight="1" x14ac:dyDescent="0.2"/>
    <row r="458" ht="11.25" customHeight="1" x14ac:dyDescent="0.2"/>
    <row r="459" ht="11.25" customHeight="1" x14ac:dyDescent="0.2"/>
    <row r="460" ht="11.25" customHeight="1" x14ac:dyDescent="0.2"/>
    <row r="461" ht="11.25" customHeight="1" x14ac:dyDescent="0.2"/>
    <row r="462" ht="11.25" customHeight="1" x14ac:dyDescent="0.2"/>
    <row r="463" ht="11.25" customHeight="1" x14ac:dyDescent="0.2"/>
    <row r="464" ht="11.25" customHeight="1" x14ac:dyDescent="0.2"/>
    <row r="465" ht="11.25" customHeight="1" x14ac:dyDescent="0.2"/>
    <row r="466" ht="11.25" customHeight="1" x14ac:dyDescent="0.2"/>
    <row r="467" ht="11.25" customHeight="1" x14ac:dyDescent="0.2"/>
    <row r="468" ht="11.25" customHeight="1" x14ac:dyDescent="0.2"/>
    <row r="469" ht="11.25" customHeight="1" x14ac:dyDescent="0.2"/>
    <row r="470" ht="11.25" customHeight="1" x14ac:dyDescent="0.2"/>
    <row r="471" ht="11.25" customHeight="1" x14ac:dyDescent="0.2"/>
    <row r="472" ht="11.25" customHeight="1" x14ac:dyDescent="0.2"/>
    <row r="473" ht="11.25" customHeight="1" x14ac:dyDescent="0.2"/>
    <row r="474" ht="11.25" customHeight="1" x14ac:dyDescent="0.2"/>
    <row r="475" ht="11.25" customHeight="1" x14ac:dyDescent="0.2"/>
    <row r="476" ht="11.25" customHeight="1" x14ac:dyDescent="0.2"/>
    <row r="477" ht="11.25" customHeight="1" x14ac:dyDescent="0.2"/>
    <row r="478" ht="11.25" customHeight="1" x14ac:dyDescent="0.2"/>
    <row r="479" ht="11.25" customHeight="1" x14ac:dyDescent="0.2"/>
    <row r="480" ht="11.25" customHeight="1" x14ac:dyDescent="0.2"/>
    <row r="481" ht="11.25" customHeight="1" x14ac:dyDescent="0.2"/>
    <row r="482" ht="11.25" customHeight="1" x14ac:dyDescent="0.2"/>
    <row r="483" ht="11.25" customHeight="1" x14ac:dyDescent="0.2"/>
    <row r="484" ht="11.25" customHeight="1" x14ac:dyDescent="0.2"/>
    <row r="485" ht="11.25" customHeight="1" x14ac:dyDescent="0.2"/>
    <row r="486" ht="11.25" customHeight="1" x14ac:dyDescent="0.2"/>
    <row r="487" ht="11.25" customHeight="1" x14ac:dyDescent="0.2"/>
    <row r="488" ht="11.25" customHeight="1" x14ac:dyDescent="0.2"/>
    <row r="489" ht="11.25" customHeight="1" x14ac:dyDescent="0.2"/>
    <row r="490" ht="11.25" customHeight="1" x14ac:dyDescent="0.2"/>
    <row r="491" ht="11.25" customHeight="1" x14ac:dyDescent="0.2"/>
    <row r="492" ht="11.25" customHeight="1" x14ac:dyDescent="0.2"/>
    <row r="493" ht="11.25" customHeight="1" x14ac:dyDescent="0.2"/>
    <row r="494" ht="11.25" customHeight="1" x14ac:dyDescent="0.2"/>
    <row r="495" ht="11.25" customHeight="1" x14ac:dyDescent="0.2"/>
    <row r="496" ht="11.25" customHeight="1" x14ac:dyDescent="0.2"/>
    <row r="497" ht="11.25" customHeight="1" x14ac:dyDescent="0.2"/>
    <row r="498" ht="11.25" customHeight="1" x14ac:dyDescent="0.2"/>
    <row r="499" ht="11.25" customHeight="1" x14ac:dyDescent="0.2"/>
    <row r="500" ht="11.25" customHeight="1" x14ac:dyDescent="0.2"/>
    <row r="501" ht="11.25" customHeight="1" x14ac:dyDescent="0.2"/>
    <row r="502" ht="11.25" customHeight="1" x14ac:dyDescent="0.2"/>
    <row r="503" ht="11.25" customHeight="1" x14ac:dyDescent="0.2"/>
    <row r="504" ht="11.25" customHeight="1" x14ac:dyDescent="0.2"/>
    <row r="505" ht="11.25" customHeight="1" x14ac:dyDescent="0.2"/>
    <row r="506" ht="11.25" customHeight="1" x14ac:dyDescent="0.2"/>
    <row r="507" ht="11.25" customHeight="1" x14ac:dyDescent="0.2"/>
    <row r="508" ht="11.25" customHeight="1" x14ac:dyDescent="0.2"/>
    <row r="509" ht="11.25" customHeight="1" x14ac:dyDescent="0.2"/>
    <row r="510" ht="11.25" customHeight="1" x14ac:dyDescent="0.2"/>
    <row r="511" ht="11.25" customHeight="1" x14ac:dyDescent="0.2"/>
    <row r="512" ht="11.25" customHeight="1" x14ac:dyDescent="0.2"/>
    <row r="513" ht="32.25" customHeight="1" x14ac:dyDescent="0.2"/>
    <row r="514" ht="11.25" customHeight="1" x14ac:dyDescent="0.2"/>
    <row r="515" ht="11.25" customHeight="1" x14ac:dyDescent="0.2"/>
    <row r="516" ht="11.25" customHeight="1" x14ac:dyDescent="0.2"/>
    <row r="517" ht="11.25" customHeight="1" x14ac:dyDescent="0.2"/>
    <row r="518" ht="11.25" customHeight="1" x14ac:dyDescent="0.2"/>
    <row r="519" ht="11.25" customHeight="1" x14ac:dyDescent="0.2"/>
    <row r="520" ht="11.25" customHeight="1" x14ac:dyDescent="0.2"/>
    <row r="521" ht="11.25" customHeight="1" x14ac:dyDescent="0.2"/>
    <row r="522" ht="11.25" customHeight="1" x14ac:dyDescent="0.2"/>
    <row r="523" ht="11.25" customHeight="1" x14ac:dyDescent="0.2"/>
    <row r="524" ht="11.25" customHeight="1" x14ac:dyDescent="0.2"/>
    <row r="525" ht="11.25" customHeight="1" x14ac:dyDescent="0.2"/>
    <row r="526" ht="11.25" customHeight="1" x14ac:dyDescent="0.2"/>
    <row r="527" ht="11.25" customHeight="1" x14ac:dyDescent="0.2"/>
    <row r="528" ht="11.25" customHeight="1" x14ac:dyDescent="0.2"/>
    <row r="529" ht="11.25" customHeight="1" x14ac:dyDescent="0.2"/>
    <row r="530" ht="11.25" customHeight="1" x14ac:dyDescent="0.2"/>
    <row r="531" ht="11.25" customHeight="1" x14ac:dyDescent="0.2"/>
    <row r="532" ht="11.25" customHeight="1" x14ac:dyDescent="0.2"/>
    <row r="533" ht="11.25" customHeight="1" x14ac:dyDescent="0.2"/>
    <row r="534" ht="12.75" customHeight="1" x14ac:dyDescent="0.2"/>
    <row r="535" ht="11.25" customHeight="1" x14ac:dyDescent="0.2"/>
    <row r="536" ht="12.75" customHeight="1" x14ac:dyDescent="0.2"/>
    <row r="537" ht="11.2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1.25" customHeight="1" x14ac:dyDescent="0.2"/>
    <row r="549" ht="12.75" customHeight="1" x14ac:dyDescent="0.2"/>
    <row r="550" ht="11.25" customHeight="1" x14ac:dyDescent="0.2"/>
    <row r="551" ht="11.25" customHeight="1" x14ac:dyDescent="0.2"/>
    <row r="552" ht="11.25" customHeight="1" x14ac:dyDescent="0.2"/>
    <row r="553" ht="11.25" customHeight="1" x14ac:dyDescent="0.2"/>
    <row r="554" ht="11.25" customHeight="1" x14ac:dyDescent="0.2"/>
    <row r="555" ht="11.25" customHeight="1" x14ac:dyDescent="0.2"/>
    <row r="556" ht="11.25" customHeight="1" x14ac:dyDescent="0.2"/>
    <row r="557" ht="11.25" customHeight="1" x14ac:dyDescent="0.2"/>
    <row r="558" ht="11.25" customHeight="1" x14ac:dyDescent="0.2"/>
    <row r="559" ht="11.25" customHeight="1" x14ac:dyDescent="0.2"/>
    <row r="560" ht="17.25" customHeight="1" x14ac:dyDescent="0.2"/>
    <row r="561" ht="11.25" customHeight="1" x14ac:dyDescent="0.2"/>
    <row r="562" ht="12.75" customHeight="1" x14ac:dyDescent="0.2"/>
    <row r="563" ht="11.25" customHeight="1" x14ac:dyDescent="0.2"/>
    <row r="564" ht="12.75" customHeight="1" x14ac:dyDescent="0.2"/>
    <row r="565" ht="12.75" customHeight="1" x14ac:dyDescent="0.2"/>
    <row r="566" ht="12.75" customHeight="1" x14ac:dyDescent="0.2"/>
    <row r="567" ht="11.25" customHeight="1" x14ac:dyDescent="0.2"/>
    <row r="568" ht="12.75" customHeight="1" x14ac:dyDescent="0.2"/>
    <row r="569" ht="12.75" customHeight="1" x14ac:dyDescent="0.2"/>
    <row r="570" ht="11.25" customHeight="1" x14ac:dyDescent="0.2"/>
    <row r="571" ht="24.75" customHeight="1" x14ac:dyDescent="0.2"/>
    <row r="572" ht="12" customHeight="1" x14ac:dyDescent="0.2"/>
    <row r="573" ht="12.75" customHeight="1" x14ac:dyDescent="0.2"/>
    <row r="574" ht="15.75" customHeight="1" x14ac:dyDescent="0.2"/>
    <row r="575" ht="12.75" customHeight="1" x14ac:dyDescent="0.2"/>
    <row r="576" ht="25.5" customHeight="1" x14ac:dyDescent="0.2"/>
    <row r="577" ht="12" customHeight="1" x14ac:dyDescent="0.2"/>
    <row r="578" ht="9.75" customHeight="1" x14ac:dyDescent="0.2"/>
    <row r="579" ht="9.75" customHeight="1" x14ac:dyDescent="0.2"/>
    <row r="580" ht="9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9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</sheetData>
  <mergeCells count="143">
    <mergeCell ref="F161:H161"/>
    <mergeCell ref="F162:H162"/>
    <mergeCell ref="F163:H163"/>
    <mergeCell ref="F164:H164"/>
    <mergeCell ref="F165:H165"/>
    <mergeCell ref="F166:H166"/>
    <mergeCell ref="F167:H167"/>
    <mergeCell ref="F168:H168"/>
    <mergeCell ref="B147:C147"/>
    <mergeCell ref="F153:H153"/>
    <mergeCell ref="F154:H154"/>
    <mergeCell ref="F155:H155"/>
    <mergeCell ref="F156:H156"/>
    <mergeCell ref="F157:H157"/>
    <mergeCell ref="F158:H158"/>
    <mergeCell ref="F159:H159"/>
    <mergeCell ref="F160:H160"/>
    <mergeCell ref="C112:N112"/>
    <mergeCell ref="B113:C113"/>
    <mergeCell ref="B117:B118"/>
    <mergeCell ref="C117:D117"/>
    <mergeCell ref="F117:G117"/>
    <mergeCell ref="H117:I117"/>
    <mergeCell ref="J117:J118"/>
    <mergeCell ref="B131:C131"/>
    <mergeCell ref="B136:B137"/>
    <mergeCell ref="C136:D136"/>
    <mergeCell ref="F136:G136"/>
    <mergeCell ref="H136:I136"/>
    <mergeCell ref="J136:K136"/>
    <mergeCell ref="L136:L137"/>
    <mergeCell ref="B96:B97"/>
    <mergeCell ref="C96:D96"/>
    <mergeCell ref="F96:G96"/>
    <mergeCell ref="H96:I96"/>
    <mergeCell ref="J96:K96"/>
    <mergeCell ref="L96:N96"/>
    <mergeCell ref="O96:O97"/>
    <mergeCell ref="P96:P97"/>
    <mergeCell ref="C111:N111"/>
    <mergeCell ref="B87:B90"/>
    <mergeCell ref="C87:F87"/>
    <mergeCell ref="K87:M87"/>
    <mergeCell ref="N87:P87"/>
    <mergeCell ref="C88:F88"/>
    <mergeCell ref="K88:M88"/>
    <mergeCell ref="N88:P88"/>
    <mergeCell ref="C89:F89"/>
    <mergeCell ref="K89:M89"/>
    <mergeCell ref="N89:P89"/>
    <mergeCell ref="C90:F90"/>
    <mergeCell ref="K90:M90"/>
    <mergeCell ref="N90:P90"/>
    <mergeCell ref="B83:B86"/>
    <mergeCell ref="C83:F83"/>
    <mergeCell ref="K83:M83"/>
    <mergeCell ref="N83:P83"/>
    <mergeCell ref="C84:F84"/>
    <mergeCell ref="K84:M84"/>
    <mergeCell ref="N84:P84"/>
    <mergeCell ref="C85:F85"/>
    <mergeCell ref="K85:M85"/>
    <mergeCell ref="N85:P85"/>
    <mergeCell ref="C86:F86"/>
    <mergeCell ref="K86:M86"/>
    <mergeCell ref="N86:P86"/>
    <mergeCell ref="C76:G76"/>
    <mergeCell ref="C77:F77"/>
    <mergeCell ref="K77:M77"/>
    <mergeCell ref="N77:P77"/>
    <mergeCell ref="B78:B82"/>
    <mergeCell ref="C78:F78"/>
    <mergeCell ref="K78:M78"/>
    <mergeCell ref="N78:P78"/>
    <mergeCell ref="C79:F79"/>
    <mergeCell ref="K79:M79"/>
    <mergeCell ref="N79:P79"/>
    <mergeCell ref="C80:F80"/>
    <mergeCell ref="K80:M80"/>
    <mergeCell ref="N80:P80"/>
    <mergeCell ref="C81:F81"/>
    <mergeCell ref="K81:M81"/>
    <mergeCell ref="N81:P81"/>
    <mergeCell ref="C82:F82"/>
    <mergeCell ref="K82:M82"/>
    <mergeCell ref="N82:P82"/>
    <mergeCell ref="C67:H67"/>
    <mergeCell ref="I67:L67"/>
    <mergeCell ref="N67:O67"/>
    <mergeCell ref="C68:H68"/>
    <mergeCell ref="I68:L68"/>
    <mergeCell ref="N68:O68"/>
    <mergeCell ref="B71:B72"/>
    <mergeCell ref="C71:H71"/>
    <mergeCell ref="I71:L71"/>
    <mergeCell ref="N71:O71"/>
    <mergeCell ref="C72:H72"/>
    <mergeCell ref="I72:L72"/>
    <mergeCell ref="N72:O72"/>
    <mergeCell ref="I63:L63"/>
    <mergeCell ref="N63:O63"/>
    <mergeCell ref="B64:B65"/>
    <mergeCell ref="C64:H65"/>
    <mergeCell ref="I64:L64"/>
    <mergeCell ref="N64:O64"/>
    <mergeCell ref="I65:L65"/>
    <mergeCell ref="N65:O65"/>
    <mergeCell ref="C66:H66"/>
    <mergeCell ref="I66:L66"/>
    <mergeCell ref="N66:O66"/>
    <mergeCell ref="B55:B63"/>
    <mergeCell ref="C55:H55"/>
    <mergeCell ref="I55:L55"/>
    <mergeCell ref="N55:O55"/>
    <mergeCell ref="C56:H56"/>
    <mergeCell ref="I56:L56"/>
    <mergeCell ref="N56:O56"/>
    <mergeCell ref="C57:H57"/>
    <mergeCell ref="I57:L57"/>
    <mergeCell ref="N57:O57"/>
    <mergeCell ref="C58:H58"/>
    <mergeCell ref="I58:L58"/>
    <mergeCell ref="N58:O58"/>
    <mergeCell ref="C59:H59"/>
    <mergeCell ref="I59:L59"/>
    <mergeCell ref="N59:O59"/>
    <mergeCell ref="C60:H61"/>
    <mergeCell ref="I60:L60"/>
    <mergeCell ref="N60:O60"/>
    <mergeCell ref="I61:L61"/>
    <mergeCell ref="N61:O61"/>
    <mergeCell ref="C62:H63"/>
    <mergeCell ref="I62:L62"/>
    <mergeCell ref="N62:O62"/>
    <mergeCell ref="B28:J28"/>
    <mergeCell ref="B29:I30"/>
    <mergeCell ref="B42:M43"/>
    <mergeCell ref="B46:M47"/>
    <mergeCell ref="B51:F51"/>
    <mergeCell ref="B52:M52"/>
    <mergeCell ref="C54:H54"/>
    <mergeCell ref="I54:L54"/>
    <mergeCell ref="N54:O54"/>
  </mergeCells>
  <hyperlinks>
    <hyperlink ref="B41" r:id="rId1"/>
  </hyperlinks>
  <pageMargins left="0.74791666666666701" right="0.74791666666666701" top="0.51180555555555496" bottom="0.905555555555556" header="0.51180555555555496" footer="0"/>
  <pageSetup paperSize="9" firstPageNumber="0" fitToHeight="0" orientation="landscape" horizontalDpi="300" verticalDpi="300"/>
  <headerFooter>
    <oddFooter>&amp;R&amp;P de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79"/>
  <sheetViews>
    <sheetView zoomScaleNormal="100" workbookViewId="0"/>
  </sheetViews>
  <sheetFormatPr defaultRowHeight="12.75" x14ac:dyDescent="0.2"/>
  <cols>
    <col min="1" max="1" width="45.7109375" customWidth="1"/>
    <col min="2" max="2" width="16" customWidth="1"/>
    <col min="3" max="3" width="11.85546875" customWidth="1"/>
    <col min="4" max="4" width="14.7109375" customWidth="1"/>
    <col min="5" max="5" width="15.42578125" customWidth="1"/>
    <col min="6" max="6" width="13.28515625" customWidth="1"/>
    <col min="7" max="7" width="37.7109375" customWidth="1"/>
    <col min="8" max="8" width="9.140625" customWidth="1"/>
    <col min="9" max="9" width="14.5703125" customWidth="1"/>
    <col min="10" max="10" width="13.42578125" customWidth="1"/>
    <col min="11" max="12" width="9.140625" customWidth="1"/>
    <col min="13" max="26" width="8.5703125" customWidth="1"/>
    <col min="27" max="1025" width="12.5703125" customWidth="1"/>
  </cols>
  <sheetData>
    <row r="1" spans="1:26" ht="12.75" customHeight="1" x14ac:dyDescent="0.2">
      <c r="A1" s="16" t="s">
        <v>169</v>
      </c>
      <c r="B1" s="15"/>
      <c r="C1" s="15"/>
      <c r="D1" s="17"/>
      <c r="E1" s="17"/>
      <c r="F1" s="17"/>
      <c r="G1" s="17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customHeight="1" x14ac:dyDescent="0.2">
      <c r="A2" s="18" t="s">
        <v>170</v>
      </c>
      <c r="B2" s="15"/>
      <c r="C2" s="15"/>
      <c r="D2" s="17"/>
      <c r="E2" s="17"/>
      <c r="F2" s="17"/>
      <c r="G2" s="17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customHeight="1" x14ac:dyDescent="0.2">
      <c r="A3" s="18" t="s">
        <v>171</v>
      </c>
      <c r="B3" s="15"/>
      <c r="C3" s="15"/>
      <c r="D3" s="17"/>
      <c r="E3" s="17"/>
      <c r="F3" s="17"/>
      <c r="G3" s="17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customHeight="1" x14ac:dyDescent="0.2">
      <c r="A4" s="18" t="s">
        <v>172</v>
      </c>
      <c r="B4" s="15"/>
      <c r="C4" s="15"/>
      <c r="D4" s="17"/>
      <c r="E4" s="17"/>
      <c r="F4" s="17"/>
      <c r="G4" s="17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customHeight="1" x14ac:dyDescent="0.2">
      <c r="A5" s="33" t="s">
        <v>173</v>
      </c>
      <c r="B5" s="15"/>
      <c r="C5" s="187"/>
      <c r="D5" s="187"/>
      <c r="E5" s="187"/>
      <c r="F5" s="187"/>
      <c r="G5" s="17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customHeight="1" x14ac:dyDescent="0.2">
      <c r="A6" s="188" t="s">
        <v>174</v>
      </c>
      <c r="B6" s="187"/>
      <c r="C6" s="187"/>
      <c r="D6" s="187"/>
      <c r="E6" s="187"/>
      <c r="F6" s="187"/>
      <c r="G6" s="17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customHeight="1" x14ac:dyDescent="0.2">
      <c r="A7" s="15"/>
      <c r="B7" s="187"/>
      <c r="C7" s="187"/>
      <c r="D7" s="187"/>
      <c r="E7" s="187"/>
      <c r="F7" s="187"/>
      <c r="G7" s="17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customHeight="1" x14ac:dyDescent="0.2">
      <c r="A8" s="18" t="s">
        <v>175</v>
      </c>
      <c r="B8" s="187"/>
      <c r="C8" s="187"/>
      <c r="D8" s="187"/>
      <c r="E8" s="187"/>
      <c r="F8" s="187"/>
      <c r="G8" s="17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customHeight="1" x14ac:dyDescent="0.2">
      <c r="A9" s="18" t="s">
        <v>176</v>
      </c>
      <c r="B9" s="187"/>
      <c r="C9" s="187"/>
      <c r="D9" s="187"/>
      <c r="E9" s="187"/>
      <c r="F9" s="187"/>
      <c r="G9" s="17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customHeight="1" x14ac:dyDescent="0.2">
      <c r="A10" s="15"/>
      <c r="B10" s="187"/>
      <c r="C10" s="187"/>
      <c r="D10" s="17"/>
      <c r="E10" s="17"/>
      <c r="F10" s="17"/>
      <c r="G10" s="17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7.25" customHeight="1" x14ac:dyDescent="0.2">
      <c r="A11" s="508" t="s">
        <v>177</v>
      </c>
      <c r="B11" s="508"/>
      <c r="C11" s="508"/>
      <c r="D11" s="508"/>
      <c r="E11" s="508"/>
      <c r="F11" s="508"/>
      <c r="G11" s="189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21.75" customHeight="1" x14ac:dyDescent="0.2">
      <c r="A12" s="509" t="s">
        <v>178</v>
      </c>
      <c r="B12" s="509"/>
      <c r="C12" s="509"/>
      <c r="D12" s="509"/>
      <c r="E12" s="509"/>
      <c r="F12" s="509"/>
      <c r="G12" s="189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10.5" customHeight="1" x14ac:dyDescent="0.2">
      <c r="A13" s="190"/>
      <c r="B13" s="187"/>
      <c r="C13" s="187"/>
      <c r="D13" s="17"/>
      <c r="E13" s="17"/>
      <c r="F13" s="191"/>
      <c r="G13" s="17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 x14ac:dyDescent="0.2">
      <c r="A14" s="510" t="s">
        <v>179</v>
      </c>
      <c r="B14" s="510"/>
      <c r="C14" s="510"/>
      <c r="D14" s="510"/>
      <c r="E14" s="510"/>
      <c r="F14" s="510"/>
      <c r="G14" s="17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 x14ac:dyDescent="0.2">
      <c r="A15" s="192" t="s">
        <v>180</v>
      </c>
      <c r="B15" s="193"/>
      <c r="C15" s="193"/>
      <c r="D15" s="194"/>
      <c r="E15" s="195" t="s">
        <v>181</v>
      </c>
      <c r="F15" s="196" t="s">
        <v>182</v>
      </c>
      <c r="G15" s="17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 x14ac:dyDescent="0.2">
      <c r="A16" s="197" t="str">
        <f>A101</f>
        <v>1. Mão-de-obra</v>
      </c>
      <c r="B16" s="198"/>
      <c r="C16" s="198"/>
      <c r="D16" s="198"/>
      <c r="E16" s="199">
        <f>+F198</f>
        <v>508570.08720898611</v>
      </c>
      <c r="F16" s="200">
        <f t="shared" ref="F16:F47" si="0">IFERROR(E16/$E$77,0)</f>
        <v>0.43331871586188936</v>
      </c>
      <c r="G16" s="45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26" ht="15.75" customHeight="1" x14ac:dyDescent="0.2">
      <c r="A17" s="201" t="str">
        <f>A103</f>
        <v>1.1. Operários/Agentes de Limpeza</v>
      </c>
      <c r="B17" s="202"/>
      <c r="C17" s="202"/>
      <c r="D17" s="202"/>
      <c r="E17" s="203">
        <f>F111</f>
        <v>345129.21860874246</v>
      </c>
      <c r="F17" s="204">
        <f t="shared" si="0"/>
        <v>0.29406163196637786</v>
      </c>
      <c r="G17" s="17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 x14ac:dyDescent="0.2">
      <c r="A18" s="201" t="str">
        <f>A113</f>
        <v>1.2. Encarregado de Equipe</v>
      </c>
      <c r="B18" s="202"/>
      <c r="C18" s="202"/>
      <c r="D18" s="202"/>
      <c r="E18" s="203">
        <f>F121</f>
        <v>21996.311218896</v>
      </c>
      <c r="F18" s="204">
        <f t="shared" si="0"/>
        <v>1.8741592497857139E-2</v>
      </c>
      <c r="G18" s="17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 x14ac:dyDescent="0.2">
      <c r="A19" s="201" t="str">
        <f>A123</f>
        <v>1.3. Motorista Caminhão</v>
      </c>
      <c r="B19" s="202"/>
      <c r="C19" s="202"/>
      <c r="D19" s="202"/>
      <c r="E19" s="203">
        <f>F133</f>
        <v>16955.432822736002</v>
      </c>
      <c r="F19" s="204">
        <f t="shared" si="0"/>
        <v>1.4446595587151306E-2</v>
      </c>
      <c r="G19" s="17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 x14ac:dyDescent="0.2">
      <c r="A20" s="201" t="str">
        <f>A135</f>
        <v>1.4. Motorista Micro Ônibus Urbano</v>
      </c>
      <c r="B20" s="202"/>
      <c r="C20" s="202"/>
      <c r="D20" s="202"/>
      <c r="E20" s="203">
        <f>F145</f>
        <v>22085.622433958401</v>
      </c>
      <c r="F20" s="204">
        <f t="shared" si="0"/>
        <v>1.8817688638775081E-2</v>
      </c>
      <c r="G20" s="17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 x14ac:dyDescent="0.2">
      <c r="A21" s="201" t="str">
        <f>A147</f>
        <v>1.5. Operador de Máquina Rodoviária (Minicarregadeira e Trator Capinadeira)</v>
      </c>
      <c r="B21" s="202"/>
      <c r="C21" s="202"/>
      <c r="D21" s="202"/>
      <c r="E21" s="203">
        <f>F157</f>
        <v>26197.6881650379</v>
      </c>
      <c r="F21" s="204">
        <f t="shared" si="0"/>
        <v>2.2321306108512032E-2</v>
      </c>
      <c r="G21" s="17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5.75" customHeight="1" x14ac:dyDescent="0.2">
      <c r="A22" s="201" t="str">
        <f>A160</f>
        <v>1.6. Vale Transporte</v>
      </c>
      <c r="B22" s="202"/>
      <c r="C22" s="202"/>
      <c r="D22" s="202"/>
      <c r="E22" s="203">
        <f>F169</f>
        <v>16353.173959615386</v>
      </c>
      <c r="F22" s="204">
        <f t="shared" si="0"/>
        <v>1.3933450902185542E-2</v>
      </c>
      <c r="G22" s="17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5.75" customHeight="1" x14ac:dyDescent="0.2">
      <c r="A23" s="201" t="str">
        <f>A171</f>
        <v>1.7. Vale-refeição (diário)</v>
      </c>
      <c r="B23" s="202"/>
      <c r="C23" s="202"/>
      <c r="D23" s="202"/>
      <c r="E23" s="203">
        <f>F178</f>
        <v>55453.039999999994</v>
      </c>
      <c r="F23" s="204">
        <f t="shared" si="0"/>
        <v>4.7247843881867632E-2</v>
      </c>
      <c r="G23" s="17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 x14ac:dyDescent="0.2">
      <c r="A24" s="201" t="str">
        <f>A180</f>
        <v>1.8. Auxílio Alimentação (mensal)</v>
      </c>
      <c r="B24" s="202"/>
      <c r="C24" s="202"/>
      <c r="D24" s="202"/>
      <c r="E24" s="203">
        <f>F187</f>
        <v>2358</v>
      </c>
      <c r="F24" s="204">
        <f t="shared" si="0"/>
        <v>2.00909482822662E-3</v>
      </c>
      <c r="G24" s="17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 x14ac:dyDescent="0.2">
      <c r="A25" s="511" t="str">
        <f>A200</f>
        <v>2. Uniformes e Equipamentos de Proteção Individual</v>
      </c>
      <c r="B25" s="511"/>
      <c r="C25" s="511"/>
      <c r="D25" s="198"/>
      <c r="E25" s="199">
        <f>+F276</f>
        <v>14394.422500000002</v>
      </c>
      <c r="F25" s="200">
        <f t="shared" si="0"/>
        <v>1.2264529177293849E-2</v>
      </c>
      <c r="G25" s="45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spans="1:26" ht="15.75" customHeight="1" x14ac:dyDescent="0.2">
      <c r="A26" s="205" t="str">
        <f>A278</f>
        <v>3. Veículos e Equipamentos</v>
      </c>
      <c r="B26" s="206"/>
      <c r="C26" s="198"/>
      <c r="D26" s="198"/>
      <c r="E26" s="199">
        <f>+F724</f>
        <v>371249.50216332602</v>
      </c>
      <c r="F26" s="200">
        <f t="shared" si="0"/>
        <v>0.31631698675913728</v>
      </c>
      <c r="G26" s="45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spans="1:26" ht="15.75" customHeight="1" x14ac:dyDescent="0.2">
      <c r="A27" s="512" t="str">
        <f>A280</f>
        <v>3.1 Caminhão Basculante com capacidade de 6m³ – Pot. Min. 136 Kw (185CV)</v>
      </c>
      <c r="B27" s="512"/>
      <c r="C27" s="512"/>
      <c r="D27" s="512"/>
      <c r="E27" s="203">
        <f>SUM(E28:E33)</f>
        <v>90688.922381659286</v>
      </c>
      <c r="F27" s="204">
        <f t="shared" si="0"/>
        <v>7.7269993610872362E-2</v>
      </c>
      <c r="G27" s="17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 x14ac:dyDescent="0.2">
      <c r="A28" s="207" t="s">
        <v>183</v>
      </c>
      <c r="B28" s="208"/>
      <c r="C28" s="202"/>
      <c r="D28" s="202"/>
      <c r="E28" s="203">
        <f>F291</f>
        <v>17103.186057428571</v>
      </c>
      <c r="F28" s="204">
        <f t="shared" si="0"/>
        <v>1.4572486282517972E-2</v>
      </c>
      <c r="G28" s="17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customHeight="1" x14ac:dyDescent="0.2">
      <c r="A29" s="207" t="s">
        <v>184</v>
      </c>
      <c r="B29" s="208"/>
      <c r="C29" s="202"/>
      <c r="D29" s="202"/>
      <c r="E29" s="203">
        <f>F302</f>
        <v>21722.003719587858</v>
      </c>
      <c r="F29" s="204">
        <f t="shared" si="0"/>
        <v>1.8507873338313555E-2</v>
      </c>
      <c r="G29" s="17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customHeight="1" x14ac:dyDescent="0.2">
      <c r="A30" s="209" t="str">
        <f>A304</f>
        <v>3.1.3. Impostos e Seguros - Caminhão</v>
      </c>
      <c r="B30" s="208"/>
      <c r="C30" s="202"/>
      <c r="D30" s="202"/>
      <c r="E30" s="203">
        <f>F310</f>
        <v>2376.8438000000001</v>
      </c>
      <c r="F30" s="204">
        <f t="shared" si="0"/>
        <v>2.0251503757771445E-3</v>
      </c>
      <c r="G30" s="17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.75" customHeight="1" x14ac:dyDescent="0.2">
      <c r="A31" s="209" t="str">
        <f>A312</f>
        <v>3.1.4. Consumos</v>
      </c>
      <c r="B31" s="208"/>
      <c r="C31" s="202"/>
      <c r="D31" s="202"/>
      <c r="E31" s="203">
        <f>F320</f>
        <v>42946.3046875</v>
      </c>
      <c r="F31" s="204">
        <f t="shared" si="0"/>
        <v>3.6591687293935922E-2</v>
      </c>
      <c r="G31" s="17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.75" customHeight="1" x14ac:dyDescent="0.2">
      <c r="A32" s="209" t="str">
        <f>A322</f>
        <v>3.1.5. Manutenção</v>
      </c>
      <c r="B32" s="208"/>
      <c r="C32" s="202"/>
      <c r="D32" s="202"/>
      <c r="E32" s="203">
        <f>F325</f>
        <v>6382.844357142857</v>
      </c>
      <c r="F32" s="204">
        <f t="shared" si="0"/>
        <v>5.4383967715484222E-3</v>
      </c>
      <c r="G32" s="17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.75" customHeight="1" x14ac:dyDescent="0.2">
      <c r="A33" s="209" t="str">
        <f>A327</f>
        <v>3.1.6. Pneus</v>
      </c>
      <c r="B33" s="208"/>
      <c r="C33" s="202"/>
      <c r="D33" s="202"/>
      <c r="E33" s="203">
        <f>F334</f>
        <v>157.73975999999999</v>
      </c>
      <c r="F33" s="204">
        <f t="shared" si="0"/>
        <v>1.3439954877935038E-4</v>
      </c>
      <c r="G33" s="17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.75" customHeight="1" x14ac:dyDescent="0.2">
      <c r="A34" s="209" t="str">
        <f>A338</f>
        <v>3.1.7. Monitoramento da Frota</v>
      </c>
      <c r="B34" s="208"/>
      <c r="C34" s="202"/>
      <c r="D34" s="202"/>
      <c r="E34" s="203">
        <f>F346</f>
        <v>240.46</v>
      </c>
      <c r="F34" s="204">
        <f t="shared" si="0"/>
        <v>2.0487995860702843E-4</v>
      </c>
      <c r="G34" s="17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30.75" customHeight="1" x14ac:dyDescent="0.2">
      <c r="A35" s="512" t="str">
        <f>A350</f>
        <v>3.2. Retroescavadeira sobre rodas com carregadeira, tração 4x4, potência líq. 88 HP</v>
      </c>
      <c r="B35" s="512"/>
      <c r="C35" s="512"/>
      <c r="D35" s="512"/>
      <c r="E35" s="203">
        <f>SUM(E36:E41)</f>
        <v>63484.352524731999</v>
      </c>
      <c r="F35" s="204">
        <f t="shared" si="0"/>
        <v>5.4090790640693227E-2</v>
      </c>
      <c r="G35" s="17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.75" customHeight="1" x14ac:dyDescent="0.2">
      <c r="A36" s="207" t="s">
        <v>185</v>
      </c>
      <c r="B36" s="208"/>
      <c r="C36" s="202"/>
      <c r="D36" s="202"/>
      <c r="E36" s="203">
        <f>F361</f>
        <v>15058.346790399997</v>
      </c>
      <c r="F36" s="204">
        <f t="shared" si="0"/>
        <v>1.2830214867784375E-2</v>
      </c>
      <c r="G36" s="17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 x14ac:dyDescent="0.2">
      <c r="A37" s="207" t="s">
        <v>186</v>
      </c>
      <c r="B37" s="208"/>
      <c r="C37" s="202"/>
      <c r="D37" s="202"/>
      <c r="E37" s="203">
        <f>F372</f>
        <v>15503.065638498667</v>
      </c>
      <c r="F37" s="204">
        <f t="shared" si="0"/>
        <v>1.3209130193369591E-2</v>
      </c>
      <c r="G37" s="17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.75" customHeight="1" x14ac:dyDescent="0.2">
      <c r="A38" s="209" t="str">
        <f>A374</f>
        <v>3.2.3. Impostos e Seguros</v>
      </c>
      <c r="B38" s="208"/>
      <c r="C38" s="202"/>
      <c r="D38" s="202"/>
      <c r="E38" s="203">
        <f>F380</f>
        <v>3694.6738</v>
      </c>
      <c r="F38" s="204">
        <f t="shared" si="0"/>
        <v>3.1479855909942295E-3</v>
      </c>
      <c r="G38" s="17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.75" customHeight="1" x14ac:dyDescent="0.2">
      <c r="A39" s="209" t="str">
        <f>A382</f>
        <v>3.2.4. Consumos</v>
      </c>
      <c r="B39" s="208"/>
      <c r="C39" s="202"/>
      <c r="D39" s="202"/>
      <c r="E39" s="203">
        <f>F390</f>
        <v>17746.261812500001</v>
      </c>
      <c r="F39" s="204">
        <f t="shared" si="0"/>
        <v>1.5120408323939488E-2</v>
      </c>
      <c r="G39" s="17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.75" customHeight="1" x14ac:dyDescent="0.2">
      <c r="A40" s="209" t="str">
        <f>A392</f>
        <v>3.2.5. Manutenção</v>
      </c>
      <c r="B40" s="208"/>
      <c r="C40" s="202"/>
      <c r="D40" s="202"/>
      <c r="E40" s="203">
        <f>F395</f>
        <v>4732.7778166666658</v>
      </c>
      <c r="F40" s="204">
        <f t="shared" si="0"/>
        <v>4.0324849171376898E-3</v>
      </c>
      <c r="G40" s="17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.75" customHeight="1" x14ac:dyDescent="0.2">
      <c r="A41" s="209" t="str">
        <f>A397</f>
        <v>3.2.6. Pneus</v>
      </c>
      <c r="B41" s="208"/>
      <c r="C41" s="202"/>
      <c r="D41" s="202"/>
      <c r="E41" s="203">
        <f>F409</f>
        <v>6749.2266666666674</v>
      </c>
      <c r="F41" s="204">
        <f t="shared" si="0"/>
        <v>5.7505667474678501E-3</v>
      </c>
      <c r="G41" s="17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 x14ac:dyDescent="0.2">
      <c r="A42" s="210" t="str">
        <f>A410</f>
        <v>3.2.7. Monitoramento da Frota</v>
      </c>
      <c r="B42" s="211"/>
      <c r="C42" s="211"/>
      <c r="D42" s="211"/>
      <c r="E42" s="203">
        <f>F418</f>
        <v>240.46</v>
      </c>
      <c r="F42" s="204">
        <f t="shared" si="0"/>
        <v>2.0487995860702843E-4</v>
      </c>
      <c r="G42" s="17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 x14ac:dyDescent="0.2">
      <c r="A43" s="512" t="s">
        <v>187</v>
      </c>
      <c r="B43" s="512"/>
      <c r="C43" s="512"/>
      <c r="D43" s="512"/>
      <c r="E43" s="203">
        <f>SUM(E44:E49)</f>
        <v>32638.499319037845</v>
      </c>
      <c r="F43" s="204">
        <f t="shared" si="0"/>
        <v>2.7809092528819759E-2</v>
      </c>
      <c r="G43" s="17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.75" customHeight="1" x14ac:dyDescent="0.2">
      <c r="A44" s="207" t="s">
        <v>188</v>
      </c>
      <c r="B44" s="208"/>
      <c r="C44" s="202"/>
      <c r="D44" s="202"/>
      <c r="E44" s="203">
        <f>F439</f>
        <v>5254.7110982777776</v>
      </c>
      <c r="F44" s="204">
        <f t="shared" si="0"/>
        <v>4.4771895213634033E-3</v>
      </c>
      <c r="G44" s="17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.75" customHeight="1" x14ac:dyDescent="0.2">
      <c r="A45" s="207" t="s">
        <v>189</v>
      </c>
      <c r="B45" s="208"/>
      <c r="C45" s="202"/>
      <c r="D45" s="202"/>
      <c r="E45" s="203">
        <f>F455</f>
        <v>6055.4832783434022</v>
      </c>
      <c r="F45" s="204">
        <f t="shared" si="0"/>
        <v>5.1594741886906307E-3</v>
      </c>
      <c r="G45" s="17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5.75" customHeight="1" x14ac:dyDescent="0.2">
      <c r="A46" s="209" t="str">
        <f>A457</f>
        <v>3.3.3. Impostos e Seguros</v>
      </c>
      <c r="B46" s="208"/>
      <c r="C46" s="202"/>
      <c r="D46" s="202"/>
      <c r="E46" s="203">
        <f>F463</f>
        <v>1088.4752333333333</v>
      </c>
      <c r="F46" s="204">
        <f t="shared" si="0"/>
        <v>9.2741728665935688E-4</v>
      </c>
      <c r="G46" s="17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">
      <c r="A47" s="209" t="str">
        <f>A465</f>
        <v>3.3.4. Consumos</v>
      </c>
      <c r="B47" s="208"/>
      <c r="C47" s="202"/>
      <c r="D47" s="202"/>
      <c r="E47" s="203">
        <f>F473</f>
        <v>17758.877343749999</v>
      </c>
      <c r="F47" s="204">
        <f t="shared" si="0"/>
        <v>1.5131157178303231E-2</v>
      </c>
      <c r="G47" s="17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5.75" customHeight="1" x14ac:dyDescent="0.2">
      <c r="A48" s="209" t="str">
        <f>A475</f>
        <v>3.3.5. Manutenção</v>
      </c>
      <c r="B48" s="208"/>
      <c r="C48" s="202"/>
      <c r="D48" s="202"/>
      <c r="E48" s="203">
        <f>F478</f>
        <v>2225.7083333333335</v>
      </c>
      <c r="F48" s="204">
        <f t="shared" ref="F48:F79" si="1">IFERROR(E48/$E$77,0)</f>
        <v>1.8963779057001231E-3</v>
      </c>
      <c r="G48" s="17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5.75" customHeight="1" x14ac:dyDescent="0.2">
      <c r="A49" s="209" t="str">
        <f>A480</f>
        <v>3.3.6. Pneus</v>
      </c>
      <c r="B49" s="208"/>
      <c r="C49" s="202"/>
      <c r="D49" s="202"/>
      <c r="E49" s="203">
        <f>F493</f>
        <v>255.244032</v>
      </c>
      <c r="F49" s="204">
        <f t="shared" si="1"/>
        <v>2.1747644810301523E-4</v>
      </c>
      <c r="G49" s="17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5.75" customHeight="1" x14ac:dyDescent="0.2">
      <c r="A50" s="209" t="str">
        <f>A495</f>
        <v>3.3.7. Monitoramento da Frota</v>
      </c>
      <c r="B50" s="208"/>
      <c r="C50" s="202"/>
      <c r="D50" s="202"/>
      <c r="E50" s="203">
        <f>F503</f>
        <v>126.48</v>
      </c>
      <c r="F50" s="204">
        <f t="shared" si="1"/>
        <v>1.0776518824177392E-4</v>
      </c>
      <c r="G50" s="17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5.75" customHeight="1" x14ac:dyDescent="0.2">
      <c r="A51" s="209" t="s">
        <v>190</v>
      </c>
      <c r="B51" s="208"/>
      <c r="C51" s="202"/>
      <c r="D51" s="202"/>
      <c r="E51" s="203">
        <f>SUM(E52:E57)</f>
        <v>25887.134369558677</v>
      </c>
      <c r="F51" s="204">
        <f t="shared" si="1"/>
        <v>2.2056703892912602E-2</v>
      </c>
      <c r="G51" s="17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">
      <c r="A52" s="207" t="s">
        <v>191</v>
      </c>
      <c r="B52" s="208"/>
      <c r="C52" s="202"/>
      <c r="D52" s="202"/>
      <c r="E52" s="203">
        <f>F522</f>
        <v>3404.8295149444448</v>
      </c>
      <c r="F52" s="204">
        <f t="shared" si="1"/>
        <v>2.9010285705972157E-3</v>
      </c>
      <c r="G52" s="17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5.75" customHeight="1" x14ac:dyDescent="0.2">
      <c r="A53" s="207" t="s">
        <v>192</v>
      </c>
      <c r="B53" s="208"/>
      <c r="C53" s="202"/>
      <c r="D53" s="202"/>
      <c r="E53" s="203">
        <f>F538</f>
        <v>3923.6958621975691</v>
      </c>
      <c r="F53" s="204">
        <f t="shared" si="1"/>
        <v>3.3431200442219358E-3</v>
      </c>
      <c r="G53" s="17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5.75" customHeight="1" x14ac:dyDescent="0.2">
      <c r="A54" s="209" t="str">
        <f>A540</f>
        <v>3.4.3. Impostos e Seguros</v>
      </c>
      <c r="B54" s="208"/>
      <c r="C54" s="202"/>
      <c r="D54" s="202"/>
      <c r="E54" s="203">
        <f>F546</f>
        <v>544.48761666666667</v>
      </c>
      <c r="F54" s="204">
        <f t="shared" si="1"/>
        <v>4.6392165168720881E-4</v>
      </c>
      <c r="G54" s="17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5.75" customHeight="1" x14ac:dyDescent="0.2">
      <c r="A55" s="209" t="str">
        <f>A548</f>
        <v>3.4.4. Consumos</v>
      </c>
      <c r="B55" s="208"/>
      <c r="C55" s="202"/>
      <c r="D55" s="202"/>
      <c r="E55" s="203">
        <f>F556</f>
        <v>8879.4386718749993</v>
      </c>
      <c r="F55" s="204">
        <f t="shared" si="1"/>
        <v>7.5655785891516154E-3</v>
      </c>
      <c r="G55" s="17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5.75" customHeight="1" x14ac:dyDescent="0.2">
      <c r="A56" s="209" t="str">
        <f>A558</f>
        <v>3.4.5. Manutenção</v>
      </c>
      <c r="B56" s="208"/>
      <c r="C56" s="202"/>
      <c r="D56" s="202"/>
      <c r="E56" s="203">
        <f>F556</f>
        <v>8879.4386718749993</v>
      </c>
      <c r="F56" s="204">
        <f t="shared" si="1"/>
        <v>7.5655785891516154E-3</v>
      </c>
      <c r="G56" s="17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5.75" customHeight="1" x14ac:dyDescent="0.2">
      <c r="A57" s="209" t="str">
        <f>A563</f>
        <v>3.4.6. Pneus</v>
      </c>
      <c r="B57" s="208"/>
      <c r="C57" s="202"/>
      <c r="D57" s="202"/>
      <c r="E57" s="203">
        <f>F576</f>
        <v>255.244032</v>
      </c>
      <c r="F57" s="204">
        <f t="shared" si="1"/>
        <v>2.1747644810301523E-4</v>
      </c>
      <c r="G57" s="17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 x14ac:dyDescent="0.2">
      <c r="A58" s="210" t="str">
        <f>A578</f>
        <v>3.4.7. Monitoramento da Frota</v>
      </c>
      <c r="B58" s="211"/>
      <c r="C58" s="211"/>
      <c r="D58" s="211"/>
      <c r="E58" s="203">
        <f>F586</f>
        <v>69.490000000000009</v>
      </c>
      <c r="F58" s="204">
        <f t="shared" si="1"/>
        <v>5.9207803059146665E-5</v>
      </c>
      <c r="G58" s="17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customHeight="1" x14ac:dyDescent="0.2">
      <c r="A59" s="512" t="str">
        <f>A589</f>
        <v>3.5. Veículo para transporte de pessoal (Miniônibus) – Mín. 24 lugares, Modelo: VOLARE ATT. 8 LONGO EXECUTIVO (die) (E6)</v>
      </c>
      <c r="B59" s="512"/>
      <c r="C59" s="512"/>
      <c r="D59" s="512"/>
      <c r="E59" s="203">
        <f>SUM(E60:E65)</f>
        <v>60457.10219520238</v>
      </c>
      <c r="F59" s="204">
        <f t="shared" si="1"/>
        <v>5.1511472158587507E-2</v>
      </c>
      <c r="G59" s="17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 x14ac:dyDescent="0.2">
      <c r="A60" s="209" t="str">
        <f>A591</f>
        <v>3.5.1 Depreciação</v>
      </c>
      <c r="B60" s="208"/>
      <c r="C60" s="202"/>
      <c r="D60" s="202"/>
      <c r="E60" s="203">
        <f>F600</f>
        <v>14480.136395238096</v>
      </c>
      <c r="F60" s="204">
        <f t="shared" si="1"/>
        <v>1.2337560281462642E-2</v>
      </c>
      <c r="G60" s="17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customHeight="1" x14ac:dyDescent="0.2">
      <c r="A61" s="209" t="str">
        <f>A602</f>
        <v>3.5.2 Remuneração de Capital</v>
      </c>
      <c r="B61" s="208"/>
      <c r="C61" s="202"/>
      <c r="D61" s="202"/>
      <c r="E61" s="203">
        <f>F611</f>
        <v>18390.583811773809</v>
      </c>
      <c r="F61" s="204">
        <f t="shared" si="1"/>
        <v>1.5669392207083528E-2</v>
      </c>
      <c r="G61" s="17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 x14ac:dyDescent="0.2">
      <c r="A62" s="209" t="str">
        <f>A613</f>
        <v>3.5.3. Impostos e Seguros - Caminhão</v>
      </c>
      <c r="B62" s="208"/>
      <c r="C62" s="202"/>
      <c r="D62" s="202"/>
      <c r="E62" s="203">
        <f>F619</f>
        <v>2563.2871333333333</v>
      </c>
      <c r="F62" s="204">
        <f t="shared" si="1"/>
        <v>2.1840063286004403E-3</v>
      </c>
      <c r="G62" s="17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customHeight="1" x14ac:dyDescent="0.2">
      <c r="A63" s="209" t="str">
        <f>A621</f>
        <v>3.5.4. Consumos</v>
      </c>
      <c r="B63" s="208"/>
      <c r="C63" s="202"/>
      <c r="D63" s="202"/>
      <c r="E63" s="203">
        <f>F629</f>
        <v>19429.875</v>
      </c>
      <c r="F63" s="204">
        <f t="shared" si="1"/>
        <v>1.6554903043082991E-2</v>
      </c>
      <c r="G63" s="17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customHeight="1" x14ac:dyDescent="0.2">
      <c r="A64" s="209" t="str">
        <f>A631</f>
        <v>3.5.5. Manutenção</v>
      </c>
      <c r="B64" s="208"/>
      <c r="C64" s="202"/>
      <c r="D64" s="202"/>
      <c r="E64" s="203">
        <f>F634</f>
        <v>5403.9321428571429</v>
      </c>
      <c r="F64" s="204">
        <f t="shared" si="1"/>
        <v>4.6043308398226812E-3</v>
      </c>
      <c r="G64" s="17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 x14ac:dyDescent="0.2">
      <c r="A65" s="209" t="str">
        <f>A636</f>
        <v>3.5.6. Pneus</v>
      </c>
      <c r="B65" s="208"/>
      <c r="C65" s="202"/>
      <c r="D65" s="202"/>
      <c r="E65" s="203">
        <f>F643</f>
        <v>189.287712</v>
      </c>
      <c r="F65" s="204">
        <f t="shared" si="1"/>
        <v>1.6127945853522049E-4</v>
      </c>
      <c r="G65" s="17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 x14ac:dyDescent="0.2">
      <c r="A66" s="210" t="str">
        <f>A645</f>
        <v>3.5.7. Monitoramento da Frota</v>
      </c>
      <c r="B66" s="211"/>
      <c r="C66" s="211"/>
      <c r="D66" s="211"/>
      <c r="E66" s="203">
        <f>F653</f>
        <v>240.46</v>
      </c>
      <c r="F66" s="204">
        <f t="shared" si="1"/>
        <v>2.0487995860702843E-4</v>
      </c>
      <c r="G66" s="17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 x14ac:dyDescent="0.2">
      <c r="A67" s="512" t="str">
        <f>A657</f>
        <v>3.6. Roçadeira Costal/Lateral, Pot. Min 4 HP, a Gasolina</v>
      </c>
      <c r="B67" s="512"/>
      <c r="C67" s="512"/>
      <c r="D67" s="512"/>
      <c r="E67" s="203">
        <f>SUM(E68:E70)</f>
        <v>99345.483541386682</v>
      </c>
      <c r="F67" s="204">
        <f t="shared" si="1"/>
        <v>8.4645673108851904E-2</v>
      </c>
      <c r="G67" s="17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 x14ac:dyDescent="0.2">
      <c r="A68" s="209" t="str">
        <f>A659</f>
        <v>3.6.1 Depreciação</v>
      </c>
      <c r="B68" s="208"/>
      <c r="C68" s="202"/>
      <c r="D68" s="202"/>
      <c r="E68" s="203">
        <f>F668</f>
        <v>411.06690133333336</v>
      </c>
      <c r="F68" s="204">
        <f t="shared" si="1"/>
        <v>3.5024274195247766E-4</v>
      </c>
      <c r="G68" s="17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2.75" customHeight="1" x14ac:dyDescent="0.2">
      <c r="A69" s="209" t="str">
        <f>A670</f>
        <v>3.6.2 Remuneração de Capital</v>
      </c>
      <c r="B69" s="208"/>
      <c r="C69" s="202"/>
      <c r="D69" s="202"/>
      <c r="E69" s="203">
        <f>F679</f>
        <v>313.02643205333328</v>
      </c>
      <c r="F69" s="204">
        <f t="shared" si="1"/>
        <v>2.6670898462111256E-4</v>
      </c>
      <c r="G69" s="17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 x14ac:dyDescent="0.2">
      <c r="A70" s="209" t="str">
        <f>A681</f>
        <v>3.6.3. Consumos</v>
      </c>
      <c r="B70" s="208"/>
      <c r="C70" s="202"/>
      <c r="D70" s="202"/>
      <c r="E70" s="203">
        <f>F688</f>
        <v>98621.390208000012</v>
      </c>
      <c r="F70" s="204">
        <f t="shared" si="1"/>
        <v>8.4028721382278307E-2</v>
      </c>
      <c r="G70" s="17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2.75" customHeight="1" x14ac:dyDescent="0.2">
      <c r="A71" s="512" t="str">
        <f>A690</f>
        <v>3.7. Soprador Costal, Pot. Min 3,48 HP</v>
      </c>
      <c r="B71" s="512"/>
      <c r="C71" s="512"/>
      <c r="D71" s="512"/>
      <c r="E71" s="203">
        <f>SUM(E72:E74)</f>
        <v>3567.0381702906666</v>
      </c>
      <c r="F71" s="204">
        <f t="shared" si="1"/>
        <v>3.039235767607262E-3</v>
      </c>
      <c r="G71" s="17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 x14ac:dyDescent="0.2">
      <c r="A72" s="209" t="str">
        <f>A692</f>
        <v>3.7.1 Depreciação</v>
      </c>
      <c r="B72" s="208"/>
      <c r="C72" s="202"/>
      <c r="D72" s="202"/>
      <c r="E72" s="203">
        <f>F701</f>
        <v>76.132748799999987</v>
      </c>
      <c r="F72" s="204">
        <f t="shared" si="1"/>
        <v>6.4867647104646466E-5</v>
      </c>
      <c r="G72" s="17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 x14ac:dyDescent="0.2">
      <c r="A73" s="209" t="str">
        <f>A703</f>
        <v>3.7.2 Remuneração de Capital</v>
      </c>
      <c r="B73" s="208"/>
      <c r="C73" s="202"/>
      <c r="D73" s="202"/>
      <c r="E73" s="203">
        <f>F712</f>
        <v>78.381180770666646</v>
      </c>
      <c r="F73" s="204">
        <f t="shared" si="1"/>
        <v>6.6783386309008546E-5</v>
      </c>
      <c r="G73" s="17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 x14ac:dyDescent="0.2">
      <c r="A74" s="209" t="str">
        <f>A714</f>
        <v>3.7.3. Consumos</v>
      </c>
      <c r="B74" s="208"/>
      <c r="C74" s="202"/>
      <c r="D74" s="202"/>
      <c r="E74" s="203">
        <f>F721</f>
        <v>3412.5242407199999</v>
      </c>
      <c r="F74" s="204">
        <f t="shared" si="1"/>
        <v>2.9075847341936069E-3</v>
      </c>
      <c r="G74" s="17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.75" customHeight="1" x14ac:dyDescent="0.2">
      <c r="A75" s="205" t="str">
        <f>A726</f>
        <v>4. Ferramentas, Materiais de Consumo e EPC</v>
      </c>
      <c r="B75" s="206"/>
      <c r="C75" s="198"/>
      <c r="D75" s="198"/>
      <c r="E75" s="199">
        <f>+F738</f>
        <v>35861.96</v>
      </c>
      <c r="F75" s="200">
        <f t="shared" si="1"/>
        <v>3.0555588789681898E-2</v>
      </c>
      <c r="G75" s="45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 spans="1:26" ht="15.75" customHeight="1" x14ac:dyDescent="0.2">
      <c r="A76" s="205" t="str">
        <f>A742</f>
        <v>5. Benefícios e Despesas Indiretas - BDI</v>
      </c>
      <c r="B76" s="206"/>
      <c r="C76" s="198"/>
      <c r="D76" s="198"/>
      <c r="E76" s="212">
        <f>+F748</f>
        <v>243586.89703335852</v>
      </c>
      <c r="F76" s="200">
        <f t="shared" si="1"/>
        <v>0.20754417941199779</v>
      </c>
      <c r="G76" s="45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spans="1:26" ht="15.75" customHeight="1" x14ac:dyDescent="0.2">
      <c r="A77" s="213" t="s">
        <v>193</v>
      </c>
      <c r="B77" s="214"/>
      <c r="C77" s="215"/>
      <c r="D77" s="215"/>
      <c r="E77" s="216">
        <f>E16+E25+E26+E75+E76</f>
        <v>1173662.8689056705</v>
      </c>
      <c r="F77" s="217">
        <f>F16+F25+F26+F75+F76</f>
        <v>1.0000000000000002</v>
      </c>
      <c r="G77" s="17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 x14ac:dyDescent="0.2">
      <c r="A78" s="15"/>
      <c r="B78" s="15"/>
      <c r="C78" s="15"/>
      <c r="D78" s="17"/>
      <c r="E78" s="17"/>
      <c r="F78" s="17"/>
      <c r="G78" s="17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2.75" customHeight="1" x14ac:dyDescent="0.2">
      <c r="A79" s="15"/>
      <c r="B79" s="15"/>
      <c r="C79" s="15"/>
      <c r="D79" s="17"/>
      <c r="E79" s="17"/>
      <c r="F79" s="17"/>
      <c r="G79" s="17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5" customHeight="1" x14ac:dyDescent="0.2">
      <c r="A80" s="510" t="s">
        <v>194</v>
      </c>
      <c r="B80" s="510"/>
      <c r="C80" s="510"/>
      <c r="D80" s="510"/>
      <c r="E80" s="510"/>
      <c r="F80" s="17"/>
      <c r="G80" s="17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5" customHeight="1" x14ac:dyDescent="0.2">
      <c r="A81" s="513" t="s">
        <v>195</v>
      </c>
      <c r="B81" s="513"/>
      <c r="C81" s="513"/>
      <c r="D81" s="513"/>
      <c r="E81" s="218" t="s">
        <v>50</v>
      </c>
      <c r="F81" s="17"/>
      <c r="G81" s="17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5" customHeight="1" x14ac:dyDescent="0.2">
      <c r="A82" s="219" t="str">
        <f>+A103</f>
        <v>1.1. Operários/Agentes de Limpeza</v>
      </c>
      <c r="B82" s="193"/>
      <c r="C82" s="193"/>
      <c r="D82" s="220"/>
      <c r="E82" s="221">
        <f>C110</f>
        <v>80</v>
      </c>
      <c r="F82" s="17"/>
      <c r="G82" s="17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5" customHeight="1" x14ac:dyDescent="0.2">
      <c r="A83" s="222" t="str">
        <f>A113</f>
        <v>1.2. Encarregado de Equipe</v>
      </c>
      <c r="B83" s="223"/>
      <c r="C83" s="223"/>
      <c r="D83" s="224"/>
      <c r="E83" s="225">
        <f>C120</f>
        <v>4</v>
      </c>
      <c r="F83" s="17"/>
      <c r="G83" s="17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5" customHeight="1" x14ac:dyDescent="0.2">
      <c r="A84" s="222" t="str">
        <f>A123</f>
        <v>1.3. Motorista Caminhão</v>
      </c>
      <c r="B84" s="223"/>
      <c r="C84" s="223"/>
      <c r="D84" s="224"/>
      <c r="E84" s="225">
        <f>C132</f>
        <v>4</v>
      </c>
      <c r="F84" s="17"/>
      <c r="G84" s="17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5" customHeight="1" x14ac:dyDescent="0.2">
      <c r="A85" s="222" t="str">
        <f>A135</f>
        <v>1.4. Motorista Micro Ônibus Urbano</v>
      </c>
      <c r="B85" s="223"/>
      <c r="C85" s="223"/>
      <c r="D85" s="224"/>
      <c r="E85" s="225">
        <f>C144</f>
        <v>4</v>
      </c>
      <c r="F85" s="17"/>
      <c r="G85" s="17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5" customHeight="1" x14ac:dyDescent="0.2">
      <c r="A86" s="222" t="str">
        <f>A147</f>
        <v>1.5. Operador de Máquina Rodoviária (Minicarregadeira e Trator Capinadeira)</v>
      </c>
      <c r="B86" s="223"/>
      <c r="C86" s="223"/>
      <c r="D86" s="224"/>
      <c r="E86" s="225">
        <f>C156</f>
        <v>7</v>
      </c>
      <c r="F86" s="17"/>
      <c r="G86" s="17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5" customHeight="1" x14ac:dyDescent="0.2">
      <c r="A87" s="226" t="s">
        <v>196</v>
      </c>
      <c r="B87" s="227"/>
      <c r="C87" s="227"/>
      <c r="D87" s="228"/>
      <c r="E87" s="229">
        <f>SUM(E82:E86)</f>
        <v>99</v>
      </c>
      <c r="F87" s="17"/>
      <c r="G87" s="17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5" customHeight="1" x14ac:dyDescent="0.2">
      <c r="A88" s="230"/>
      <c r="B88" s="113"/>
      <c r="C88" s="17"/>
      <c r="D88" s="17"/>
      <c r="E88" s="17"/>
      <c r="F88" s="17"/>
      <c r="G88" s="17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5" customHeight="1" x14ac:dyDescent="0.2">
      <c r="A89" s="514" t="s">
        <v>197</v>
      </c>
      <c r="B89" s="514"/>
      <c r="C89" s="514"/>
      <c r="D89" s="514"/>
      <c r="E89" s="218" t="s">
        <v>50</v>
      </c>
      <c r="F89" s="15"/>
      <c r="G89" s="17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44.25" customHeight="1" x14ac:dyDescent="0.2">
      <c r="A90" s="512" t="str">
        <f>+A280</f>
        <v>3.1 Caminhão Basculante com capacidade de 6m³ – Pot. Min. 136 Kw (185CV)</v>
      </c>
      <c r="B90" s="512"/>
      <c r="C90" s="512"/>
      <c r="D90" s="512"/>
      <c r="E90" s="231">
        <f>C290</f>
        <v>4</v>
      </c>
      <c r="F90" s="15"/>
      <c r="G90" s="17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30" customHeight="1" x14ac:dyDescent="0.2">
      <c r="A91" s="512" t="str">
        <f>A350</f>
        <v>3.2. Retroescavadeira sobre rodas com carregadeira, tração 4x4, potência líq. 88 HP</v>
      </c>
      <c r="B91" s="512"/>
      <c r="C91" s="512"/>
      <c r="D91" s="512"/>
      <c r="E91" s="231">
        <f>C360</f>
        <v>4</v>
      </c>
      <c r="F91" s="15"/>
      <c r="G91" s="17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 x14ac:dyDescent="0.2">
      <c r="A92" s="512" t="str">
        <f>A43</f>
        <v>3.3. Trator Capinadeira 85 CV equipado com 01 capinadeira/Vassoura Mecânica.</v>
      </c>
      <c r="B92" s="512"/>
      <c r="C92" s="512"/>
      <c r="D92" s="512"/>
      <c r="E92" s="231">
        <f>C438</f>
        <v>2</v>
      </c>
      <c r="F92" s="15"/>
      <c r="G92" s="17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5" customHeight="1" x14ac:dyDescent="0.2">
      <c r="A93" s="232" t="str">
        <f>A51</f>
        <v>3.4. Trator Capinadeira 85 CV equipado com 02 capinadeiras/Vassoura Mecânicas.</v>
      </c>
      <c r="B93" s="233"/>
      <c r="C93" s="233"/>
      <c r="D93" s="234"/>
      <c r="E93" s="231">
        <f>C521</f>
        <v>1</v>
      </c>
      <c r="F93" s="15"/>
      <c r="G93" s="17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5" customHeight="1" x14ac:dyDescent="0.2">
      <c r="A94" s="232" t="str">
        <f>A589</f>
        <v>3.5. Veículo para transporte de pessoal (Miniônibus) – Mín. 24 lugares, Modelo: VOLARE ATT. 8 LONGO EXECUTIVO (die) (E6)</v>
      </c>
      <c r="B94" s="233"/>
      <c r="C94" s="233"/>
      <c r="D94" s="234"/>
      <c r="E94" s="231">
        <f>C599</f>
        <v>4</v>
      </c>
      <c r="F94" s="15"/>
      <c r="G94" s="17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5" customHeight="1" x14ac:dyDescent="0.2">
      <c r="A95" s="232" t="str">
        <f>A657</f>
        <v>3.6. Roçadeira Costal/Lateral, Pot. Min 4 HP, a Gasolina</v>
      </c>
      <c r="B95" s="233"/>
      <c r="C95" s="233"/>
      <c r="D95" s="234"/>
      <c r="E95" s="231">
        <f>C667</f>
        <v>32</v>
      </c>
      <c r="F95" s="15"/>
      <c r="G95" s="17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5" customHeight="1" x14ac:dyDescent="0.2">
      <c r="A96" s="235" t="str">
        <f>A690</f>
        <v>3.7. Soprador Costal, Pot. Min 3,48 HP</v>
      </c>
      <c r="B96" s="236"/>
      <c r="C96" s="236"/>
      <c r="D96" s="237"/>
      <c r="E96" s="238">
        <f>C700</f>
        <v>4</v>
      </c>
      <c r="F96" s="15"/>
      <c r="G96" s="17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5" customHeight="1" x14ac:dyDescent="0.2">
      <c r="A97" s="515" t="s">
        <v>198</v>
      </c>
      <c r="B97" s="515"/>
      <c r="C97" s="515"/>
      <c r="D97" s="515"/>
      <c r="E97" s="239">
        <f>SUM(E90:E96)</f>
        <v>51</v>
      </c>
      <c r="F97" s="15"/>
      <c r="G97" s="17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5" customHeight="1" x14ac:dyDescent="0.2">
      <c r="A98" s="17"/>
      <c r="B98" s="17"/>
      <c r="C98" s="17"/>
      <c r="D98" s="15"/>
      <c r="E98" s="112"/>
      <c r="F98" s="15"/>
      <c r="G98" s="17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5.75" customHeight="1" x14ac:dyDescent="0.2">
      <c r="A99" s="240" t="s">
        <v>199</v>
      </c>
      <c r="B99" s="241">
        <v>1</v>
      </c>
      <c r="C99" s="45"/>
      <c r="D99" s="40"/>
      <c r="E99" s="242"/>
      <c r="F99" s="40"/>
      <c r="G99" s="45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</row>
    <row r="100" spans="1:26" ht="15.75" customHeight="1" x14ac:dyDescent="0.2">
      <c r="A100" s="17"/>
      <c r="B100" s="17"/>
      <c r="C100" s="17"/>
      <c r="D100" s="15"/>
      <c r="E100" s="147"/>
      <c r="F100" s="15"/>
      <c r="G100" s="17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 x14ac:dyDescent="0.2">
      <c r="A101" s="40" t="s">
        <v>200</v>
      </c>
      <c r="B101" s="15"/>
      <c r="C101" s="15"/>
      <c r="D101" s="17"/>
      <c r="E101" s="17"/>
      <c r="F101" s="17"/>
      <c r="G101" s="17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1.25" customHeight="1" x14ac:dyDescent="0.2">
      <c r="A102" s="15"/>
      <c r="B102" s="15"/>
      <c r="C102" s="15"/>
      <c r="D102" s="17"/>
      <c r="E102" s="17"/>
      <c r="F102" s="17"/>
      <c r="G102" s="17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3.5" customHeight="1" x14ac:dyDescent="0.2">
      <c r="A103" s="15" t="s">
        <v>201</v>
      </c>
      <c r="B103" s="15"/>
      <c r="C103" s="15"/>
      <c r="D103" s="17"/>
      <c r="E103" s="17"/>
      <c r="F103" s="17"/>
      <c r="G103" s="17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 x14ac:dyDescent="0.2">
      <c r="A104" s="243" t="s">
        <v>202</v>
      </c>
      <c r="B104" s="244" t="s">
        <v>95</v>
      </c>
      <c r="C104" s="244" t="s">
        <v>50</v>
      </c>
      <c r="D104" s="245" t="s">
        <v>203</v>
      </c>
      <c r="E104" s="245" t="s">
        <v>204</v>
      </c>
      <c r="F104" s="246" t="s">
        <v>205</v>
      </c>
      <c r="G104" s="48" t="s">
        <v>206</v>
      </c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 x14ac:dyDescent="0.2">
      <c r="A105" s="247" t="s">
        <v>207</v>
      </c>
      <c r="B105" s="248" t="s">
        <v>208</v>
      </c>
      <c r="C105" s="248">
        <v>1</v>
      </c>
      <c r="D105" s="249">
        <v>1799.68</v>
      </c>
      <c r="E105" s="250">
        <f>C105*D105</f>
        <v>1799.68</v>
      </c>
      <c r="F105" s="17"/>
      <c r="G105" s="17" t="s">
        <v>209</v>
      </c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 x14ac:dyDescent="0.2">
      <c r="A106" s="251" t="s">
        <v>210</v>
      </c>
      <c r="B106" s="252" t="s">
        <v>182</v>
      </c>
      <c r="C106" s="252">
        <v>40</v>
      </c>
      <c r="D106" s="253">
        <f>SUM(E105)</f>
        <v>1799.68</v>
      </c>
      <c r="E106" s="253">
        <f>C106*D106/100</f>
        <v>719.87199999999996</v>
      </c>
      <c r="F106" s="17"/>
      <c r="G106" s="17" t="s">
        <v>211</v>
      </c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 x14ac:dyDescent="0.2">
      <c r="A107" s="254" t="s">
        <v>212</v>
      </c>
      <c r="B107" s="135"/>
      <c r="C107" s="135"/>
      <c r="D107" s="39"/>
      <c r="E107" s="255">
        <f>SUM(E105:E106)</f>
        <v>2519.5520000000001</v>
      </c>
      <c r="F107" s="17"/>
      <c r="G107" s="17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 x14ac:dyDescent="0.2">
      <c r="A108" s="251" t="s">
        <v>213</v>
      </c>
      <c r="B108" s="252" t="s">
        <v>182</v>
      </c>
      <c r="C108" s="256">
        <f>'4.Encargos Sociais'!$C$37*100</f>
        <v>71.22548900000001</v>
      </c>
      <c r="D108" s="253">
        <f>E107</f>
        <v>2519.5520000000001</v>
      </c>
      <c r="E108" s="253">
        <f>D108*C108/100</f>
        <v>1794.5632326092805</v>
      </c>
      <c r="F108" s="17"/>
      <c r="G108" s="17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 x14ac:dyDescent="0.2">
      <c r="A109" s="254" t="s">
        <v>214</v>
      </c>
      <c r="B109" s="135"/>
      <c r="C109" s="135"/>
      <c r="D109" s="39"/>
      <c r="E109" s="255">
        <f>E107+E108</f>
        <v>4314.1152326092806</v>
      </c>
      <c r="F109" s="17"/>
      <c r="G109" s="17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 x14ac:dyDescent="0.2">
      <c r="A110" s="251" t="s">
        <v>215</v>
      </c>
      <c r="B110" s="252" t="s">
        <v>216</v>
      </c>
      <c r="C110" s="257">
        <f>'0. Qtdades e Custos'!C17</f>
        <v>80</v>
      </c>
      <c r="D110" s="253">
        <f>E109</f>
        <v>4314.1152326092806</v>
      </c>
      <c r="E110" s="253">
        <f>C110*D110</f>
        <v>345129.21860874246</v>
      </c>
      <c r="F110" s="17"/>
      <c r="G110" s="17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3.5" customHeight="1" x14ac:dyDescent="0.2">
      <c r="A111" s="15"/>
      <c r="B111" s="15"/>
      <c r="C111" s="15"/>
      <c r="D111" s="258" t="s">
        <v>217</v>
      </c>
      <c r="E111" s="259">
        <f>$B$99</f>
        <v>1</v>
      </c>
      <c r="F111" s="260">
        <f>E110*E111</f>
        <v>345129.21860874246</v>
      </c>
      <c r="G111" s="17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1.25" customHeight="1" x14ac:dyDescent="0.2">
      <c r="A112" s="15"/>
      <c r="B112" s="15"/>
      <c r="C112" s="15"/>
      <c r="D112" s="17"/>
      <c r="E112" s="17"/>
      <c r="F112" s="17"/>
      <c r="G112" s="17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1.25" customHeight="1" x14ac:dyDescent="0.2">
      <c r="A113" s="15" t="s">
        <v>218</v>
      </c>
      <c r="B113" s="15"/>
      <c r="C113" s="15"/>
      <c r="D113" s="17"/>
      <c r="E113" s="17"/>
      <c r="F113" s="17"/>
      <c r="G113" s="17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1.25" customHeight="1" x14ac:dyDescent="0.2">
      <c r="A114" s="243" t="s">
        <v>202</v>
      </c>
      <c r="B114" s="244" t="s">
        <v>95</v>
      </c>
      <c r="C114" s="244" t="s">
        <v>50</v>
      </c>
      <c r="D114" s="245" t="s">
        <v>203</v>
      </c>
      <c r="E114" s="245" t="s">
        <v>204</v>
      </c>
      <c r="F114" s="246" t="s">
        <v>205</v>
      </c>
      <c r="G114" s="48" t="s">
        <v>219</v>
      </c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1.25" customHeight="1" x14ac:dyDescent="0.2">
      <c r="A115" s="247" t="s">
        <v>207</v>
      </c>
      <c r="B115" s="248" t="s">
        <v>208</v>
      </c>
      <c r="C115" s="248">
        <v>1</v>
      </c>
      <c r="D115" s="249">
        <v>2294</v>
      </c>
      <c r="E115" s="250">
        <f>C115*D115</f>
        <v>2294</v>
      </c>
      <c r="F115" s="17"/>
      <c r="G115" s="17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1.25" customHeight="1" x14ac:dyDescent="0.2">
      <c r="A116" s="251" t="s">
        <v>210</v>
      </c>
      <c r="B116" s="252" t="s">
        <v>182</v>
      </c>
      <c r="C116" s="252">
        <v>40</v>
      </c>
      <c r="D116" s="253">
        <f>SUM(E115)</f>
        <v>2294</v>
      </c>
      <c r="E116" s="253">
        <f>C116*D116/100</f>
        <v>917.6</v>
      </c>
      <c r="F116" s="17"/>
      <c r="G116" s="17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1.25" customHeight="1" x14ac:dyDescent="0.2">
      <c r="A117" s="254" t="s">
        <v>212</v>
      </c>
      <c r="B117" s="135"/>
      <c r="C117" s="135"/>
      <c r="D117" s="39"/>
      <c r="E117" s="255">
        <f>SUM(E115:E116)</f>
        <v>3211.6</v>
      </c>
      <c r="F117" s="17"/>
      <c r="G117" s="17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1.25" customHeight="1" x14ac:dyDescent="0.2">
      <c r="A118" s="251" t="s">
        <v>213</v>
      </c>
      <c r="B118" s="252" t="s">
        <v>182</v>
      </c>
      <c r="C118" s="256">
        <f>'4.Encargos Sociais'!$C$37*100</f>
        <v>71.22548900000001</v>
      </c>
      <c r="D118" s="253">
        <f>E117</f>
        <v>3211.6</v>
      </c>
      <c r="E118" s="253">
        <f>D118*C118/100</f>
        <v>2287.4778047240002</v>
      </c>
      <c r="F118" s="17"/>
      <c r="G118" s="17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1.25" customHeight="1" x14ac:dyDescent="0.2">
      <c r="A119" s="254" t="s">
        <v>214</v>
      </c>
      <c r="B119" s="135"/>
      <c r="C119" s="135"/>
      <c r="D119" s="39"/>
      <c r="E119" s="255">
        <f>E117+E118</f>
        <v>5499.0778047240001</v>
      </c>
      <c r="F119" s="17"/>
      <c r="G119" s="17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1.25" customHeight="1" x14ac:dyDescent="0.2">
      <c r="A120" s="251" t="s">
        <v>215</v>
      </c>
      <c r="B120" s="252" t="s">
        <v>216</v>
      </c>
      <c r="C120" s="257">
        <f>'0. Qtdades e Custos'!C18</f>
        <v>4</v>
      </c>
      <c r="D120" s="253">
        <f>E119</f>
        <v>5499.0778047240001</v>
      </c>
      <c r="E120" s="253">
        <f>C120*D120</f>
        <v>21996.311218896</v>
      </c>
      <c r="F120" s="17"/>
      <c r="G120" s="17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1.25" customHeight="1" x14ac:dyDescent="0.2">
      <c r="A121" s="15"/>
      <c r="B121" s="15"/>
      <c r="C121" s="15"/>
      <c r="D121" s="258" t="s">
        <v>217</v>
      </c>
      <c r="E121" s="259">
        <f>$B$99</f>
        <v>1</v>
      </c>
      <c r="F121" s="260">
        <f>E120*E121</f>
        <v>21996.311218896</v>
      </c>
      <c r="G121" s="17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1.25" customHeight="1" x14ac:dyDescent="0.2">
      <c r="A122" s="15"/>
      <c r="B122" s="15"/>
      <c r="C122" s="15"/>
      <c r="D122" s="17"/>
      <c r="E122" s="17"/>
      <c r="F122" s="17"/>
      <c r="G122" s="17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 x14ac:dyDescent="0.2">
      <c r="A123" s="15" t="s">
        <v>220</v>
      </c>
      <c r="B123" s="15"/>
      <c r="C123" s="15"/>
      <c r="D123" s="17"/>
      <c r="E123" s="17"/>
      <c r="F123" s="17"/>
      <c r="G123" s="17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 x14ac:dyDescent="0.2">
      <c r="A124" s="243" t="s">
        <v>202</v>
      </c>
      <c r="B124" s="244" t="s">
        <v>95</v>
      </c>
      <c r="C124" s="244" t="s">
        <v>50</v>
      </c>
      <c r="D124" s="245" t="s">
        <v>203</v>
      </c>
      <c r="E124" s="245" t="s">
        <v>204</v>
      </c>
      <c r="F124" s="246" t="s">
        <v>205</v>
      </c>
      <c r="G124" s="48" t="s">
        <v>221</v>
      </c>
      <c r="H124" s="148"/>
      <c r="I124" s="148"/>
      <c r="J124" s="148"/>
      <c r="K124" s="148"/>
      <c r="L124" s="148"/>
      <c r="M124" s="148"/>
      <c r="N124" s="148"/>
      <c r="O124" s="148"/>
      <c r="P124" s="148"/>
      <c r="Q124" s="148"/>
      <c r="R124" s="148"/>
      <c r="S124" s="148"/>
      <c r="T124" s="148"/>
      <c r="U124" s="148"/>
      <c r="V124" s="148"/>
      <c r="W124" s="148"/>
      <c r="X124" s="148"/>
      <c r="Y124" s="148"/>
      <c r="Z124" s="148"/>
    </row>
    <row r="125" spans="1:26" ht="12.75" customHeight="1" x14ac:dyDescent="0.2">
      <c r="A125" s="247" t="s">
        <v>222</v>
      </c>
      <c r="B125" s="248" t="s">
        <v>208</v>
      </c>
      <c r="C125" s="248">
        <v>1</v>
      </c>
      <c r="D125" s="249">
        <v>2475.6</v>
      </c>
      <c r="E125" s="250">
        <f>C125*D125</f>
        <v>2475.6</v>
      </c>
      <c r="F125" s="17"/>
      <c r="G125" s="17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 x14ac:dyDescent="0.2">
      <c r="A126" s="247" t="s">
        <v>223</v>
      </c>
      <c r="B126" s="248" t="s">
        <v>208</v>
      </c>
      <c r="C126" s="252">
        <v>1</v>
      </c>
      <c r="D126" s="249">
        <v>1518</v>
      </c>
      <c r="E126" s="250"/>
      <c r="F126" s="17"/>
      <c r="G126" s="17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 x14ac:dyDescent="0.2">
      <c r="A127" s="251" t="s">
        <v>224</v>
      </c>
      <c r="B127" s="252"/>
      <c r="C127" s="261"/>
      <c r="D127" s="253"/>
      <c r="E127" s="253"/>
      <c r="F127" s="17"/>
      <c r="G127" s="17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 x14ac:dyDescent="0.2">
      <c r="A128" s="251" t="s">
        <v>210</v>
      </c>
      <c r="B128" s="252" t="s">
        <v>182</v>
      </c>
      <c r="C128" s="257">
        <v>0</v>
      </c>
      <c r="D128" s="253">
        <f>IF(C127=2,SUM(E125:E126),IF(C127=1,(SUM(E125:E126))*D126/D125,0))</f>
        <v>0</v>
      </c>
      <c r="E128" s="253">
        <f>C128*D128/100</f>
        <v>0</v>
      </c>
      <c r="F128" s="17"/>
      <c r="G128" s="17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 x14ac:dyDescent="0.2">
      <c r="A129" s="262" t="s">
        <v>212</v>
      </c>
      <c r="B129" s="135"/>
      <c r="C129" s="135"/>
      <c r="D129" s="39"/>
      <c r="E129" s="263">
        <f>SUM(E125:E128)</f>
        <v>2475.6</v>
      </c>
      <c r="F129" s="45"/>
      <c r="G129" s="45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</row>
    <row r="130" spans="1:26" ht="12.75" customHeight="1" x14ac:dyDescent="0.2">
      <c r="A130" s="251" t="s">
        <v>213</v>
      </c>
      <c r="B130" s="252" t="s">
        <v>182</v>
      </c>
      <c r="C130" s="256">
        <f>'4.Encargos Sociais'!$C$37*100</f>
        <v>71.22548900000001</v>
      </c>
      <c r="D130" s="253">
        <f>E129</f>
        <v>2475.6</v>
      </c>
      <c r="E130" s="253">
        <f>D130*C130/100</f>
        <v>1763.2582056840004</v>
      </c>
      <c r="F130" s="17"/>
      <c r="G130" s="17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 x14ac:dyDescent="0.2">
      <c r="A131" s="262" t="s">
        <v>225</v>
      </c>
      <c r="B131" s="264"/>
      <c r="C131" s="264"/>
      <c r="D131" s="265"/>
      <c r="E131" s="263">
        <f>E129+E130</f>
        <v>4238.8582056840005</v>
      </c>
      <c r="F131" s="45"/>
      <c r="G131" s="45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</row>
    <row r="132" spans="1:26" ht="12.75" customHeight="1" x14ac:dyDescent="0.2">
      <c r="A132" s="251" t="s">
        <v>215</v>
      </c>
      <c r="B132" s="252" t="s">
        <v>216</v>
      </c>
      <c r="C132" s="257">
        <f>'0. Qtdades e Custos'!C19</f>
        <v>4</v>
      </c>
      <c r="D132" s="253">
        <f>E131</f>
        <v>4238.8582056840005</v>
      </c>
      <c r="E132" s="253">
        <f>C132*D132</f>
        <v>16955.432822736002</v>
      </c>
      <c r="F132" s="17"/>
      <c r="G132" s="17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 x14ac:dyDescent="0.2">
      <c r="A133" s="15"/>
      <c r="B133" s="15"/>
      <c r="C133" s="15"/>
      <c r="D133" s="258" t="s">
        <v>217</v>
      </c>
      <c r="E133" s="259">
        <f>$B$99</f>
        <v>1</v>
      </c>
      <c r="F133" s="260">
        <f>E132*E133</f>
        <v>16955.432822736002</v>
      </c>
      <c r="G133" s="17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1.25" customHeight="1" x14ac:dyDescent="0.2">
      <c r="A134" s="15"/>
      <c r="B134" s="15"/>
      <c r="C134" s="15"/>
      <c r="D134" s="17"/>
      <c r="E134" s="17"/>
      <c r="F134" s="17"/>
      <c r="G134" s="17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1.25" customHeight="1" x14ac:dyDescent="0.2">
      <c r="A135" s="15" t="s">
        <v>226</v>
      </c>
      <c r="B135" s="15"/>
      <c r="C135" s="15"/>
      <c r="D135" s="17"/>
      <c r="E135" s="17"/>
      <c r="F135" s="17"/>
      <c r="G135" s="17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1.25" customHeight="1" x14ac:dyDescent="0.2">
      <c r="A136" s="243" t="s">
        <v>202</v>
      </c>
      <c r="B136" s="244" t="s">
        <v>95</v>
      </c>
      <c r="C136" s="244" t="s">
        <v>50</v>
      </c>
      <c r="D136" s="245" t="s">
        <v>203</v>
      </c>
      <c r="E136" s="245" t="s">
        <v>204</v>
      </c>
      <c r="F136" s="246" t="s">
        <v>205</v>
      </c>
      <c r="G136" s="48" t="s">
        <v>227</v>
      </c>
      <c r="H136" s="148"/>
      <c r="I136" s="148"/>
      <c r="J136" s="148"/>
      <c r="K136" s="148"/>
      <c r="L136" s="148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1.25" customHeight="1" x14ac:dyDescent="0.2">
      <c r="A137" s="247" t="s">
        <v>222</v>
      </c>
      <c r="B137" s="248" t="s">
        <v>208</v>
      </c>
      <c r="C137" s="248">
        <v>1</v>
      </c>
      <c r="D137" s="249">
        <v>3224.64</v>
      </c>
      <c r="E137" s="250">
        <f>C137*D137</f>
        <v>3224.64</v>
      </c>
      <c r="F137" s="17"/>
      <c r="G137" s="17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1.25" customHeight="1" x14ac:dyDescent="0.2">
      <c r="A138" s="247" t="s">
        <v>223</v>
      </c>
      <c r="B138" s="248" t="s">
        <v>208</v>
      </c>
      <c r="C138" s="252">
        <v>1</v>
      </c>
      <c r="D138" s="249">
        <v>1518</v>
      </c>
      <c r="E138" s="250"/>
      <c r="F138" s="17"/>
      <c r="G138" s="17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1.25" customHeight="1" x14ac:dyDescent="0.2">
      <c r="A139" s="251" t="s">
        <v>224</v>
      </c>
      <c r="B139" s="252"/>
      <c r="C139" s="261"/>
      <c r="D139" s="253"/>
      <c r="E139" s="253"/>
      <c r="F139" s="17"/>
      <c r="G139" s="17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1.25" customHeight="1" x14ac:dyDescent="0.2">
      <c r="A140" s="251" t="s">
        <v>210</v>
      </c>
      <c r="B140" s="252" t="s">
        <v>182</v>
      </c>
      <c r="C140" s="257">
        <v>0</v>
      </c>
      <c r="D140" s="253">
        <f>IF(C139=2,SUM(E137:E138),IF(C139=1,(SUM(E137:E138))*D138/D137,0))</f>
        <v>0</v>
      </c>
      <c r="E140" s="253">
        <f>C140*D140/100</f>
        <v>0</v>
      </c>
      <c r="F140" s="17"/>
      <c r="G140" s="17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1.25" customHeight="1" x14ac:dyDescent="0.2">
      <c r="A141" s="262" t="s">
        <v>212</v>
      </c>
      <c r="B141" s="135"/>
      <c r="C141" s="135"/>
      <c r="D141" s="39"/>
      <c r="E141" s="263">
        <f>SUM(E137:E140)</f>
        <v>3224.64</v>
      </c>
      <c r="F141" s="45"/>
      <c r="G141" s="45"/>
      <c r="H141" s="40"/>
      <c r="I141" s="40"/>
      <c r="J141" s="40"/>
      <c r="K141" s="40"/>
      <c r="L141" s="40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1.25" customHeight="1" x14ac:dyDescent="0.2">
      <c r="A142" s="251" t="s">
        <v>213</v>
      </c>
      <c r="B142" s="252" t="s">
        <v>182</v>
      </c>
      <c r="C142" s="256">
        <f>'4.Encargos Sociais'!$C$37*100</f>
        <v>71.22548900000001</v>
      </c>
      <c r="D142" s="253">
        <f>E141</f>
        <v>3224.64</v>
      </c>
      <c r="E142" s="253">
        <f>D142*C142/100</f>
        <v>2296.7656084896003</v>
      </c>
      <c r="F142" s="17"/>
      <c r="G142" s="17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1.25" customHeight="1" x14ac:dyDescent="0.2">
      <c r="A143" s="262" t="s">
        <v>225</v>
      </c>
      <c r="B143" s="264"/>
      <c r="C143" s="264"/>
      <c r="D143" s="265"/>
      <c r="E143" s="263">
        <f>E141+E142</f>
        <v>5521.4056084896001</v>
      </c>
      <c r="F143" s="45"/>
      <c r="G143" s="45"/>
      <c r="H143" s="40"/>
      <c r="I143" s="40"/>
      <c r="J143" s="40"/>
      <c r="K143" s="40"/>
      <c r="L143" s="40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1.25" customHeight="1" x14ac:dyDescent="0.2">
      <c r="A144" s="251" t="s">
        <v>215</v>
      </c>
      <c r="B144" s="252" t="s">
        <v>216</v>
      </c>
      <c r="C144" s="257">
        <f>'0. Qtdades e Custos'!C20</f>
        <v>4</v>
      </c>
      <c r="D144" s="253">
        <f>E143</f>
        <v>5521.4056084896001</v>
      </c>
      <c r="E144" s="253">
        <f>C144*D144</f>
        <v>22085.622433958401</v>
      </c>
      <c r="F144" s="17"/>
      <c r="G144" s="17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1.25" customHeight="1" x14ac:dyDescent="0.2">
      <c r="A145" s="15"/>
      <c r="B145" s="15"/>
      <c r="C145" s="15"/>
      <c r="D145" s="258" t="s">
        <v>217</v>
      </c>
      <c r="E145" s="259">
        <f>$B$99</f>
        <v>1</v>
      </c>
      <c r="F145" s="260">
        <f>E144*E145</f>
        <v>22085.622433958401</v>
      </c>
      <c r="G145" s="17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1.25" customHeight="1" x14ac:dyDescent="0.2">
      <c r="A146" s="15"/>
      <c r="B146" s="15"/>
      <c r="C146" s="15"/>
      <c r="D146" s="17"/>
      <c r="E146" s="17"/>
      <c r="F146" s="17"/>
      <c r="G146" s="17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1.25" customHeight="1" x14ac:dyDescent="0.2">
      <c r="A147" s="15" t="s">
        <v>228</v>
      </c>
      <c r="B147" s="15"/>
      <c r="C147" s="15"/>
      <c r="D147" s="17"/>
      <c r="E147" s="17"/>
      <c r="F147" s="17"/>
      <c r="G147" s="17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1.25" customHeight="1" x14ac:dyDescent="0.2">
      <c r="A148" s="243" t="s">
        <v>202</v>
      </c>
      <c r="B148" s="244" t="s">
        <v>95</v>
      </c>
      <c r="C148" s="244" t="s">
        <v>50</v>
      </c>
      <c r="D148" s="245" t="s">
        <v>203</v>
      </c>
      <c r="E148" s="245" t="s">
        <v>204</v>
      </c>
      <c r="F148" s="246" t="s">
        <v>205</v>
      </c>
      <c r="G148" s="48" t="s">
        <v>221</v>
      </c>
      <c r="H148" s="148"/>
      <c r="I148" s="148"/>
      <c r="J148" s="148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1.25" customHeight="1" x14ac:dyDescent="0.2">
      <c r="A149" s="247" t="s">
        <v>222</v>
      </c>
      <c r="B149" s="248" t="s">
        <v>208</v>
      </c>
      <c r="C149" s="248">
        <v>1</v>
      </c>
      <c r="D149" s="249">
        <v>2185.73</v>
      </c>
      <c r="E149" s="250">
        <f>C149*D149</f>
        <v>2185.73</v>
      </c>
      <c r="F149" s="17"/>
      <c r="G149" s="17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1.25" customHeight="1" x14ac:dyDescent="0.2">
      <c r="A150" s="247" t="s">
        <v>223</v>
      </c>
      <c r="B150" s="248" t="s">
        <v>208</v>
      </c>
      <c r="C150" s="248">
        <v>1</v>
      </c>
      <c r="D150" s="249">
        <v>1518</v>
      </c>
      <c r="E150" s="250"/>
      <c r="F150" s="17"/>
      <c r="G150" s="17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1.25" customHeight="1" x14ac:dyDescent="0.2">
      <c r="A151" s="251" t="s">
        <v>224</v>
      </c>
      <c r="B151" s="252"/>
      <c r="C151" s="261"/>
      <c r="D151" s="253"/>
      <c r="E151" s="253"/>
      <c r="F151" s="17"/>
      <c r="G151" s="17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1.25" customHeight="1" x14ac:dyDescent="0.2">
      <c r="A152" s="251" t="s">
        <v>210</v>
      </c>
      <c r="B152" s="252" t="s">
        <v>182</v>
      </c>
      <c r="C152" s="257">
        <v>0</v>
      </c>
      <c r="D152" s="253">
        <f>IF(C151=2,SUM(E149:E150),IF(C151=1,(SUM(E149:E150))*D150/D149,0))</f>
        <v>0</v>
      </c>
      <c r="E152" s="253">
        <f>C152*D152/100</f>
        <v>0</v>
      </c>
      <c r="F152" s="17"/>
      <c r="G152" s="17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1.25" customHeight="1" x14ac:dyDescent="0.2">
      <c r="A153" s="262" t="s">
        <v>212</v>
      </c>
      <c r="B153" s="135"/>
      <c r="C153" s="135"/>
      <c r="D153" s="39"/>
      <c r="E153" s="263">
        <f>SUM(E149:E152)</f>
        <v>2185.73</v>
      </c>
      <c r="F153" s="45"/>
      <c r="G153" s="45"/>
      <c r="H153" s="40"/>
      <c r="I153" s="40"/>
      <c r="J153" s="40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1.25" customHeight="1" x14ac:dyDescent="0.2">
      <c r="A154" s="251" t="s">
        <v>213</v>
      </c>
      <c r="B154" s="252" t="s">
        <v>182</v>
      </c>
      <c r="C154" s="256">
        <f>'4.Encargos Sociais'!$C$37*100</f>
        <v>71.22548900000001</v>
      </c>
      <c r="D154" s="253">
        <f>E153</f>
        <v>2185.73</v>
      </c>
      <c r="E154" s="253">
        <f>D154*C154/100</f>
        <v>1556.7968807197001</v>
      </c>
      <c r="F154" s="17"/>
      <c r="G154" s="17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1.25" customHeight="1" x14ac:dyDescent="0.2">
      <c r="A155" s="262" t="s">
        <v>225</v>
      </c>
      <c r="B155" s="264"/>
      <c r="C155" s="264"/>
      <c r="D155" s="265"/>
      <c r="E155" s="263">
        <f>E153+E154</f>
        <v>3742.5268807196999</v>
      </c>
      <c r="F155" s="45"/>
      <c r="G155" s="45"/>
      <c r="H155" s="40"/>
      <c r="I155" s="40"/>
      <c r="J155" s="40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1.25" customHeight="1" x14ac:dyDescent="0.2">
      <c r="A156" s="251" t="s">
        <v>215</v>
      </c>
      <c r="B156" s="252" t="s">
        <v>216</v>
      </c>
      <c r="C156" s="257">
        <f>'0. Qtdades e Custos'!C22</f>
        <v>7</v>
      </c>
      <c r="D156" s="253">
        <f>E155</f>
        <v>3742.5268807196999</v>
      </c>
      <c r="E156" s="253">
        <f>C156*D156</f>
        <v>26197.6881650379</v>
      </c>
      <c r="F156" s="17"/>
      <c r="G156" s="17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1.25" customHeight="1" x14ac:dyDescent="0.2">
      <c r="A157" s="15"/>
      <c r="B157" s="15"/>
      <c r="C157" s="15"/>
      <c r="D157" s="258" t="s">
        <v>217</v>
      </c>
      <c r="E157" s="259">
        <f>$B$99</f>
        <v>1</v>
      </c>
      <c r="F157" s="260">
        <f>E156*E157</f>
        <v>26197.6881650379</v>
      </c>
      <c r="G157" s="17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1.25" customHeight="1" x14ac:dyDescent="0.2">
      <c r="A158" s="15"/>
      <c r="B158" s="15"/>
      <c r="C158" s="15"/>
      <c r="D158" s="17"/>
      <c r="E158" s="17"/>
      <c r="F158" s="17"/>
      <c r="G158" s="17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1.25" customHeight="1" x14ac:dyDescent="0.2">
      <c r="A159" s="15"/>
      <c r="B159" s="15"/>
      <c r="C159" s="15"/>
      <c r="D159" s="17"/>
      <c r="E159" s="17"/>
      <c r="F159" s="17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 x14ac:dyDescent="0.2">
      <c r="A160" s="15" t="s">
        <v>229</v>
      </c>
      <c r="B160" s="266"/>
      <c r="C160" s="15"/>
      <c r="D160" s="15"/>
      <c r="E160" s="15"/>
      <c r="F160" s="17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 x14ac:dyDescent="0.2">
      <c r="A161" s="243" t="s">
        <v>202</v>
      </c>
      <c r="B161" s="244" t="s">
        <v>95</v>
      </c>
      <c r="C161" s="244" t="s">
        <v>50</v>
      </c>
      <c r="D161" s="245" t="s">
        <v>203</v>
      </c>
      <c r="E161" s="245" t="s">
        <v>204</v>
      </c>
      <c r="F161" s="246" t="s">
        <v>205</v>
      </c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 x14ac:dyDescent="0.2">
      <c r="A162" s="251" t="s">
        <v>230</v>
      </c>
      <c r="B162" s="252" t="s">
        <v>231</v>
      </c>
      <c r="C162" s="267">
        <v>1</v>
      </c>
      <c r="D162" s="268">
        <v>5.5</v>
      </c>
      <c r="E162" s="253"/>
      <c r="F162" s="17"/>
      <c r="G162" s="15" t="s">
        <v>232</v>
      </c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 x14ac:dyDescent="0.2">
      <c r="A163" s="251" t="s">
        <v>233</v>
      </c>
      <c r="B163" s="252" t="s">
        <v>234</v>
      </c>
      <c r="C163" s="269">
        <v>25.25</v>
      </c>
      <c r="D163" s="253"/>
      <c r="E163" s="253"/>
      <c r="F163" s="17"/>
      <c r="G163" s="15" t="s">
        <v>235</v>
      </c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 x14ac:dyDescent="0.2">
      <c r="A164" s="251" t="str">
        <f>A103</f>
        <v>1.1. Operários/Agentes de Limpeza</v>
      </c>
      <c r="B164" s="252" t="s">
        <v>236</v>
      </c>
      <c r="C164" s="270">
        <f>$C$163*2*(C110)</f>
        <v>4040</v>
      </c>
      <c r="D164" s="250">
        <f>IFERROR((($C$163*2*$D$162)-(E105*0.06*$C$163/26))/($C$163*2),"-")</f>
        <v>3.4234461538461538</v>
      </c>
      <c r="E164" s="253">
        <f>IFERROR(C164*D164,"-")</f>
        <v>13830.722461538462</v>
      </c>
      <c r="F164" s="17"/>
      <c r="G164" s="17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 x14ac:dyDescent="0.2">
      <c r="A165" s="251" t="str">
        <f>A113</f>
        <v>1.2. Encarregado de Equipe</v>
      </c>
      <c r="B165" s="252" t="s">
        <v>236</v>
      </c>
      <c r="C165" s="270">
        <f>$C$163*2*(C120)</f>
        <v>202</v>
      </c>
      <c r="D165" s="250">
        <f>IFERROR((($C$163*2*$D$162)-(E115*0.06*$C$163/26))/($C$163*2),"-")</f>
        <v>2.8530769230769231</v>
      </c>
      <c r="E165" s="253">
        <f>IFERROR(C165*D165,"-")</f>
        <v>576.32153846153847</v>
      </c>
      <c r="F165" s="17"/>
      <c r="G165" s="17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 x14ac:dyDescent="0.2">
      <c r="A166" s="251" t="str">
        <f>A123</f>
        <v>1.3. Motorista Caminhão</v>
      </c>
      <c r="B166" s="252" t="s">
        <v>236</v>
      </c>
      <c r="C166" s="270">
        <f>$C$163*2*(C132)</f>
        <v>202</v>
      </c>
      <c r="D166" s="250">
        <f>IFERROR((($C$163*2*$D$162)-(E125*0.06*$C$163/26))/($C$163*2),"-")</f>
        <v>2.6435384615384612</v>
      </c>
      <c r="E166" s="253">
        <f>IFERROR(C166*D166,"-")</f>
        <v>533.99476923076918</v>
      </c>
      <c r="F166" s="17"/>
      <c r="G166" s="17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 x14ac:dyDescent="0.2">
      <c r="A167" s="251" t="str">
        <f>A135</f>
        <v>1.4. Motorista Micro Ônibus Urbano</v>
      </c>
      <c r="B167" s="252" t="s">
        <v>236</v>
      </c>
      <c r="C167" s="270">
        <f>$C$163*2*(C144)</f>
        <v>202</v>
      </c>
      <c r="D167" s="250">
        <f>IFERROR((($C$163*2*$D$162)-(E137*0.06*$C$163/26))/($C$163*2),"-")</f>
        <v>1.7792615384615384</v>
      </c>
      <c r="E167" s="253">
        <f>IFERROR(C167*D167,"-")</f>
        <v>359.41083076923076</v>
      </c>
      <c r="F167" s="17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 x14ac:dyDescent="0.2">
      <c r="A168" s="271" t="str">
        <f>A147</f>
        <v>1.5. Operador de Máquina Rodoviária (Minicarregadeira e Trator Capinadeira)</v>
      </c>
      <c r="B168" s="248" t="s">
        <v>236</v>
      </c>
      <c r="C168" s="270">
        <f>$C$163*2*(C156)</f>
        <v>353.5</v>
      </c>
      <c r="D168" s="250">
        <f>IFERROR((($C$163*2*$D$162)-(E149*0.06*$C$163/26))/($C$163*2),"-")</f>
        <v>2.9780038461538467</v>
      </c>
      <c r="E168" s="250">
        <f>IFERROR(C168*D168,"-")</f>
        <v>1052.7243596153849</v>
      </c>
      <c r="F168" s="17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 x14ac:dyDescent="0.2">
      <c r="A169" s="15"/>
      <c r="B169" s="15"/>
      <c r="C169" s="15"/>
      <c r="D169" s="17"/>
      <c r="E169" s="17"/>
      <c r="F169" s="272">
        <f>SUM(E164:E168)</f>
        <v>16353.173959615386</v>
      </c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1.25" customHeight="1" x14ac:dyDescent="0.2">
      <c r="A170" s="15"/>
      <c r="B170" s="15"/>
      <c r="C170" s="15"/>
      <c r="D170" s="17"/>
      <c r="E170" s="17"/>
      <c r="F170" s="17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 x14ac:dyDescent="0.2">
      <c r="A171" s="15" t="s">
        <v>237</v>
      </c>
      <c r="B171" s="15"/>
      <c r="C171" s="15"/>
      <c r="D171" s="17"/>
      <c r="E171" s="17"/>
      <c r="F171" s="4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 x14ac:dyDescent="0.2">
      <c r="A172" s="243" t="s">
        <v>202</v>
      </c>
      <c r="B172" s="244" t="s">
        <v>95</v>
      </c>
      <c r="C172" s="244" t="s">
        <v>50</v>
      </c>
      <c r="D172" s="245" t="s">
        <v>203</v>
      </c>
      <c r="E172" s="245" t="s">
        <v>204</v>
      </c>
      <c r="F172" s="246" t="s">
        <v>205</v>
      </c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 x14ac:dyDescent="0.2">
      <c r="A173" s="251" t="str">
        <f>+A164</f>
        <v>1.1. Operários/Agentes de Limpeza</v>
      </c>
      <c r="B173" s="252" t="s">
        <v>238</v>
      </c>
      <c r="C173" s="270">
        <f>$C$163*(E82)</f>
        <v>2020</v>
      </c>
      <c r="D173" s="273">
        <v>21.99</v>
      </c>
      <c r="E173" s="259">
        <f>C173*D173</f>
        <v>44419.799999999996</v>
      </c>
      <c r="F173" s="45"/>
      <c r="G173" s="48" t="s">
        <v>206</v>
      </c>
      <c r="H173" s="15" t="s">
        <v>239</v>
      </c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 x14ac:dyDescent="0.2">
      <c r="A174" s="251" t="str">
        <f>+A165</f>
        <v>1.2. Encarregado de Equipe</v>
      </c>
      <c r="B174" s="252" t="s">
        <v>238</v>
      </c>
      <c r="C174" s="270">
        <f>$C$163*(E83)</f>
        <v>101</v>
      </c>
      <c r="D174" s="273">
        <v>21.99</v>
      </c>
      <c r="E174" s="259">
        <f>C174*D174</f>
        <v>2220.9899999999998</v>
      </c>
      <c r="F174" s="45"/>
      <c r="G174" s="48" t="s">
        <v>206</v>
      </c>
      <c r="H174" s="15" t="s">
        <v>239</v>
      </c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 x14ac:dyDescent="0.2">
      <c r="A175" s="251" t="str">
        <f>+A166</f>
        <v>1.3. Motorista Caminhão</v>
      </c>
      <c r="B175" s="252" t="s">
        <v>238</v>
      </c>
      <c r="C175" s="270">
        <f>$C$163*(E84)</f>
        <v>101</v>
      </c>
      <c r="D175" s="273">
        <v>19</v>
      </c>
      <c r="E175" s="259">
        <f>C175*D175</f>
        <v>1919</v>
      </c>
      <c r="F175" s="45"/>
      <c r="G175" s="48" t="s">
        <v>221</v>
      </c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 x14ac:dyDescent="0.2">
      <c r="A176" s="251" t="str">
        <f>+A167</f>
        <v>1.4. Motorista Micro Ônibus Urbano</v>
      </c>
      <c r="B176" s="252" t="s">
        <v>238</v>
      </c>
      <c r="C176" s="270">
        <f>$C$163*(E85)</f>
        <v>101</v>
      </c>
      <c r="D176" s="273">
        <v>35</v>
      </c>
      <c r="E176" s="259">
        <f>C176*D176</f>
        <v>3535</v>
      </c>
      <c r="F176" s="45"/>
      <c r="G176" s="48" t="s">
        <v>227</v>
      </c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2.75" customHeight="1" x14ac:dyDescent="0.2">
      <c r="A177" s="274" t="str">
        <f>+A168</f>
        <v>1.5. Operador de Máquina Rodoviária (Minicarregadeira e Trator Capinadeira)</v>
      </c>
      <c r="B177" s="252" t="s">
        <v>238</v>
      </c>
      <c r="C177" s="270">
        <f>$C$163*(E86)</f>
        <v>176.75</v>
      </c>
      <c r="D177" s="273">
        <v>19</v>
      </c>
      <c r="E177" s="259">
        <f>C177*D177</f>
        <v>3358.25</v>
      </c>
      <c r="F177" s="45"/>
      <c r="G177" s="48" t="s">
        <v>221</v>
      </c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customHeight="1" x14ac:dyDescent="0.2">
      <c r="A178" s="15"/>
      <c r="B178" s="15"/>
      <c r="C178" s="15"/>
      <c r="D178" s="17"/>
      <c r="E178" s="17"/>
      <c r="F178" s="272">
        <f>SUM(E173:E177)</f>
        <v>55453.039999999994</v>
      </c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customHeight="1" x14ac:dyDescent="0.2">
      <c r="A179" s="15"/>
      <c r="B179" s="15"/>
      <c r="C179" s="15"/>
      <c r="D179" s="17"/>
      <c r="E179" s="17"/>
      <c r="F179" s="17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customHeight="1" x14ac:dyDescent="0.2">
      <c r="A180" s="15" t="s">
        <v>240</v>
      </c>
      <c r="B180" s="15"/>
      <c r="C180" s="15"/>
      <c r="D180" s="17"/>
      <c r="E180" s="17"/>
      <c r="F180" s="4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customHeight="1" x14ac:dyDescent="0.2">
      <c r="A181" s="243" t="s">
        <v>202</v>
      </c>
      <c r="B181" s="244" t="s">
        <v>95</v>
      </c>
      <c r="C181" s="244" t="s">
        <v>50</v>
      </c>
      <c r="D181" s="245" t="s">
        <v>203</v>
      </c>
      <c r="E181" s="245" t="s">
        <v>204</v>
      </c>
      <c r="F181" s="246" t="s">
        <v>205</v>
      </c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customHeight="1" x14ac:dyDescent="0.2">
      <c r="A182" s="251" t="str">
        <f>+A173</f>
        <v>1.1. Operários/Agentes de Limpeza</v>
      </c>
      <c r="B182" s="252" t="s">
        <v>238</v>
      </c>
      <c r="C182" s="270">
        <f>E82</f>
        <v>80</v>
      </c>
      <c r="D182" s="273">
        <v>0</v>
      </c>
      <c r="E182" s="259">
        <f>C182*D182</f>
        <v>0</v>
      </c>
      <c r="F182" s="4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customHeight="1" x14ac:dyDescent="0.2">
      <c r="A183" s="251" t="str">
        <f>+A174</f>
        <v>1.2. Encarregado de Equipe</v>
      </c>
      <c r="B183" s="252" t="s">
        <v>238</v>
      </c>
      <c r="C183" s="270">
        <f>E83</f>
        <v>4</v>
      </c>
      <c r="D183" s="273">
        <v>0</v>
      </c>
      <c r="E183" s="259">
        <f>C183*D183</f>
        <v>0</v>
      </c>
      <c r="F183" s="4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customHeight="1" x14ac:dyDescent="0.2">
      <c r="A184" s="251" t="str">
        <f>+A175</f>
        <v>1.3. Motorista Caminhão</v>
      </c>
      <c r="B184" s="252" t="s">
        <v>238</v>
      </c>
      <c r="C184" s="270">
        <f>E84</f>
        <v>4</v>
      </c>
      <c r="D184" s="273">
        <v>138</v>
      </c>
      <c r="E184" s="259">
        <f>C184*D184</f>
        <v>552</v>
      </c>
      <c r="F184" s="45"/>
      <c r="G184" s="48" t="s">
        <v>221</v>
      </c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customHeight="1" x14ac:dyDescent="0.2">
      <c r="A185" s="251" t="str">
        <f>+A176</f>
        <v>1.4. Motorista Micro Ônibus Urbano</v>
      </c>
      <c r="B185" s="252" t="s">
        <v>238</v>
      </c>
      <c r="C185" s="270">
        <f>E85</f>
        <v>4</v>
      </c>
      <c r="D185" s="273">
        <v>210</v>
      </c>
      <c r="E185" s="259">
        <f>C185*D185</f>
        <v>840</v>
      </c>
      <c r="F185" s="45"/>
      <c r="G185" s="48" t="s">
        <v>227</v>
      </c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2.75" customHeight="1" x14ac:dyDescent="0.2">
      <c r="A186" s="274" t="str">
        <f>+A177</f>
        <v>1.5. Operador de Máquina Rodoviária (Minicarregadeira e Trator Capinadeira)</v>
      </c>
      <c r="B186" s="252" t="s">
        <v>238</v>
      </c>
      <c r="C186" s="270">
        <f>E86</f>
        <v>7</v>
      </c>
      <c r="D186" s="273">
        <v>138</v>
      </c>
      <c r="E186" s="259">
        <f>C186*D186</f>
        <v>966</v>
      </c>
      <c r="F186" s="45"/>
      <c r="G186" s="48" t="s">
        <v>221</v>
      </c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 x14ac:dyDescent="0.2">
      <c r="A187" s="15"/>
      <c r="B187" s="15"/>
      <c r="C187" s="15"/>
      <c r="D187" s="258" t="s">
        <v>217</v>
      </c>
      <c r="E187" s="259">
        <f>$B$99</f>
        <v>1</v>
      </c>
      <c r="F187" s="272">
        <f>SUM(E182:E186)*E187</f>
        <v>2358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2.75" customHeight="1" x14ac:dyDescent="0.2">
      <c r="A188" s="15"/>
      <c r="B188" s="15"/>
      <c r="C188" s="15"/>
      <c r="D188" s="17"/>
      <c r="E188" s="17"/>
      <c r="F188" s="17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customHeight="1" x14ac:dyDescent="0.2">
      <c r="A189" s="275" t="s">
        <v>241</v>
      </c>
      <c r="B189" s="15"/>
      <c r="C189" s="15"/>
      <c r="D189" s="17"/>
      <c r="E189" s="17"/>
      <c r="F189" s="17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2.75" customHeight="1" x14ac:dyDescent="0.2">
      <c r="A190" s="243" t="s">
        <v>202</v>
      </c>
      <c r="B190" s="244" t="s">
        <v>95</v>
      </c>
      <c r="C190" s="244" t="s">
        <v>50</v>
      </c>
      <c r="D190" s="245" t="s">
        <v>203</v>
      </c>
      <c r="E190" s="245" t="s">
        <v>204</v>
      </c>
      <c r="F190" s="246" t="s">
        <v>205</v>
      </c>
      <c r="G190" s="48" t="s">
        <v>206</v>
      </c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customHeight="1" x14ac:dyDescent="0.2">
      <c r="A191" s="251" t="str">
        <f>+A182</f>
        <v>1.1. Operários/Agentes de Limpeza</v>
      </c>
      <c r="B191" s="252" t="s">
        <v>238</v>
      </c>
      <c r="C191" s="270">
        <f>E82</f>
        <v>80</v>
      </c>
      <c r="D191" s="273">
        <v>25.52</v>
      </c>
      <c r="E191" s="259">
        <f>C191*D191</f>
        <v>2041.6</v>
      </c>
      <c r="F191" s="45"/>
      <c r="G191" s="17" t="s">
        <v>209</v>
      </c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customHeight="1" x14ac:dyDescent="0.2">
      <c r="A192" s="251" t="str">
        <f>+A183</f>
        <v>1.2. Encarregado de Equipe</v>
      </c>
      <c r="B192" s="252" t="s">
        <v>238</v>
      </c>
      <c r="C192" s="270">
        <f>E83</f>
        <v>4</v>
      </c>
      <c r="D192" s="273">
        <v>0</v>
      </c>
      <c r="E192" s="259">
        <f>C192*D192</f>
        <v>0</v>
      </c>
      <c r="F192" s="45"/>
      <c r="G192" s="17" t="s">
        <v>211</v>
      </c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customHeight="1" x14ac:dyDescent="0.2">
      <c r="A193" s="251" t="str">
        <f>+A184</f>
        <v>1.3. Motorista Caminhão</v>
      </c>
      <c r="B193" s="252" t="s">
        <v>238</v>
      </c>
      <c r="C193" s="270">
        <f>E84</f>
        <v>4</v>
      </c>
      <c r="D193" s="273">
        <v>0</v>
      </c>
      <c r="E193" s="259">
        <f>C193*D193</f>
        <v>0</v>
      </c>
      <c r="F193" s="45"/>
      <c r="G193" s="17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customHeight="1" x14ac:dyDescent="0.2">
      <c r="A194" s="251" t="str">
        <f>+A185</f>
        <v>1.4. Motorista Micro Ônibus Urbano</v>
      </c>
      <c r="B194" s="252" t="s">
        <v>238</v>
      </c>
      <c r="C194" s="270">
        <f>E85</f>
        <v>4</v>
      </c>
      <c r="D194" s="273">
        <v>0</v>
      </c>
      <c r="E194" s="259">
        <f>C194*D194</f>
        <v>0</v>
      </c>
      <c r="F194" s="45"/>
      <c r="G194" s="17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customHeight="1" x14ac:dyDescent="0.2">
      <c r="A195" s="274" t="str">
        <f>+A186</f>
        <v>1.5. Operador de Máquina Rodoviária (Minicarregadeira e Trator Capinadeira)</v>
      </c>
      <c r="B195" s="252" t="s">
        <v>238</v>
      </c>
      <c r="C195" s="270">
        <f>E86</f>
        <v>7</v>
      </c>
      <c r="D195" s="273">
        <v>0</v>
      </c>
      <c r="E195" s="259">
        <f>C195*D195</f>
        <v>0</v>
      </c>
      <c r="F195" s="4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customHeight="1" x14ac:dyDescent="0.2">
      <c r="A196" s="15"/>
      <c r="B196" s="15"/>
      <c r="C196" s="15"/>
      <c r="D196" s="258" t="s">
        <v>217</v>
      </c>
      <c r="E196" s="259">
        <f>$B$99</f>
        <v>1</v>
      </c>
      <c r="F196" s="272">
        <f>SUM(E191:E195)*E196</f>
        <v>2041.6</v>
      </c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customHeight="1" x14ac:dyDescent="0.2">
      <c r="A197" s="15"/>
      <c r="B197" s="15"/>
      <c r="C197" s="15"/>
      <c r="D197" s="17"/>
      <c r="E197" s="17"/>
      <c r="F197" s="17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customHeight="1" x14ac:dyDescent="0.2">
      <c r="A198" s="276" t="s">
        <v>242</v>
      </c>
      <c r="B198" s="277"/>
      <c r="C198" s="277"/>
      <c r="D198" s="215"/>
      <c r="E198" s="278"/>
      <c r="F198" s="272">
        <f>F111+F121+F133+F145+F157+F169+F178+F187+F196</f>
        <v>508570.08720898611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customHeight="1" x14ac:dyDescent="0.2">
      <c r="A199" s="15"/>
      <c r="B199" s="15"/>
      <c r="C199" s="15"/>
      <c r="D199" s="17"/>
      <c r="E199" s="17"/>
      <c r="F199" s="17"/>
      <c r="G199" s="17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customHeight="1" x14ac:dyDescent="0.2">
      <c r="A200" s="40" t="s">
        <v>243</v>
      </c>
      <c r="B200" s="15"/>
      <c r="C200" s="15"/>
      <c r="D200" s="17"/>
      <c r="E200" s="17"/>
      <c r="F200" s="17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1.25" customHeight="1" x14ac:dyDescent="0.2">
      <c r="A201" s="15"/>
      <c r="B201" s="15"/>
      <c r="C201" s="15"/>
      <c r="D201" s="17"/>
      <c r="E201" s="17"/>
      <c r="F201" s="17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3.5" customHeight="1" x14ac:dyDescent="0.2">
      <c r="A202" s="15" t="s">
        <v>244</v>
      </c>
      <c r="B202" s="15"/>
      <c r="C202" s="15"/>
      <c r="D202" s="17"/>
      <c r="E202" s="17"/>
      <c r="F202" s="17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1.25" customHeight="1" x14ac:dyDescent="0.2">
      <c r="A203" s="15"/>
      <c r="B203" s="15"/>
      <c r="C203" s="15"/>
      <c r="D203" s="17"/>
      <c r="E203" s="17"/>
      <c r="F203" s="17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27.75" customHeight="1" x14ac:dyDescent="0.2">
      <c r="A204" s="243" t="s">
        <v>202</v>
      </c>
      <c r="B204" s="244" t="s">
        <v>95</v>
      </c>
      <c r="C204" s="279" t="s">
        <v>245</v>
      </c>
      <c r="D204" s="245" t="s">
        <v>203</v>
      </c>
      <c r="E204" s="245" t="s">
        <v>204</v>
      </c>
      <c r="F204" s="246" t="s">
        <v>205</v>
      </c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 x14ac:dyDescent="0.2">
      <c r="A205" s="280" t="s">
        <v>128</v>
      </c>
      <c r="B205" s="248" t="s">
        <v>238</v>
      </c>
      <c r="C205" s="281">
        <f>12/'0. Qtdades e Custos'!C98</f>
        <v>12</v>
      </c>
      <c r="D205" s="249">
        <f>VLOOKUP(A205,'0. Qtdades e Custos'!$B$154:$F$168,4,0)</f>
        <v>155.66</v>
      </c>
      <c r="E205" s="250">
        <f t="shared" ref="E205:E217" si="2">IFERROR(D205/C205,0)</f>
        <v>12.971666666666666</v>
      </c>
      <c r="F205" s="17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 x14ac:dyDescent="0.2">
      <c r="A206" s="280" t="s">
        <v>129</v>
      </c>
      <c r="B206" s="252" t="s">
        <v>238</v>
      </c>
      <c r="C206" s="281">
        <f>12/'0. Qtdades e Custos'!C99</f>
        <v>2</v>
      </c>
      <c r="D206" s="249">
        <f>VLOOKUP(A206,'0. Qtdades e Custos'!$B$154:$F$168,4,0)</f>
        <v>60.73</v>
      </c>
      <c r="E206" s="250">
        <f t="shared" si="2"/>
        <v>30.364999999999998</v>
      </c>
      <c r="F206" s="17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customHeight="1" x14ac:dyDescent="0.2">
      <c r="A207" s="280" t="s">
        <v>130</v>
      </c>
      <c r="B207" s="252" t="s">
        <v>238</v>
      </c>
      <c r="C207" s="281">
        <f>12/'0. Qtdades e Custos'!C100</f>
        <v>2</v>
      </c>
      <c r="D207" s="249">
        <f>VLOOKUP(A207,'0. Qtdades e Custos'!$B$154:$F$168,4,0)</f>
        <v>36.630000000000003</v>
      </c>
      <c r="E207" s="250">
        <f t="shared" si="2"/>
        <v>18.315000000000001</v>
      </c>
      <c r="F207" s="17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 x14ac:dyDescent="0.2">
      <c r="A208" s="280" t="s">
        <v>131</v>
      </c>
      <c r="B208" s="252" t="s">
        <v>238</v>
      </c>
      <c r="C208" s="281">
        <f>12/'0. Qtdades e Custos'!C101</f>
        <v>2</v>
      </c>
      <c r="D208" s="249">
        <f>VLOOKUP(A208,'0. Qtdades e Custos'!$B$154:$F$168,4,0)</f>
        <v>34.630000000000003</v>
      </c>
      <c r="E208" s="250">
        <f t="shared" si="2"/>
        <v>17.315000000000001</v>
      </c>
      <c r="F208" s="17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 x14ac:dyDescent="0.2">
      <c r="A209" s="280" t="s">
        <v>132</v>
      </c>
      <c r="B209" s="252" t="s">
        <v>238</v>
      </c>
      <c r="C209" s="281">
        <f>12/'0. Qtdades e Custos'!C102</f>
        <v>4</v>
      </c>
      <c r="D209" s="249">
        <f>VLOOKUP(A209,'0. Qtdades e Custos'!$B$154:$F$168,4,0)</f>
        <v>25.1</v>
      </c>
      <c r="E209" s="250">
        <f t="shared" si="2"/>
        <v>6.2750000000000004</v>
      </c>
      <c r="F209" s="17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2.75" customHeight="1" x14ac:dyDescent="0.2">
      <c r="A210" s="280" t="s">
        <v>133</v>
      </c>
      <c r="B210" s="252" t="s">
        <v>238</v>
      </c>
      <c r="C210" s="281">
        <f>12/'0. Qtdades e Custos'!C103</f>
        <v>4</v>
      </c>
      <c r="D210" s="249">
        <f>VLOOKUP(A210,'0. Qtdades e Custos'!$B$154:$F$168,4,0)</f>
        <v>4.28</v>
      </c>
      <c r="E210" s="250">
        <f t="shared" si="2"/>
        <v>1.07</v>
      </c>
      <c r="F210" s="17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2.75" customHeight="1" x14ac:dyDescent="0.2">
      <c r="A211" s="280" t="s">
        <v>134</v>
      </c>
      <c r="B211" s="252" t="s">
        <v>238</v>
      </c>
      <c r="C211" s="281">
        <f>12/'0. Qtdades e Custos'!C104</f>
        <v>1</v>
      </c>
      <c r="D211" s="249">
        <f>VLOOKUP(A211,'0. Qtdades e Custos'!$B$154:$F$168,4,0)</f>
        <v>1.1499999999999999</v>
      </c>
      <c r="E211" s="250">
        <f t="shared" si="2"/>
        <v>1.1499999999999999</v>
      </c>
      <c r="F211" s="17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.75" customHeight="1" x14ac:dyDescent="0.2">
      <c r="A212" s="280" t="s">
        <v>135</v>
      </c>
      <c r="B212" s="252" t="s">
        <v>238</v>
      </c>
      <c r="C212" s="281">
        <f>12/'0. Qtdades e Custos'!C105</f>
        <v>4</v>
      </c>
      <c r="D212" s="249">
        <f>VLOOKUP(A212,'0. Qtdades e Custos'!$B$154:$F$168,4,0)</f>
        <v>18</v>
      </c>
      <c r="E212" s="250">
        <f t="shared" si="2"/>
        <v>4.5</v>
      </c>
      <c r="F212" s="17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 x14ac:dyDescent="0.2">
      <c r="A213" s="280" t="s">
        <v>136</v>
      </c>
      <c r="B213" s="252" t="s">
        <v>238</v>
      </c>
      <c r="C213" s="281">
        <f>12/'0. Qtdades e Custos'!C106</f>
        <v>4</v>
      </c>
      <c r="D213" s="249">
        <f>VLOOKUP(A213,'0. Qtdades e Custos'!$B$154:$F$168,4,0)</f>
        <v>13.18</v>
      </c>
      <c r="E213" s="250">
        <f t="shared" si="2"/>
        <v>3.2949999999999999</v>
      </c>
      <c r="F213" s="17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3.5" customHeight="1" x14ac:dyDescent="0.2">
      <c r="A214" s="280" t="s">
        <v>137</v>
      </c>
      <c r="B214" s="252" t="s">
        <v>159</v>
      </c>
      <c r="C214" s="281">
        <f>12/'0. Qtdades e Custos'!C107</f>
        <v>0.5</v>
      </c>
      <c r="D214" s="249">
        <f>VLOOKUP(A214,'0. Qtdades e Custos'!$B$154:$F$168,4,0)</f>
        <v>2.58</v>
      </c>
      <c r="E214" s="250">
        <f t="shared" si="2"/>
        <v>5.16</v>
      </c>
      <c r="F214" s="17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 x14ac:dyDescent="0.2">
      <c r="A215" s="280" t="s">
        <v>138</v>
      </c>
      <c r="B215" s="252" t="s">
        <v>238</v>
      </c>
      <c r="C215" s="281">
        <f>12/'0. Qtdades e Custos'!C108</f>
        <v>1.3333333333333333</v>
      </c>
      <c r="D215" s="249">
        <f>VLOOKUP(A215,'0. Qtdades e Custos'!$B$154:$F$168,4,0)</f>
        <v>33.130000000000003</v>
      </c>
      <c r="E215" s="250">
        <f t="shared" si="2"/>
        <v>24.847500000000004</v>
      </c>
      <c r="F215" s="17"/>
      <c r="G215" s="17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 x14ac:dyDescent="0.2">
      <c r="A216" s="280" t="s">
        <v>139</v>
      </c>
      <c r="B216" s="252" t="s">
        <v>159</v>
      </c>
      <c r="C216" s="281">
        <f>12/'0. Qtdades e Custos'!C109</f>
        <v>2</v>
      </c>
      <c r="D216" s="249">
        <f>VLOOKUP(A216,'0. Qtdades e Custos'!$B$154:$F$168,4,0)</f>
        <v>43.29</v>
      </c>
      <c r="E216" s="250">
        <f t="shared" si="2"/>
        <v>21.645</v>
      </c>
      <c r="F216" s="17"/>
      <c r="G216" s="17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 x14ac:dyDescent="0.2">
      <c r="A217" s="280" t="s">
        <v>140</v>
      </c>
      <c r="B217" s="282" t="s">
        <v>159</v>
      </c>
      <c r="C217" s="281">
        <f>12/'0. Qtdades e Custos'!C110</f>
        <v>6</v>
      </c>
      <c r="D217" s="249">
        <f>VLOOKUP(A217,'0. Qtdades e Custos'!$B$154:$F$168,4,0)</f>
        <v>25.04</v>
      </c>
      <c r="E217" s="250">
        <f t="shared" si="2"/>
        <v>4.1733333333333329</v>
      </c>
      <c r="F217" s="181"/>
      <c r="G217" s="181"/>
      <c r="H217" s="117"/>
      <c r="I217" s="117"/>
      <c r="J217" s="117"/>
      <c r="K217" s="117"/>
      <c r="L217" s="117"/>
      <c r="M217" s="117"/>
      <c r="N217" s="117"/>
      <c r="O217" s="117"/>
      <c r="P217" s="117"/>
      <c r="Q217" s="117"/>
      <c r="R217" s="117"/>
      <c r="S217" s="117"/>
      <c r="T217" s="117"/>
      <c r="U217" s="117"/>
      <c r="V217" s="117"/>
      <c r="W217" s="117"/>
      <c r="X217" s="117"/>
      <c r="Y217" s="117"/>
      <c r="Z217" s="117"/>
    </row>
    <row r="218" spans="1:26" ht="12.75" customHeight="1" x14ac:dyDescent="0.2">
      <c r="A218" s="251" t="s">
        <v>215</v>
      </c>
      <c r="B218" s="252" t="s">
        <v>216</v>
      </c>
      <c r="C218" s="283">
        <f>E82</f>
        <v>80</v>
      </c>
      <c r="D218" s="253">
        <f>+SUM(E205:E217)</f>
        <v>151.08250000000004</v>
      </c>
      <c r="E218" s="253">
        <f>C218*D218</f>
        <v>12086.600000000002</v>
      </c>
      <c r="F218" s="17"/>
      <c r="G218" s="17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 x14ac:dyDescent="0.2">
      <c r="A219" s="15"/>
      <c r="B219" s="15"/>
      <c r="C219" s="15"/>
      <c r="D219" s="258" t="s">
        <v>217</v>
      </c>
      <c r="E219" s="259">
        <f>$B$99</f>
        <v>1</v>
      </c>
      <c r="F219" s="260">
        <f>E218*E219</f>
        <v>12086.600000000002</v>
      </c>
      <c r="G219" s="17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1.25" customHeight="1" x14ac:dyDescent="0.2">
      <c r="A220" s="15"/>
      <c r="B220" s="15"/>
      <c r="C220" s="15"/>
      <c r="D220" s="17"/>
      <c r="E220" s="17"/>
      <c r="F220" s="17"/>
      <c r="G220" s="17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1.25" customHeight="1" x14ac:dyDescent="0.2">
      <c r="A221" s="15" t="s">
        <v>246</v>
      </c>
      <c r="B221" s="15"/>
      <c r="C221" s="15"/>
      <c r="D221" s="17"/>
      <c r="E221" s="17"/>
      <c r="F221" s="17"/>
      <c r="G221" s="17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1.25" customHeight="1" x14ac:dyDescent="0.2">
      <c r="A222" s="15"/>
      <c r="B222" s="15"/>
      <c r="C222" s="15"/>
      <c r="D222" s="17"/>
      <c r="E222" s="17"/>
      <c r="F222" s="17"/>
      <c r="G222" s="17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1.25" customHeight="1" x14ac:dyDescent="0.2">
      <c r="A223" s="243" t="s">
        <v>202</v>
      </c>
      <c r="B223" s="244" t="s">
        <v>95</v>
      </c>
      <c r="C223" s="279" t="s">
        <v>245</v>
      </c>
      <c r="D223" s="245" t="s">
        <v>203</v>
      </c>
      <c r="E223" s="245" t="s">
        <v>204</v>
      </c>
      <c r="F223" s="246" t="s">
        <v>205</v>
      </c>
      <c r="G223" s="17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1.25" customHeight="1" x14ac:dyDescent="0.2">
      <c r="A224" s="247" t="s">
        <v>128</v>
      </c>
      <c r="B224" s="248" t="s">
        <v>238</v>
      </c>
      <c r="C224" s="281">
        <f>12/'0. Qtdades e Custos'!J98</f>
        <v>12</v>
      </c>
      <c r="D224" s="249">
        <f>VLOOKUP(A224,'0. Qtdades e Custos'!$B$154:$F$168,4,0)</f>
        <v>155.66</v>
      </c>
      <c r="E224" s="250">
        <f t="shared" ref="E224:E233" si="3">IFERROR(D224/C224,0)</f>
        <v>12.971666666666666</v>
      </c>
      <c r="F224" s="17"/>
      <c r="G224" s="17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1.25" customHeight="1" x14ac:dyDescent="0.2">
      <c r="A225" s="247" t="s">
        <v>129</v>
      </c>
      <c r="B225" s="252" t="s">
        <v>238</v>
      </c>
      <c r="C225" s="281">
        <f>12/'0. Qtdades e Custos'!J99</f>
        <v>2</v>
      </c>
      <c r="D225" s="249">
        <f>VLOOKUP(A225,'0. Qtdades e Custos'!$B$154:$F$168,4,0)</f>
        <v>60.73</v>
      </c>
      <c r="E225" s="250">
        <f t="shared" si="3"/>
        <v>30.364999999999998</v>
      </c>
      <c r="F225" s="17"/>
      <c r="G225" s="17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1.25" customHeight="1" x14ac:dyDescent="0.2">
      <c r="A226" s="280" t="s">
        <v>130</v>
      </c>
      <c r="B226" s="252" t="s">
        <v>238</v>
      </c>
      <c r="C226" s="281">
        <f>12/'0. Qtdades e Custos'!J100</f>
        <v>2</v>
      </c>
      <c r="D226" s="249">
        <f>VLOOKUP(A226,'0. Qtdades e Custos'!$B$154:$F$168,4,0)</f>
        <v>36.630000000000003</v>
      </c>
      <c r="E226" s="250">
        <f t="shared" si="3"/>
        <v>18.315000000000001</v>
      </c>
      <c r="F226" s="17"/>
      <c r="G226" s="17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1.25" customHeight="1" x14ac:dyDescent="0.2">
      <c r="A227" s="280" t="s">
        <v>131</v>
      </c>
      <c r="B227" s="252" t="s">
        <v>238</v>
      </c>
      <c r="C227" s="281">
        <f>12/'0. Qtdades e Custos'!J101</f>
        <v>2</v>
      </c>
      <c r="D227" s="249">
        <f>VLOOKUP(A227,'0. Qtdades e Custos'!$B$154:$F$168,4,0)</f>
        <v>34.630000000000003</v>
      </c>
      <c r="E227" s="250">
        <f t="shared" si="3"/>
        <v>17.315000000000001</v>
      </c>
      <c r="F227" s="17"/>
      <c r="G227" s="17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1.25" customHeight="1" x14ac:dyDescent="0.2">
      <c r="A228" s="247" t="s">
        <v>132</v>
      </c>
      <c r="B228" s="252" t="s">
        <v>238</v>
      </c>
      <c r="C228" s="281">
        <f>12/'0. Qtdades e Custos'!J102</f>
        <v>4</v>
      </c>
      <c r="D228" s="249">
        <f>VLOOKUP(A228,'0. Qtdades e Custos'!$B$154:$F$168,4,0)</f>
        <v>25.1</v>
      </c>
      <c r="E228" s="250">
        <f t="shared" si="3"/>
        <v>6.2750000000000004</v>
      </c>
      <c r="F228" s="17"/>
      <c r="G228" s="17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1.25" customHeight="1" x14ac:dyDescent="0.2">
      <c r="A229" s="247" t="s">
        <v>133</v>
      </c>
      <c r="B229" s="252" t="s">
        <v>238</v>
      </c>
      <c r="C229" s="281">
        <f>12/'0. Qtdades e Custos'!J103</f>
        <v>4</v>
      </c>
      <c r="D229" s="249">
        <f>VLOOKUP(A229,'0. Qtdades e Custos'!$B$154:$F$168,4,0)</f>
        <v>4.28</v>
      </c>
      <c r="E229" s="250">
        <f t="shared" si="3"/>
        <v>1.07</v>
      </c>
      <c r="F229" s="17"/>
      <c r="G229" s="17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1.25" customHeight="1" x14ac:dyDescent="0.2">
      <c r="A230" s="251" t="s">
        <v>135</v>
      </c>
      <c r="B230" s="252" t="s">
        <v>238</v>
      </c>
      <c r="C230" s="281">
        <f>12/'0. Qtdades e Custos'!J105</f>
        <v>4</v>
      </c>
      <c r="D230" s="249">
        <f>VLOOKUP(A230,'0. Qtdades e Custos'!$B$154:$F$168,4,0)</f>
        <v>18</v>
      </c>
      <c r="E230" s="250">
        <f t="shared" si="3"/>
        <v>4.5</v>
      </c>
      <c r="F230" s="17"/>
      <c r="G230" s="17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1.25" customHeight="1" x14ac:dyDescent="0.2">
      <c r="A231" s="251" t="s">
        <v>136</v>
      </c>
      <c r="B231" s="252" t="s">
        <v>238</v>
      </c>
      <c r="C231" s="281">
        <f>12/'0. Qtdades e Custos'!J106</f>
        <v>4</v>
      </c>
      <c r="D231" s="249">
        <f>VLOOKUP(A231,'0. Qtdades e Custos'!$B$154:$F$168,4,0)</f>
        <v>13.18</v>
      </c>
      <c r="E231" s="250">
        <f t="shared" si="3"/>
        <v>3.2949999999999999</v>
      </c>
      <c r="F231" s="17"/>
      <c r="G231" s="17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1.25" customHeight="1" x14ac:dyDescent="0.2">
      <c r="A232" s="251" t="s">
        <v>138</v>
      </c>
      <c r="B232" s="252" t="s">
        <v>238</v>
      </c>
      <c r="C232" s="281">
        <f>12/'0. Qtdades e Custos'!J108</f>
        <v>1.3333333333333333</v>
      </c>
      <c r="D232" s="249">
        <f>VLOOKUP(A232,'0. Qtdades e Custos'!$B$154:$F$168,4,0)</f>
        <v>33.130000000000003</v>
      </c>
      <c r="E232" s="250">
        <f t="shared" si="3"/>
        <v>24.847500000000004</v>
      </c>
      <c r="F232" s="17"/>
      <c r="G232" s="17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1.25" customHeight="1" x14ac:dyDescent="0.2">
      <c r="A233" s="251" t="s">
        <v>139</v>
      </c>
      <c r="B233" s="252" t="s">
        <v>159</v>
      </c>
      <c r="C233" s="281">
        <f>12/'0. Qtdades e Custos'!J109</f>
        <v>2</v>
      </c>
      <c r="D233" s="249">
        <f>VLOOKUP(A233,'0. Qtdades e Custos'!$B$154:$F$168,4,0)</f>
        <v>43.29</v>
      </c>
      <c r="E233" s="250">
        <f t="shared" si="3"/>
        <v>21.645</v>
      </c>
      <c r="F233" s="17"/>
      <c r="G233" s="17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1.25" customHeight="1" x14ac:dyDescent="0.2">
      <c r="A234" s="251" t="s">
        <v>215</v>
      </c>
      <c r="B234" s="252" t="s">
        <v>216</v>
      </c>
      <c r="C234" s="283">
        <f>E83</f>
        <v>4</v>
      </c>
      <c r="D234" s="253">
        <f>+SUM(E224:E233)</f>
        <v>140.59916666666669</v>
      </c>
      <c r="E234" s="253">
        <f>C234*D234</f>
        <v>562.39666666666676</v>
      </c>
      <c r="F234" s="17"/>
      <c r="G234" s="17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1.25" customHeight="1" x14ac:dyDescent="0.2">
      <c r="A235" s="15"/>
      <c r="B235" s="15"/>
      <c r="C235" s="15"/>
      <c r="D235" s="258" t="s">
        <v>217</v>
      </c>
      <c r="E235" s="259">
        <f>$B$99</f>
        <v>1</v>
      </c>
      <c r="F235" s="260">
        <f>E234*E235</f>
        <v>562.39666666666676</v>
      </c>
      <c r="G235" s="17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1.25" customHeight="1" x14ac:dyDescent="0.2">
      <c r="A236" s="15"/>
      <c r="B236" s="15"/>
      <c r="C236" s="15"/>
      <c r="D236" s="17"/>
      <c r="E236" s="17"/>
      <c r="F236" s="17"/>
      <c r="G236" s="17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3.5" customHeight="1" x14ac:dyDescent="0.2">
      <c r="A237" s="15" t="s">
        <v>247</v>
      </c>
      <c r="B237" s="15"/>
      <c r="C237" s="15"/>
      <c r="D237" s="17"/>
      <c r="E237" s="17"/>
      <c r="F237" s="17"/>
      <c r="G237" s="17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1.25" customHeight="1" x14ac:dyDescent="0.2">
      <c r="A238" s="15"/>
      <c r="B238" s="15"/>
      <c r="C238" s="15"/>
      <c r="D238" s="17"/>
      <c r="E238" s="17"/>
      <c r="F238" s="17"/>
      <c r="G238" s="17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2.75" customHeight="1" x14ac:dyDescent="0.2">
      <c r="A239" s="243" t="s">
        <v>202</v>
      </c>
      <c r="B239" s="244" t="s">
        <v>95</v>
      </c>
      <c r="C239" s="279" t="s">
        <v>245</v>
      </c>
      <c r="D239" s="245" t="s">
        <v>203</v>
      </c>
      <c r="E239" s="245" t="s">
        <v>204</v>
      </c>
      <c r="F239" s="246" t="s">
        <v>205</v>
      </c>
      <c r="G239" s="17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2.75" customHeight="1" x14ac:dyDescent="0.2">
      <c r="A240" s="247" t="s">
        <v>128</v>
      </c>
      <c r="B240" s="248" t="s">
        <v>238</v>
      </c>
      <c r="C240" s="281">
        <f>12/'0. Qtdades e Custos'!F98</f>
        <v>12</v>
      </c>
      <c r="D240" s="249">
        <f>VLOOKUP(A240,'0. Qtdades e Custos'!$B$154:$F$168,4,0)</f>
        <v>155.66</v>
      </c>
      <c r="E240" s="250">
        <f t="shared" ref="E240:E245" si="4">IFERROR(D240/C240,0)</f>
        <v>12.971666666666666</v>
      </c>
      <c r="F240" s="17"/>
      <c r="G240" s="17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2.75" customHeight="1" x14ac:dyDescent="0.2">
      <c r="A241" s="251" t="s">
        <v>129</v>
      </c>
      <c r="B241" s="252" t="s">
        <v>238</v>
      </c>
      <c r="C241" s="281">
        <f>12/'0. Qtdades e Custos'!F99</f>
        <v>2</v>
      </c>
      <c r="D241" s="249">
        <f>VLOOKUP(A241,'0. Qtdades e Custos'!$B$154:$F$168,4,0)</f>
        <v>60.73</v>
      </c>
      <c r="E241" s="250">
        <f t="shared" si="4"/>
        <v>30.364999999999998</v>
      </c>
      <c r="F241" s="17"/>
      <c r="G241" s="17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2.75" customHeight="1" x14ac:dyDescent="0.2">
      <c r="A242" s="274" t="s">
        <v>130</v>
      </c>
      <c r="B242" s="252" t="s">
        <v>238</v>
      </c>
      <c r="C242" s="281">
        <f>12/'0. Qtdades e Custos'!F100</f>
        <v>2</v>
      </c>
      <c r="D242" s="249">
        <f>VLOOKUP(A242,'0. Qtdades e Custos'!$B$154:$F$168,4,0)</f>
        <v>36.630000000000003</v>
      </c>
      <c r="E242" s="250">
        <f t="shared" si="4"/>
        <v>18.315000000000001</v>
      </c>
      <c r="F242" s="17"/>
      <c r="G242" s="17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2.75" customHeight="1" x14ac:dyDescent="0.2">
      <c r="A243" s="274" t="s">
        <v>131</v>
      </c>
      <c r="B243" s="252" t="s">
        <v>238</v>
      </c>
      <c r="C243" s="281">
        <f>12/'0. Qtdades e Custos'!F101</f>
        <v>2</v>
      </c>
      <c r="D243" s="249">
        <f>VLOOKUP(A243,'0. Qtdades e Custos'!$B$154:$F$168,4,0)</f>
        <v>34.630000000000003</v>
      </c>
      <c r="E243" s="250">
        <f t="shared" si="4"/>
        <v>17.315000000000001</v>
      </c>
      <c r="F243" s="17"/>
      <c r="G243" s="17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2.75" customHeight="1" x14ac:dyDescent="0.2">
      <c r="A244" s="251" t="s">
        <v>133</v>
      </c>
      <c r="B244" s="252" t="s">
        <v>238</v>
      </c>
      <c r="C244" s="281">
        <f>12/'0. Qtdades e Custos'!F103</f>
        <v>12</v>
      </c>
      <c r="D244" s="249">
        <f>VLOOKUP(A244,'0. Qtdades e Custos'!$B$154:$F$168,4,0)</f>
        <v>4.28</v>
      </c>
      <c r="E244" s="250">
        <f t="shared" si="4"/>
        <v>0.35666666666666669</v>
      </c>
      <c r="F244" s="17"/>
      <c r="G244" s="17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2.75" customHeight="1" x14ac:dyDescent="0.2">
      <c r="A245" s="251" t="s">
        <v>139</v>
      </c>
      <c r="B245" s="252" t="s">
        <v>159</v>
      </c>
      <c r="C245" s="281">
        <f>12/'0. Qtdades e Custos'!F109</f>
        <v>2</v>
      </c>
      <c r="D245" s="249">
        <f>VLOOKUP(A245,'0. Qtdades e Custos'!$B$154:$F$168,4,0)</f>
        <v>43.29</v>
      </c>
      <c r="E245" s="250">
        <f t="shared" si="4"/>
        <v>21.645</v>
      </c>
      <c r="F245" s="17"/>
      <c r="G245" s="17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2.75" customHeight="1" x14ac:dyDescent="0.2">
      <c r="A246" s="251" t="s">
        <v>215</v>
      </c>
      <c r="B246" s="252" t="s">
        <v>216</v>
      </c>
      <c r="C246" s="283">
        <f>E84</f>
        <v>4</v>
      </c>
      <c r="D246" s="253">
        <f>+SUM(E240:E245)</f>
        <v>100.96833333333333</v>
      </c>
      <c r="E246" s="253">
        <f>C246*D246</f>
        <v>403.87333333333333</v>
      </c>
      <c r="F246" s="17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2.75" customHeight="1" x14ac:dyDescent="0.2">
      <c r="A247" s="15"/>
      <c r="B247" s="15"/>
      <c r="C247" s="15"/>
      <c r="D247" s="258" t="s">
        <v>217</v>
      </c>
      <c r="E247" s="259">
        <f>$B$99</f>
        <v>1</v>
      </c>
      <c r="F247" s="260">
        <f>E246*E247</f>
        <v>403.87333333333333</v>
      </c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1.25" customHeight="1" x14ac:dyDescent="0.2">
      <c r="A248" s="15"/>
      <c r="B248" s="15"/>
      <c r="C248" s="15"/>
      <c r="D248" s="17"/>
      <c r="E248" s="17"/>
      <c r="F248" s="17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1.25" customHeight="1" x14ac:dyDescent="0.2">
      <c r="A249" s="15" t="s">
        <v>248</v>
      </c>
      <c r="B249" s="15"/>
      <c r="C249" s="15"/>
      <c r="D249" s="17"/>
      <c r="E249" s="17"/>
      <c r="F249" s="17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1.25" customHeight="1" x14ac:dyDescent="0.2">
      <c r="A250" s="15"/>
      <c r="B250" s="15"/>
      <c r="C250" s="15"/>
      <c r="D250" s="17"/>
      <c r="E250" s="17"/>
      <c r="F250" s="17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23.25" customHeight="1" x14ac:dyDescent="0.2">
      <c r="A251" s="243" t="s">
        <v>202</v>
      </c>
      <c r="B251" s="244" t="s">
        <v>95</v>
      </c>
      <c r="C251" s="279" t="s">
        <v>245</v>
      </c>
      <c r="D251" s="245" t="s">
        <v>203</v>
      </c>
      <c r="E251" s="245" t="s">
        <v>204</v>
      </c>
      <c r="F251" s="246" t="s">
        <v>205</v>
      </c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1.25" customHeight="1" x14ac:dyDescent="0.2">
      <c r="A252" s="280" t="s">
        <v>128</v>
      </c>
      <c r="B252" s="248" t="s">
        <v>238</v>
      </c>
      <c r="C252" s="281">
        <f>12/'0. Qtdades e Custos'!H98</f>
        <v>12</v>
      </c>
      <c r="D252" s="249">
        <f>VLOOKUP(A252,'0. Qtdades e Custos'!$B$154:$F$168,4,0)</f>
        <v>155.66</v>
      </c>
      <c r="E252" s="250">
        <f t="shared" ref="E252:E257" si="5">IFERROR(D252/C252,0)</f>
        <v>12.971666666666666</v>
      </c>
      <c r="F252" s="17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1.25" customHeight="1" x14ac:dyDescent="0.2">
      <c r="A253" s="274" t="s">
        <v>129</v>
      </c>
      <c r="B253" s="252" t="s">
        <v>238</v>
      </c>
      <c r="C253" s="281">
        <f>12/'0. Qtdades e Custos'!H99</f>
        <v>2</v>
      </c>
      <c r="D253" s="249">
        <f>VLOOKUP(A253,'0. Qtdades e Custos'!$B$154:$F$168,4,0)</f>
        <v>60.73</v>
      </c>
      <c r="E253" s="250">
        <f t="shared" si="5"/>
        <v>30.364999999999998</v>
      </c>
      <c r="F253" s="17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2.75" customHeight="1" x14ac:dyDescent="0.2">
      <c r="A254" s="274" t="s">
        <v>130</v>
      </c>
      <c r="B254" s="252" t="s">
        <v>238</v>
      </c>
      <c r="C254" s="281">
        <f>12/'0. Qtdades e Custos'!H100</f>
        <v>2</v>
      </c>
      <c r="D254" s="249">
        <f>VLOOKUP(A254,'0. Qtdades e Custos'!$B$154:$F$168,4,0)</f>
        <v>36.630000000000003</v>
      </c>
      <c r="E254" s="250">
        <f t="shared" si="5"/>
        <v>18.315000000000001</v>
      </c>
      <c r="F254" s="17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2.75" customHeight="1" x14ac:dyDescent="0.2">
      <c r="A255" s="274" t="s">
        <v>131</v>
      </c>
      <c r="B255" s="252" t="s">
        <v>238</v>
      </c>
      <c r="C255" s="281">
        <f>12/'0. Qtdades e Custos'!H101</f>
        <v>2</v>
      </c>
      <c r="D255" s="249">
        <f>VLOOKUP(A255,'0. Qtdades e Custos'!$B$154:$F$168,4,0)</f>
        <v>34.630000000000003</v>
      </c>
      <c r="E255" s="250">
        <f t="shared" si="5"/>
        <v>17.315000000000001</v>
      </c>
      <c r="F255" s="17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1.25" customHeight="1" x14ac:dyDescent="0.2">
      <c r="A256" s="274" t="s">
        <v>133</v>
      </c>
      <c r="B256" s="252" t="s">
        <v>238</v>
      </c>
      <c r="C256" s="281">
        <f>12/'0. Qtdades e Custos'!H103</f>
        <v>12</v>
      </c>
      <c r="D256" s="249">
        <f>VLOOKUP(A256,'0. Qtdades e Custos'!$B$154:$F$168,4,0)</f>
        <v>4.28</v>
      </c>
      <c r="E256" s="250">
        <f t="shared" si="5"/>
        <v>0.35666666666666669</v>
      </c>
      <c r="F256" s="17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1.25" customHeight="1" x14ac:dyDescent="0.2">
      <c r="A257" s="274" t="s">
        <v>139</v>
      </c>
      <c r="B257" s="252" t="s">
        <v>159</v>
      </c>
      <c r="C257" s="281">
        <f>12/'0. Qtdades e Custos'!H109</f>
        <v>2</v>
      </c>
      <c r="D257" s="249">
        <f>VLOOKUP(A257,'0. Qtdades e Custos'!$B$154:$F$168,4,0)</f>
        <v>43.29</v>
      </c>
      <c r="E257" s="250">
        <f t="shared" si="5"/>
        <v>21.645</v>
      </c>
      <c r="F257" s="17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1.25" customHeight="1" x14ac:dyDescent="0.2">
      <c r="A258" s="251" t="s">
        <v>215</v>
      </c>
      <c r="B258" s="252" t="s">
        <v>216</v>
      </c>
      <c r="C258" s="283">
        <f>E85</f>
        <v>4</v>
      </c>
      <c r="D258" s="253">
        <f>+SUM(E252:E257)</f>
        <v>100.96833333333333</v>
      </c>
      <c r="E258" s="253">
        <f>C258*D258</f>
        <v>403.87333333333333</v>
      </c>
      <c r="F258" s="17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1.25" customHeight="1" x14ac:dyDescent="0.2">
      <c r="A259" s="15"/>
      <c r="B259" s="15"/>
      <c r="C259" s="15"/>
      <c r="D259" s="258" t="s">
        <v>217</v>
      </c>
      <c r="E259" s="259">
        <f>$B$99</f>
        <v>1</v>
      </c>
      <c r="F259" s="260">
        <f>E258*E259</f>
        <v>403.87333333333333</v>
      </c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1.25" customHeight="1" x14ac:dyDescent="0.2">
      <c r="A260" s="15"/>
      <c r="B260" s="15"/>
      <c r="C260" s="15"/>
      <c r="D260" s="17"/>
      <c r="E260" s="17"/>
      <c r="F260" s="17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1.25" customHeight="1" x14ac:dyDescent="0.2">
      <c r="A261" s="15" t="s">
        <v>249</v>
      </c>
      <c r="B261" s="15"/>
      <c r="C261" s="15"/>
      <c r="D261" s="17"/>
      <c r="E261" s="17"/>
      <c r="F261" s="17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1.25" customHeight="1" x14ac:dyDescent="0.2">
      <c r="A262" s="15"/>
      <c r="B262" s="15"/>
      <c r="C262" s="15"/>
      <c r="D262" s="17"/>
      <c r="E262" s="17"/>
      <c r="F262" s="17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22.5" customHeight="1" x14ac:dyDescent="0.2">
      <c r="A263" s="243" t="s">
        <v>202</v>
      </c>
      <c r="B263" s="244" t="s">
        <v>95</v>
      </c>
      <c r="C263" s="279" t="s">
        <v>245</v>
      </c>
      <c r="D263" s="245" t="s">
        <v>203</v>
      </c>
      <c r="E263" s="245" t="s">
        <v>204</v>
      </c>
      <c r="F263" s="246" t="s">
        <v>205</v>
      </c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1.25" customHeight="1" x14ac:dyDescent="0.2">
      <c r="A264" s="247" t="s">
        <v>128</v>
      </c>
      <c r="B264" s="248" t="s">
        <v>238</v>
      </c>
      <c r="C264" s="281">
        <f>12/'0. Qtdades e Custos'!L98</f>
        <v>12</v>
      </c>
      <c r="D264" s="249">
        <f>VLOOKUP(A264,'0. Qtdades e Custos'!$B$154:$F$168,4,0)</f>
        <v>155.66</v>
      </c>
      <c r="E264" s="250">
        <f t="shared" ref="E264:E272" si="6">IFERROR(D264/C264,0)</f>
        <v>12.971666666666666</v>
      </c>
      <c r="F264" s="17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1.25" customHeight="1" x14ac:dyDescent="0.2">
      <c r="A265" s="247" t="s">
        <v>129</v>
      </c>
      <c r="B265" s="252" t="s">
        <v>238</v>
      </c>
      <c r="C265" s="281">
        <f>12/'0. Qtdades e Custos'!L99</f>
        <v>2</v>
      </c>
      <c r="D265" s="249">
        <f>VLOOKUP(A265,'0. Qtdades e Custos'!$B$154:$F$168,4,0)</f>
        <v>60.73</v>
      </c>
      <c r="E265" s="250">
        <f t="shared" si="6"/>
        <v>30.364999999999998</v>
      </c>
      <c r="F265" s="17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2.75" customHeight="1" x14ac:dyDescent="0.2">
      <c r="A266" s="274" t="s">
        <v>130</v>
      </c>
      <c r="B266" s="252" t="s">
        <v>238</v>
      </c>
      <c r="C266" s="281">
        <f>12/'0. Qtdades e Custos'!L100</f>
        <v>2</v>
      </c>
      <c r="D266" s="249">
        <f>VLOOKUP(A266,'0. Qtdades e Custos'!$B$154:$F$168,4,0)</f>
        <v>36.630000000000003</v>
      </c>
      <c r="E266" s="250">
        <f t="shared" si="6"/>
        <v>18.315000000000001</v>
      </c>
      <c r="F266" s="17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2.75" customHeight="1" x14ac:dyDescent="0.2">
      <c r="A267" s="274" t="s">
        <v>131</v>
      </c>
      <c r="B267" s="252" t="s">
        <v>238</v>
      </c>
      <c r="C267" s="281">
        <f>12/'0. Qtdades e Custos'!L101</f>
        <v>2</v>
      </c>
      <c r="D267" s="249">
        <f>VLOOKUP(A267,'0. Qtdades e Custos'!$B$154:$F$168,4,0)</f>
        <v>34.630000000000003</v>
      </c>
      <c r="E267" s="250">
        <f t="shared" si="6"/>
        <v>17.315000000000001</v>
      </c>
      <c r="F267" s="17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1.25" customHeight="1" x14ac:dyDescent="0.2">
      <c r="A268" s="247" t="s">
        <v>132</v>
      </c>
      <c r="B268" s="252" t="s">
        <v>238</v>
      </c>
      <c r="C268" s="281">
        <f>12/'0. Qtdades e Custos'!L102</f>
        <v>4</v>
      </c>
      <c r="D268" s="249">
        <f>VLOOKUP(A268,'0. Qtdades e Custos'!$B$154:$F$168,4,0)</f>
        <v>25.1</v>
      </c>
      <c r="E268" s="250">
        <f t="shared" si="6"/>
        <v>6.2750000000000004</v>
      </c>
      <c r="F268" s="17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1.25" customHeight="1" x14ac:dyDescent="0.2">
      <c r="A269" s="247" t="s">
        <v>133</v>
      </c>
      <c r="B269" s="252" t="s">
        <v>238</v>
      </c>
      <c r="C269" s="281">
        <f>12/'0. Qtdades e Custos'!L103</f>
        <v>4</v>
      </c>
      <c r="D269" s="249">
        <f>VLOOKUP(A269,'0. Qtdades e Custos'!$B$154:$F$168,4,0)</f>
        <v>4.28</v>
      </c>
      <c r="E269" s="250">
        <f t="shared" si="6"/>
        <v>1.07</v>
      </c>
      <c r="F269" s="17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1.25" customHeight="1" x14ac:dyDescent="0.2">
      <c r="A270" s="251" t="s">
        <v>134</v>
      </c>
      <c r="B270" s="252" t="s">
        <v>238</v>
      </c>
      <c r="C270" s="281">
        <f>12/'0. Qtdades e Custos'!L104</f>
        <v>1</v>
      </c>
      <c r="D270" s="249">
        <f>VLOOKUP(A270,'0. Qtdades e Custos'!$B$154:$F$168,4,0)</f>
        <v>1.1499999999999999</v>
      </c>
      <c r="E270" s="250">
        <f t="shared" si="6"/>
        <v>1.1499999999999999</v>
      </c>
      <c r="F270" s="17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1.25" customHeight="1" x14ac:dyDescent="0.2">
      <c r="A271" s="251" t="s">
        <v>138</v>
      </c>
      <c r="B271" s="252" t="s">
        <v>238</v>
      </c>
      <c r="C271" s="281">
        <f>12/'0. Qtdades e Custos'!L108</f>
        <v>1.3333333333333333</v>
      </c>
      <c r="D271" s="249">
        <f>VLOOKUP(A271,'0. Qtdades e Custos'!$B$154:$F$168,4,0)</f>
        <v>33.130000000000003</v>
      </c>
      <c r="E271" s="250">
        <f t="shared" si="6"/>
        <v>24.847500000000004</v>
      </c>
      <c r="F271" s="17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1.25" customHeight="1" x14ac:dyDescent="0.2">
      <c r="A272" s="251" t="s">
        <v>139</v>
      </c>
      <c r="B272" s="252" t="s">
        <v>159</v>
      </c>
      <c r="C272" s="281">
        <f>12/'0. Qtdades e Custos'!L109</f>
        <v>2</v>
      </c>
      <c r="D272" s="249">
        <f>VLOOKUP(A272,'0. Qtdades e Custos'!$B$154:$F$168,4,0)</f>
        <v>43.29</v>
      </c>
      <c r="E272" s="250">
        <f t="shared" si="6"/>
        <v>21.645</v>
      </c>
      <c r="F272" s="17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1.25" customHeight="1" x14ac:dyDescent="0.2">
      <c r="A273" s="251" t="s">
        <v>215</v>
      </c>
      <c r="B273" s="252" t="s">
        <v>216</v>
      </c>
      <c r="C273" s="283">
        <f>E86</f>
        <v>7</v>
      </c>
      <c r="D273" s="253">
        <f>+SUM(E264:E272)</f>
        <v>133.95416666666668</v>
      </c>
      <c r="E273" s="253">
        <f>C273*D273</f>
        <v>937.67916666666679</v>
      </c>
      <c r="F273" s="17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1.25" customHeight="1" x14ac:dyDescent="0.2">
      <c r="A274" s="15"/>
      <c r="B274" s="15"/>
      <c r="C274" s="15"/>
      <c r="D274" s="258" t="s">
        <v>217</v>
      </c>
      <c r="E274" s="259">
        <f>$B$99</f>
        <v>1</v>
      </c>
      <c r="F274" s="260">
        <f>E273*E274</f>
        <v>937.67916666666679</v>
      </c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1.25" customHeight="1" x14ac:dyDescent="0.2">
      <c r="A275" s="15"/>
      <c r="B275" s="15"/>
      <c r="C275" s="15"/>
      <c r="D275" s="17"/>
      <c r="E275" s="17"/>
      <c r="F275" s="17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2.75" customHeight="1" x14ac:dyDescent="0.2">
      <c r="A276" s="276" t="s">
        <v>250</v>
      </c>
      <c r="B276" s="284"/>
      <c r="C276" s="284"/>
      <c r="D276" s="285"/>
      <c r="E276" s="286"/>
      <c r="F276" s="287">
        <f>+F219+F235+F247+F259+F274</f>
        <v>14394.422500000002</v>
      </c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1.25" customHeight="1" x14ac:dyDescent="0.2">
      <c r="A277" s="15"/>
      <c r="B277" s="15"/>
      <c r="C277" s="15"/>
      <c r="D277" s="17"/>
      <c r="E277" s="17"/>
      <c r="F277" s="17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2.75" customHeight="1" x14ac:dyDescent="0.2">
      <c r="A278" s="40" t="s">
        <v>251</v>
      </c>
      <c r="B278" s="15"/>
      <c r="C278" s="15"/>
      <c r="D278" s="17"/>
      <c r="E278" s="17"/>
      <c r="F278" s="17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1.25" customHeight="1" x14ac:dyDescent="0.2">
      <c r="A279" s="40"/>
      <c r="B279" s="288"/>
      <c r="C279" s="15"/>
      <c r="D279" s="17"/>
      <c r="E279" s="17"/>
      <c r="F279" s="17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2.75" customHeight="1" x14ac:dyDescent="0.2">
      <c r="A280" s="516" t="s">
        <v>252</v>
      </c>
      <c r="B280" s="516"/>
      <c r="C280" s="516"/>
      <c r="D280" s="289"/>
      <c r="E280" s="289"/>
      <c r="F280" s="289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1.25" customHeight="1" x14ac:dyDescent="0.2">
      <c r="A281" s="15"/>
      <c r="B281" s="15"/>
      <c r="C281" s="15"/>
      <c r="D281" s="17"/>
      <c r="E281" s="17"/>
      <c r="F281" s="17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2.75" customHeight="1" x14ac:dyDescent="0.2">
      <c r="A282" s="288" t="s">
        <v>253</v>
      </c>
      <c r="B282" s="15"/>
      <c r="C282" s="15"/>
      <c r="D282" s="17"/>
      <c r="E282" s="17"/>
      <c r="F282" s="17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2.75" customHeight="1" x14ac:dyDescent="0.2">
      <c r="A283" s="243" t="s">
        <v>202</v>
      </c>
      <c r="B283" s="244" t="s">
        <v>95</v>
      </c>
      <c r="C283" s="244" t="s">
        <v>50</v>
      </c>
      <c r="D283" s="245" t="s">
        <v>203</v>
      </c>
      <c r="E283" s="245" t="s">
        <v>204</v>
      </c>
      <c r="F283" s="246" t="s">
        <v>205</v>
      </c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2.75" customHeight="1" x14ac:dyDescent="0.2">
      <c r="A284" s="247" t="s">
        <v>254</v>
      </c>
      <c r="B284" s="248" t="s">
        <v>238</v>
      </c>
      <c r="C284" s="248">
        <v>1</v>
      </c>
      <c r="D284" s="249">
        <f>'0. Qtdades e Custos'!N55</f>
        <v>595732.14</v>
      </c>
      <c r="E284" s="250">
        <f>C284*D284</f>
        <v>595732.14</v>
      </c>
      <c r="F284" s="17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2.75" customHeight="1" x14ac:dyDescent="0.2">
      <c r="A285" s="251" t="s">
        <v>255</v>
      </c>
      <c r="B285" s="252" t="s">
        <v>256</v>
      </c>
      <c r="C285" s="281">
        <f>'0. Qtdades e Custos'!Q55</f>
        <v>7</v>
      </c>
      <c r="D285" s="253"/>
      <c r="E285" s="253"/>
      <c r="F285" s="17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2.75" customHeight="1" x14ac:dyDescent="0.2">
      <c r="A286" s="251" t="s">
        <v>257</v>
      </c>
      <c r="B286" s="252" t="s">
        <v>256</v>
      </c>
      <c r="C286" s="257">
        <v>0</v>
      </c>
      <c r="D286" s="253"/>
      <c r="E286" s="253"/>
      <c r="F286" s="134"/>
      <c r="G286" s="17"/>
      <c r="H286" s="15"/>
      <c r="I286" s="290"/>
      <c r="J286" s="290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2.75" customHeight="1" x14ac:dyDescent="0.2">
      <c r="A287" s="251" t="s">
        <v>258</v>
      </c>
      <c r="B287" s="252" t="s">
        <v>182</v>
      </c>
      <c r="C287" s="256">
        <f>IFERROR(VLOOKUP(C285,'7. Depreciação'!A3:B17,2,0),0)</f>
        <v>60.29</v>
      </c>
      <c r="D287" s="253">
        <f>E284</f>
        <v>595732.14</v>
      </c>
      <c r="E287" s="253">
        <f>C287*D287/100</f>
        <v>359166.907206</v>
      </c>
      <c r="F287" s="17"/>
      <c r="G287" s="17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2.75" customHeight="1" x14ac:dyDescent="0.2">
      <c r="A288" s="291" t="s">
        <v>259</v>
      </c>
      <c r="B288" s="292" t="s">
        <v>208</v>
      </c>
      <c r="C288" s="292">
        <f>C285*12</f>
        <v>84</v>
      </c>
      <c r="D288" s="293">
        <f>IF(C286&lt;=C285,E287,0)</f>
        <v>359166.907206</v>
      </c>
      <c r="E288" s="293">
        <f>IFERROR(D288/C288,0)</f>
        <v>4275.7965143571428</v>
      </c>
      <c r="F288" s="17"/>
      <c r="G288" s="17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2.75" customHeight="1" x14ac:dyDescent="0.2">
      <c r="A289" s="254" t="s">
        <v>260</v>
      </c>
      <c r="B289" s="135"/>
      <c r="C289" s="135"/>
      <c r="D289" s="39"/>
      <c r="E289" s="255">
        <f>E288</f>
        <v>4275.7965143571428</v>
      </c>
      <c r="F289" s="17"/>
      <c r="G289" s="17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2.75" customHeight="1" x14ac:dyDescent="0.2">
      <c r="A290" s="262" t="s">
        <v>261</v>
      </c>
      <c r="B290" s="294" t="s">
        <v>238</v>
      </c>
      <c r="C290" s="281">
        <f>'0. Qtdades e Custos'!P55</f>
        <v>4</v>
      </c>
      <c r="D290" s="263">
        <f>E289</f>
        <v>4275.7965143571428</v>
      </c>
      <c r="E290" s="255">
        <f>C290*D290</f>
        <v>17103.186057428571</v>
      </c>
      <c r="F290" s="17"/>
      <c r="G290" s="17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2.75" customHeight="1" x14ac:dyDescent="0.2">
      <c r="A291" s="295"/>
      <c r="B291" s="295"/>
      <c r="C291" s="295"/>
      <c r="D291" s="258" t="s">
        <v>217</v>
      </c>
      <c r="E291" s="259">
        <f>$B$99</f>
        <v>1</v>
      </c>
      <c r="F291" s="287">
        <f>E290*E291</f>
        <v>17103.186057428571</v>
      </c>
      <c r="G291" s="17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1.25" customHeight="1" x14ac:dyDescent="0.2">
      <c r="A292" s="15"/>
      <c r="B292" s="15"/>
      <c r="C292" s="15"/>
      <c r="D292" s="17"/>
      <c r="E292" s="17"/>
      <c r="F292" s="17"/>
      <c r="G292" s="17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2.75" customHeight="1" x14ac:dyDescent="0.2">
      <c r="A293" s="288" t="s">
        <v>262</v>
      </c>
      <c r="B293" s="15"/>
      <c r="C293" s="15"/>
      <c r="D293" s="17"/>
      <c r="E293" s="17"/>
      <c r="F293" s="17"/>
      <c r="G293" s="17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2.75" customHeight="1" x14ac:dyDescent="0.2">
      <c r="A294" s="243" t="s">
        <v>202</v>
      </c>
      <c r="B294" s="244" t="s">
        <v>95</v>
      </c>
      <c r="C294" s="244" t="s">
        <v>50</v>
      </c>
      <c r="D294" s="245" t="s">
        <v>203</v>
      </c>
      <c r="E294" s="245" t="s">
        <v>204</v>
      </c>
      <c r="F294" s="246" t="s">
        <v>205</v>
      </c>
      <c r="G294" s="17"/>
      <c r="H294" s="15"/>
      <c r="I294" s="290"/>
      <c r="J294" s="290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2.75" customHeight="1" x14ac:dyDescent="0.2">
      <c r="A295" s="247" t="s">
        <v>263</v>
      </c>
      <c r="B295" s="248" t="s">
        <v>238</v>
      </c>
      <c r="C295" s="248">
        <v>1</v>
      </c>
      <c r="D295" s="250">
        <f>D284</f>
        <v>595732.14</v>
      </c>
      <c r="E295" s="250">
        <f>C295*D295</f>
        <v>595732.14</v>
      </c>
      <c r="F295" s="134"/>
      <c r="G295" s="17"/>
      <c r="H295" s="15"/>
      <c r="I295" s="290"/>
      <c r="J295" s="290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2.75" customHeight="1" x14ac:dyDescent="0.2">
      <c r="A296" s="251" t="s">
        <v>264</v>
      </c>
      <c r="B296" s="252" t="s">
        <v>182</v>
      </c>
      <c r="C296" s="257">
        <v>14.75</v>
      </c>
      <c r="D296" s="253"/>
      <c r="E296" s="253"/>
      <c r="F296" s="134"/>
      <c r="G296" s="17"/>
      <c r="H296" s="15"/>
      <c r="I296" s="290"/>
      <c r="J296" s="290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2.75" customHeight="1" x14ac:dyDescent="0.2">
      <c r="A297" s="251" t="s">
        <v>265</v>
      </c>
      <c r="B297" s="252" t="s">
        <v>231</v>
      </c>
      <c r="C297" s="253">
        <f>IFERROR(IF(C286&lt;=C285,E284-(C287/(100*C285)*C286)*E284,E284-E287),0)</f>
        <v>595732.14</v>
      </c>
      <c r="D297" s="253"/>
      <c r="E297" s="253"/>
      <c r="F297" s="134"/>
      <c r="G297" s="17"/>
      <c r="H297" s="15"/>
      <c r="I297" s="290"/>
      <c r="J297" s="290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2.75" customHeight="1" x14ac:dyDescent="0.2">
      <c r="A298" s="251" t="s">
        <v>266</v>
      </c>
      <c r="B298" s="252" t="s">
        <v>231</v>
      </c>
      <c r="C298" s="253">
        <f>IFERROR(IF(C286&gt;=C285,C297,((((C297)-(E284-E287))*(((C285-C286)+1)/(2*(C285-C286))))+(E284-E287))),0)</f>
        <v>441803.46548314288</v>
      </c>
      <c r="D298" s="253"/>
      <c r="E298" s="253"/>
      <c r="F298" s="134"/>
      <c r="G298" s="17"/>
      <c r="H298" s="15"/>
      <c r="I298" s="290"/>
      <c r="J298" s="290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2.75" customHeight="1" x14ac:dyDescent="0.2">
      <c r="A299" s="291" t="s">
        <v>267</v>
      </c>
      <c r="B299" s="292" t="s">
        <v>231</v>
      </c>
      <c r="C299" s="292"/>
      <c r="D299" s="293">
        <f>C296*C298/12/100</f>
        <v>5430.5009298969644</v>
      </c>
      <c r="E299" s="293">
        <f>D299</f>
        <v>5430.5009298969644</v>
      </c>
      <c r="F299" s="134"/>
      <c r="G299" s="17"/>
      <c r="H299" s="15"/>
      <c r="I299" s="290"/>
      <c r="J299" s="290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2.75" customHeight="1" x14ac:dyDescent="0.2">
      <c r="A300" s="254" t="s">
        <v>260</v>
      </c>
      <c r="B300" s="135"/>
      <c r="C300" s="135"/>
      <c r="D300" s="39"/>
      <c r="E300" s="255">
        <f>E299</f>
        <v>5430.5009298969644</v>
      </c>
      <c r="F300" s="134"/>
      <c r="G300" s="17"/>
      <c r="H300" s="15"/>
      <c r="I300" s="290"/>
      <c r="J300" s="290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2.75" customHeight="1" x14ac:dyDescent="0.2">
      <c r="A301" s="262" t="s">
        <v>261</v>
      </c>
      <c r="B301" s="294" t="s">
        <v>238</v>
      </c>
      <c r="C301" s="296">
        <f>C290</f>
        <v>4</v>
      </c>
      <c r="D301" s="263">
        <f>E300</f>
        <v>5430.5009298969644</v>
      </c>
      <c r="E301" s="255">
        <f>C301*D301</f>
        <v>21722.003719587858</v>
      </c>
      <c r="F301" s="134"/>
      <c r="G301" s="17"/>
      <c r="H301" s="15"/>
      <c r="I301" s="290"/>
      <c r="J301" s="290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2.75" customHeight="1" x14ac:dyDescent="0.2">
      <c r="A302" s="15"/>
      <c r="B302" s="15"/>
      <c r="C302" s="133"/>
      <c r="D302" s="258" t="s">
        <v>217</v>
      </c>
      <c r="E302" s="259">
        <f>$B$99</f>
        <v>1</v>
      </c>
      <c r="F302" s="287">
        <f>E301*E302</f>
        <v>21722.003719587858</v>
      </c>
      <c r="G302" s="17"/>
      <c r="H302" s="15"/>
      <c r="I302" s="290"/>
      <c r="J302" s="290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1.25" customHeight="1" x14ac:dyDescent="0.2">
      <c r="A303" s="15"/>
      <c r="B303" s="15"/>
      <c r="C303" s="15"/>
      <c r="D303" s="17"/>
      <c r="E303" s="17"/>
      <c r="F303" s="17"/>
      <c r="G303" s="17"/>
      <c r="H303" s="15"/>
      <c r="I303" s="290"/>
      <c r="J303" s="290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2.75" customHeight="1" x14ac:dyDescent="0.2">
      <c r="A304" s="15" t="s">
        <v>268</v>
      </c>
      <c r="B304" s="15"/>
      <c r="C304" s="15"/>
      <c r="D304" s="17"/>
      <c r="E304" s="17"/>
      <c r="F304" s="17"/>
      <c r="G304" s="17"/>
      <c r="H304" s="15"/>
      <c r="I304" s="290"/>
      <c r="J304" s="290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2.75" customHeight="1" x14ac:dyDescent="0.2">
      <c r="A305" s="243" t="s">
        <v>202</v>
      </c>
      <c r="B305" s="244" t="s">
        <v>95</v>
      </c>
      <c r="C305" s="244" t="s">
        <v>50</v>
      </c>
      <c r="D305" s="245" t="s">
        <v>203</v>
      </c>
      <c r="E305" s="245" t="s">
        <v>204</v>
      </c>
      <c r="F305" s="246" t="s">
        <v>205</v>
      </c>
      <c r="G305" s="17"/>
      <c r="H305" s="15">
        <f>163.92+109.29</f>
        <v>273.20999999999998</v>
      </c>
      <c r="I305" s="290"/>
      <c r="J305" s="290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2.75" customHeight="1" x14ac:dyDescent="0.2">
      <c r="A306" s="247" t="s">
        <v>269</v>
      </c>
      <c r="B306" s="248" t="s">
        <v>238</v>
      </c>
      <c r="C306" s="250">
        <f>C290</f>
        <v>4</v>
      </c>
      <c r="D306" s="250">
        <f>0.01*($E$284)</f>
        <v>5957.3213999999998</v>
      </c>
      <c r="E306" s="250">
        <f>C306*D306</f>
        <v>23829.285599999999</v>
      </c>
      <c r="F306" s="17"/>
      <c r="G306" s="17"/>
      <c r="H306" s="15"/>
      <c r="I306" s="290"/>
      <c r="J306" s="290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2.75" customHeight="1" x14ac:dyDescent="0.2">
      <c r="A307" s="251" t="s">
        <v>270</v>
      </c>
      <c r="B307" s="252" t="s">
        <v>238</v>
      </c>
      <c r="C307" s="250">
        <f>C290</f>
        <v>4</v>
      </c>
      <c r="D307" s="273">
        <v>273.20999999999998</v>
      </c>
      <c r="E307" s="253">
        <f>C307*D307</f>
        <v>1092.8399999999999</v>
      </c>
      <c r="F307" s="17"/>
      <c r="G307" s="17"/>
      <c r="H307" s="15"/>
      <c r="I307" s="290"/>
      <c r="J307" s="290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2.75" customHeight="1" x14ac:dyDescent="0.2">
      <c r="A308" s="251" t="s">
        <v>271</v>
      </c>
      <c r="B308" s="252" t="s">
        <v>238</v>
      </c>
      <c r="C308" s="250">
        <f>C290</f>
        <v>4</v>
      </c>
      <c r="D308" s="273">
        <v>900</v>
      </c>
      <c r="E308" s="253">
        <f>C308*D308</f>
        <v>3600</v>
      </c>
      <c r="F308" s="39"/>
      <c r="G308" s="17"/>
      <c r="H308" s="15"/>
      <c r="I308" s="290"/>
      <c r="J308" s="290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2.75" customHeight="1" x14ac:dyDescent="0.2">
      <c r="A309" s="262" t="s">
        <v>272</v>
      </c>
      <c r="B309" s="294" t="s">
        <v>208</v>
      </c>
      <c r="C309" s="294">
        <v>12</v>
      </c>
      <c r="D309" s="263">
        <f>SUM(E306:E308)</f>
        <v>28522.125599999999</v>
      </c>
      <c r="E309" s="263">
        <f>D309/C309</f>
        <v>2376.8438000000001</v>
      </c>
      <c r="F309" s="17"/>
      <c r="G309" s="17"/>
      <c r="H309" s="15"/>
      <c r="I309" s="290"/>
      <c r="J309" s="290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2.75" customHeight="1" x14ac:dyDescent="0.2">
      <c r="A310" s="15"/>
      <c r="B310" s="15"/>
      <c r="C310" s="15"/>
      <c r="D310" s="258" t="s">
        <v>217</v>
      </c>
      <c r="E310" s="259">
        <f>$B$99</f>
        <v>1</v>
      </c>
      <c r="F310" s="260">
        <f>E309*E310</f>
        <v>2376.8438000000001</v>
      </c>
      <c r="G310" s="17"/>
      <c r="H310" s="15"/>
      <c r="I310" s="290"/>
      <c r="J310" s="290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1.25" customHeight="1" x14ac:dyDescent="0.2">
      <c r="A311" s="15"/>
      <c r="B311" s="15"/>
      <c r="C311" s="15"/>
      <c r="D311" s="17"/>
      <c r="E311" s="17"/>
      <c r="F311" s="17"/>
      <c r="G311" s="17"/>
      <c r="H311" s="15"/>
      <c r="I311" s="290"/>
      <c r="J311" s="290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2.75" customHeight="1" x14ac:dyDescent="0.2">
      <c r="A312" s="15" t="s">
        <v>273</v>
      </c>
      <c r="B312" s="297"/>
      <c r="C312" s="15"/>
      <c r="D312" s="17"/>
      <c r="E312" s="17"/>
      <c r="F312" s="17"/>
      <c r="G312" s="17"/>
      <c r="H312" s="15"/>
      <c r="I312" s="290"/>
      <c r="J312" s="290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2.75" customHeight="1" x14ac:dyDescent="0.2">
      <c r="A313" s="15"/>
      <c r="B313" s="297"/>
      <c r="C313" s="15"/>
      <c r="D313" s="17"/>
      <c r="E313" s="17"/>
      <c r="F313" s="17"/>
      <c r="G313" s="17"/>
      <c r="H313" s="15"/>
      <c r="I313" s="290"/>
      <c r="J313" s="290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2.75" customHeight="1" x14ac:dyDescent="0.2">
      <c r="A314" s="262" t="s">
        <v>274</v>
      </c>
      <c r="B314" s="298">
        <f>'0. Qtdades e Custos'!D5*0.8</f>
        <v>720</v>
      </c>
      <c r="C314" s="15"/>
      <c r="D314" s="17"/>
      <c r="E314" s="17"/>
      <c r="F314" s="17"/>
      <c r="G314" s="17"/>
      <c r="H314" s="15"/>
      <c r="I314" s="290"/>
      <c r="J314" s="290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58.5" customHeight="1" x14ac:dyDescent="0.2">
      <c r="A315" s="299" t="s">
        <v>275</v>
      </c>
      <c r="B315" s="300">
        <f>'0. Qtdades e Custos'!Y55</f>
        <v>6871.4087499999996</v>
      </c>
      <c r="C315" s="15"/>
      <c r="D315" s="17"/>
      <c r="E315" s="17"/>
      <c r="F315" s="17"/>
      <c r="G315" s="17"/>
      <c r="H315" s="15"/>
      <c r="I315" s="290"/>
      <c r="J315" s="290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2.75" customHeight="1" x14ac:dyDescent="0.2">
      <c r="A316" s="15"/>
      <c r="B316" s="297"/>
      <c r="C316" s="15"/>
      <c r="D316" s="17"/>
      <c r="E316" s="17"/>
      <c r="F316" s="17"/>
      <c r="G316" s="17"/>
      <c r="H316" s="15"/>
      <c r="I316" s="290"/>
      <c r="J316" s="290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2.75" customHeight="1" x14ac:dyDescent="0.2">
      <c r="A317" s="243" t="s">
        <v>202</v>
      </c>
      <c r="B317" s="244" t="s">
        <v>95</v>
      </c>
      <c r="C317" s="244" t="s">
        <v>276</v>
      </c>
      <c r="D317" s="245" t="s">
        <v>203</v>
      </c>
      <c r="E317" s="245" t="s">
        <v>204</v>
      </c>
      <c r="F317" s="246" t="s">
        <v>205</v>
      </c>
      <c r="G317" s="17"/>
      <c r="H317" s="15"/>
      <c r="I317" s="290"/>
      <c r="J317" s="290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2.75" customHeight="1" x14ac:dyDescent="0.2">
      <c r="A318" s="251" t="s">
        <v>277</v>
      </c>
      <c r="B318" s="252" t="s">
        <v>278</v>
      </c>
      <c r="C318" s="301">
        <f>B315</f>
        <v>6871.4087499999996</v>
      </c>
      <c r="D318" s="302">
        <v>6.25</v>
      </c>
      <c r="E318" s="250"/>
      <c r="F318" s="17"/>
      <c r="G318" s="17"/>
      <c r="H318" s="15"/>
      <c r="I318" s="290"/>
      <c r="J318" s="290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2.75" customHeight="1" x14ac:dyDescent="0.2">
      <c r="A319" s="299" t="s">
        <v>279</v>
      </c>
      <c r="B319" s="252" t="s">
        <v>280</v>
      </c>
      <c r="C319" s="253">
        <f>C318</f>
        <v>6871.4087499999996</v>
      </c>
      <c r="D319" s="303"/>
      <c r="E319" s="253">
        <f>C319*D318</f>
        <v>42946.3046875</v>
      </c>
      <c r="F319" s="17"/>
      <c r="G319" s="17"/>
      <c r="H319" s="15"/>
      <c r="I319" s="290"/>
      <c r="J319" s="290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2.75" customHeight="1" x14ac:dyDescent="0.2">
      <c r="A320" s="15"/>
      <c r="B320" s="15"/>
      <c r="C320" s="15"/>
      <c r="D320" s="17"/>
      <c r="E320" s="17"/>
      <c r="F320" s="287">
        <f>SUM(E318:E319)</f>
        <v>42946.3046875</v>
      </c>
      <c r="G320" s="17"/>
      <c r="H320" s="15"/>
      <c r="I320" s="290"/>
      <c r="J320" s="290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1.25" customHeight="1" x14ac:dyDescent="0.2">
      <c r="A321" s="15"/>
      <c r="B321" s="15"/>
      <c r="C321" s="15"/>
      <c r="D321" s="17"/>
      <c r="E321" s="17"/>
      <c r="F321" s="17"/>
      <c r="G321" s="17"/>
      <c r="H321" s="15"/>
      <c r="I321" s="290"/>
      <c r="J321" s="290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2.75" customHeight="1" x14ac:dyDescent="0.2">
      <c r="A322" s="15" t="s">
        <v>281</v>
      </c>
      <c r="B322" s="15"/>
      <c r="C322" s="15"/>
      <c r="D322" s="17"/>
      <c r="E322" s="17"/>
      <c r="F322" s="17"/>
      <c r="G322" s="17"/>
      <c r="H322" s="15"/>
      <c r="I322" s="290"/>
      <c r="J322" s="290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36" customHeight="1" x14ac:dyDescent="0.2">
      <c r="A323" s="243" t="s">
        <v>202</v>
      </c>
      <c r="B323" s="244" t="s">
        <v>95</v>
      </c>
      <c r="C323" s="244" t="s">
        <v>282</v>
      </c>
      <c r="D323" s="304" t="s">
        <v>283</v>
      </c>
      <c r="E323" s="245" t="s">
        <v>204</v>
      </c>
      <c r="F323" s="246" t="s">
        <v>205</v>
      </c>
      <c r="G323" s="17"/>
      <c r="H323" s="15"/>
      <c r="I323" s="290"/>
      <c r="J323" s="290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2.75" customHeight="1" x14ac:dyDescent="0.2">
      <c r="A324" s="247" t="s">
        <v>284</v>
      </c>
      <c r="B324" s="248" t="s">
        <v>231</v>
      </c>
      <c r="C324" s="305">
        <f>'0. Qtdades e Custos'!S55/('0. Qtdades e Custos'!Q55*12)</f>
        <v>1.0714285714285714E-2</v>
      </c>
      <c r="D324" s="249">
        <f>'0. Qtdades e Custos'!N55</f>
        <v>595732.14</v>
      </c>
      <c r="E324" s="250">
        <f>C324*D324</f>
        <v>6382.844357142857</v>
      </c>
      <c r="F324" s="17"/>
      <c r="G324" s="17"/>
      <c r="H324" s="15"/>
      <c r="I324" s="290"/>
      <c r="J324" s="290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2.75" customHeight="1" x14ac:dyDescent="0.2">
      <c r="A325" s="15"/>
      <c r="B325" s="15"/>
      <c r="C325" s="15"/>
      <c r="D325" s="17"/>
      <c r="E325" s="17"/>
      <c r="F325" s="287">
        <f>E324</f>
        <v>6382.844357142857</v>
      </c>
      <c r="G325" s="17"/>
      <c r="H325" s="15"/>
      <c r="I325" s="290"/>
      <c r="J325" s="290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1.25" customHeight="1" x14ac:dyDescent="0.2">
      <c r="A326" s="15"/>
      <c r="B326" s="15"/>
      <c r="C326" s="15"/>
      <c r="D326" s="17"/>
      <c r="E326" s="17"/>
      <c r="F326" s="17"/>
      <c r="G326" s="17"/>
      <c r="H326" s="15"/>
      <c r="I326" s="290"/>
      <c r="J326" s="290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2.75" customHeight="1" x14ac:dyDescent="0.2">
      <c r="A327" s="15" t="s">
        <v>285</v>
      </c>
      <c r="B327" s="15"/>
      <c r="C327" s="15"/>
      <c r="D327" s="17"/>
      <c r="E327" s="17"/>
      <c r="F327" s="17"/>
      <c r="G327" s="17"/>
      <c r="H327" s="15"/>
      <c r="I327" s="290"/>
      <c r="J327" s="290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2.75" customHeight="1" x14ac:dyDescent="0.2">
      <c r="A328" s="243" t="s">
        <v>202</v>
      </c>
      <c r="B328" s="244" t="s">
        <v>95</v>
      </c>
      <c r="C328" s="244" t="s">
        <v>50</v>
      </c>
      <c r="D328" s="245" t="s">
        <v>203</v>
      </c>
      <c r="E328" s="245" t="s">
        <v>204</v>
      </c>
      <c r="F328" s="246" t="s">
        <v>205</v>
      </c>
      <c r="G328" s="17"/>
      <c r="H328" s="15"/>
      <c r="I328" s="290"/>
      <c r="J328" s="290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2.75" customHeight="1" x14ac:dyDescent="0.2">
      <c r="A329" s="247" t="s">
        <v>286</v>
      </c>
      <c r="B329" s="248" t="s">
        <v>238</v>
      </c>
      <c r="C329" s="306">
        <v>6</v>
      </c>
      <c r="D329" s="249">
        <v>1723</v>
      </c>
      <c r="E329" s="250">
        <f>C329*D329</f>
        <v>10338</v>
      </c>
      <c r="F329" s="17"/>
      <c r="G329" s="17"/>
      <c r="H329" s="15"/>
      <c r="I329" s="290"/>
      <c r="J329" s="290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2.75" customHeight="1" x14ac:dyDescent="0.2">
      <c r="A330" s="247" t="s">
        <v>287</v>
      </c>
      <c r="B330" s="248" t="s">
        <v>238</v>
      </c>
      <c r="C330" s="306">
        <v>1</v>
      </c>
      <c r="D330" s="250"/>
      <c r="E330" s="250"/>
      <c r="F330" s="17"/>
      <c r="G330" s="17"/>
      <c r="H330" s="15"/>
      <c r="I330" s="290"/>
      <c r="J330" s="290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2.75" customHeight="1" x14ac:dyDescent="0.2">
      <c r="A331" s="247" t="s">
        <v>288</v>
      </c>
      <c r="B331" s="248" t="s">
        <v>238</v>
      </c>
      <c r="C331" s="250">
        <f>C329*C330</f>
        <v>6</v>
      </c>
      <c r="D331" s="249">
        <v>467.83</v>
      </c>
      <c r="E331" s="250">
        <f>C331*D331</f>
        <v>2806.98</v>
      </c>
      <c r="F331" s="17"/>
      <c r="G331" s="17"/>
      <c r="H331" s="15"/>
      <c r="I331" s="290"/>
      <c r="J331" s="290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2.75" customHeight="1" x14ac:dyDescent="0.2">
      <c r="A332" s="251" t="s">
        <v>289</v>
      </c>
      <c r="B332" s="252" t="s">
        <v>290</v>
      </c>
      <c r="C332" s="307">
        <v>60000</v>
      </c>
      <c r="D332" s="253">
        <f>E329+E331</f>
        <v>13144.98</v>
      </c>
      <c r="E332" s="253">
        <f>IFERROR(D332/C332,"-")</f>
        <v>0.219083</v>
      </c>
      <c r="F332" s="17"/>
      <c r="G332" s="17"/>
      <c r="H332" s="15"/>
      <c r="I332" s="290"/>
      <c r="J332" s="290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2.75" customHeight="1" x14ac:dyDescent="0.2">
      <c r="A333" s="251" t="s">
        <v>291</v>
      </c>
      <c r="B333" s="252" t="s">
        <v>292</v>
      </c>
      <c r="C333" s="267">
        <f>B314</f>
        <v>720</v>
      </c>
      <c r="D333" s="253">
        <f>E332</f>
        <v>0.219083</v>
      </c>
      <c r="E333" s="253">
        <f>IFERROR(C333*D333,0)</f>
        <v>157.73975999999999</v>
      </c>
      <c r="F333" s="17"/>
      <c r="G333" s="17"/>
      <c r="H333" s="15"/>
      <c r="I333" s="290"/>
      <c r="J333" s="290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2.75" customHeight="1" x14ac:dyDescent="0.2">
      <c r="A334" s="15"/>
      <c r="B334" s="15"/>
      <c r="C334" s="15"/>
      <c r="D334" s="17"/>
      <c r="E334" s="17"/>
      <c r="F334" s="287">
        <f>E333</f>
        <v>157.73975999999999</v>
      </c>
      <c r="G334" s="17"/>
      <c r="H334" s="15"/>
      <c r="I334" s="290"/>
      <c r="J334" s="290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1.25" customHeight="1" x14ac:dyDescent="0.2">
      <c r="A335" s="15"/>
      <c r="B335" s="15"/>
      <c r="C335" s="15"/>
      <c r="D335" s="17"/>
      <c r="E335" s="17"/>
      <c r="F335" s="17"/>
      <c r="G335" s="17"/>
      <c r="H335" s="15"/>
      <c r="I335" s="290"/>
      <c r="J335" s="290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1.25" customHeight="1" x14ac:dyDescent="0.2">
      <c r="A336" s="15"/>
      <c r="B336" s="15"/>
      <c r="C336" s="15"/>
      <c r="D336" s="17"/>
      <c r="E336" s="17"/>
      <c r="F336" s="17"/>
      <c r="G336" s="17"/>
      <c r="H336" s="15"/>
      <c r="I336" s="290"/>
      <c r="J336" s="290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1.25" customHeight="1" x14ac:dyDescent="0.2">
      <c r="A337" s="15"/>
      <c r="B337" s="15"/>
      <c r="C337" s="15"/>
      <c r="D337" s="17"/>
      <c r="E337" s="17"/>
      <c r="F337" s="17"/>
      <c r="G337" s="17"/>
      <c r="H337" s="15"/>
      <c r="I337" s="290"/>
      <c r="J337" s="290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1.25" customHeight="1" x14ac:dyDescent="0.2">
      <c r="A338" s="171" t="s">
        <v>293</v>
      </c>
      <c r="B338" s="171"/>
      <c r="C338" s="171"/>
      <c r="D338" s="308"/>
      <c r="E338" s="308"/>
      <c r="F338" s="308"/>
      <c r="G338" s="17"/>
      <c r="H338" s="15"/>
      <c r="I338" s="290"/>
      <c r="J338" s="290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1.25" customHeight="1" x14ac:dyDescent="0.25">
      <c r="A339" s="309" t="s">
        <v>202</v>
      </c>
      <c r="B339" s="310" t="s">
        <v>95</v>
      </c>
      <c r="C339" s="310" t="s">
        <v>50</v>
      </c>
      <c r="D339" s="311" t="s">
        <v>203</v>
      </c>
      <c r="E339" s="311" t="s">
        <v>204</v>
      </c>
      <c r="F339" s="312" t="s">
        <v>294</v>
      </c>
      <c r="G339" s="17"/>
      <c r="H339" s="15"/>
      <c r="I339" s="290"/>
      <c r="J339" s="290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1.25" customHeight="1" x14ac:dyDescent="0.2">
      <c r="A340" s="313" t="s">
        <v>295</v>
      </c>
      <c r="B340" s="177" t="s">
        <v>296</v>
      </c>
      <c r="C340" s="314">
        <f>C290</f>
        <v>4</v>
      </c>
      <c r="D340" s="315">
        <f>'0. Qtdades e Custos'!D173</f>
        <v>150</v>
      </c>
      <c r="E340" s="316">
        <f>D340*C340</f>
        <v>600</v>
      </c>
      <c r="F340" s="170"/>
      <c r="G340" s="17"/>
      <c r="H340" s="15"/>
      <c r="I340" s="290"/>
      <c r="J340" s="290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1.25" customHeight="1" x14ac:dyDescent="0.2">
      <c r="A341" s="313" t="s">
        <v>297</v>
      </c>
      <c r="B341" s="177" t="s">
        <v>208</v>
      </c>
      <c r="C341" s="177">
        <v>12</v>
      </c>
      <c r="D341" s="316">
        <f>D340</f>
        <v>150</v>
      </c>
      <c r="E341" s="316">
        <f>D341/C341</f>
        <v>12.5</v>
      </c>
      <c r="F341" s="170"/>
      <c r="G341" s="17"/>
      <c r="H341" s="15"/>
      <c r="I341" s="290"/>
      <c r="J341" s="290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1.25" customHeight="1" x14ac:dyDescent="0.2">
      <c r="A342" s="313" t="s">
        <v>298</v>
      </c>
      <c r="B342" s="177" t="s">
        <v>299</v>
      </c>
      <c r="C342" s="314">
        <f>C340</f>
        <v>4</v>
      </c>
      <c r="D342" s="315">
        <f>'0. Qtdades e Custos'!D174</f>
        <v>56.99</v>
      </c>
      <c r="E342" s="316">
        <f>D342*C342</f>
        <v>227.96</v>
      </c>
      <c r="F342" s="170"/>
      <c r="G342" s="17"/>
      <c r="H342" s="15"/>
      <c r="I342" s="290"/>
      <c r="J342" s="290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1.25" customHeight="1" x14ac:dyDescent="0.25">
      <c r="A343" s="317" t="s">
        <v>300</v>
      </c>
      <c r="B343" s="318"/>
      <c r="C343" s="319"/>
      <c r="D343" s="320"/>
      <c r="E343" s="321">
        <f>E342+E341</f>
        <v>240.46</v>
      </c>
      <c r="F343" s="170"/>
      <c r="G343" s="17"/>
      <c r="H343" s="15"/>
      <c r="I343" s="290"/>
      <c r="J343" s="290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1.25" customHeight="1" x14ac:dyDescent="0.25">
      <c r="A344" s="171"/>
      <c r="B344" s="171"/>
      <c r="C344" s="171"/>
      <c r="D344" s="322" t="s">
        <v>217</v>
      </c>
      <c r="E344" s="323">
        <v>1</v>
      </c>
      <c r="F344" s="324">
        <f>(E343)*E344</f>
        <v>240.46</v>
      </c>
      <c r="G344" s="17"/>
      <c r="H344" s="15"/>
      <c r="I344" s="290"/>
      <c r="J344" s="290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1.25" customHeight="1" x14ac:dyDescent="0.2">
      <c r="A345" s="171"/>
      <c r="B345" s="171"/>
      <c r="C345" s="171"/>
      <c r="D345" s="308"/>
      <c r="E345" s="308"/>
      <c r="F345" s="308"/>
      <c r="G345" s="17"/>
      <c r="H345" s="15"/>
      <c r="I345" s="290"/>
      <c r="J345" s="290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1.25" customHeight="1" x14ac:dyDescent="0.25">
      <c r="A346" s="325" t="s">
        <v>301</v>
      </c>
      <c r="B346" s="326"/>
      <c r="C346" s="326"/>
      <c r="D346" s="327"/>
      <c r="E346" s="328"/>
      <c r="F346" s="329">
        <f>F344</f>
        <v>240.46</v>
      </c>
      <c r="G346" s="17"/>
      <c r="H346" s="15"/>
      <c r="I346" s="290"/>
      <c r="J346" s="290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1.25" customHeight="1" x14ac:dyDescent="0.2">
      <c r="A347" s="15"/>
      <c r="B347" s="15"/>
      <c r="C347" s="15"/>
      <c r="D347" s="17"/>
      <c r="E347" s="17"/>
      <c r="F347" s="17"/>
      <c r="G347" s="17"/>
      <c r="H347" s="15"/>
      <c r="I347" s="290"/>
      <c r="J347" s="290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1.25" customHeight="1" x14ac:dyDescent="0.2">
      <c r="A348" s="15"/>
      <c r="B348" s="15"/>
      <c r="C348" s="15"/>
      <c r="D348" s="17"/>
      <c r="E348" s="17"/>
      <c r="F348" s="17"/>
      <c r="G348" s="17"/>
      <c r="H348" s="15"/>
      <c r="I348" s="290"/>
      <c r="J348" s="290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1.25" customHeight="1" x14ac:dyDescent="0.2">
      <c r="A349" s="15"/>
      <c r="B349" s="15"/>
      <c r="C349" s="15"/>
      <c r="D349" s="17"/>
      <c r="E349" s="17"/>
      <c r="F349" s="17"/>
      <c r="G349" s="17"/>
      <c r="H349" s="15"/>
      <c r="I349" s="290"/>
      <c r="J349" s="290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2.75" customHeight="1" x14ac:dyDescent="0.2">
      <c r="A350" s="516" t="s">
        <v>302</v>
      </c>
      <c r="B350" s="516"/>
      <c r="C350" s="516"/>
      <c r="D350" s="516"/>
      <c r="E350" s="516"/>
      <c r="F350" s="516"/>
      <c r="G350" s="17"/>
      <c r="H350" s="15"/>
      <c r="I350" s="290"/>
      <c r="J350" s="290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1.25" customHeight="1" x14ac:dyDescent="0.2">
      <c r="A351" s="15"/>
      <c r="B351" s="15"/>
      <c r="C351" s="15"/>
      <c r="D351" s="17"/>
      <c r="E351" s="17"/>
      <c r="F351" s="17"/>
      <c r="G351" s="17"/>
      <c r="H351" s="15"/>
      <c r="I351" s="290"/>
      <c r="J351" s="290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1.25" customHeight="1" x14ac:dyDescent="0.2">
      <c r="A352" s="288" t="s">
        <v>303</v>
      </c>
      <c r="B352" s="15"/>
      <c r="C352" s="15"/>
      <c r="D352" s="17"/>
      <c r="E352" s="17"/>
      <c r="F352" s="17"/>
      <c r="G352" s="17"/>
      <c r="H352" s="15"/>
      <c r="I352" s="290"/>
      <c r="J352" s="290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1.25" customHeight="1" x14ac:dyDescent="0.2">
      <c r="A353" s="243" t="s">
        <v>202</v>
      </c>
      <c r="B353" s="244" t="s">
        <v>95</v>
      </c>
      <c r="C353" s="244" t="s">
        <v>50</v>
      </c>
      <c r="D353" s="245" t="s">
        <v>203</v>
      </c>
      <c r="E353" s="245" t="s">
        <v>204</v>
      </c>
      <c r="F353" s="246" t="s">
        <v>205</v>
      </c>
      <c r="G353" s="17"/>
      <c r="H353" s="15"/>
      <c r="I353" s="290"/>
      <c r="J353" s="290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1.25" customHeight="1" x14ac:dyDescent="0.2">
      <c r="A354" s="247" t="s">
        <v>304</v>
      </c>
      <c r="B354" s="248" t="s">
        <v>238</v>
      </c>
      <c r="C354" s="248">
        <v>1</v>
      </c>
      <c r="D354" s="249">
        <f>'0. Qtdades e Custos'!N56</f>
        <v>405666.67</v>
      </c>
      <c r="E354" s="250">
        <f>C354*D354</f>
        <v>405666.67</v>
      </c>
      <c r="F354" s="17"/>
      <c r="G354" s="17"/>
      <c r="H354" s="15"/>
      <c r="I354" s="290"/>
      <c r="J354" s="290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1.25" customHeight="1" x14ac:dyDescent="0.2">
      <c r="A355" s="251" t="s">
        <v>255</v>
      </c>
      <c r="B355" s="252" t="s">
        <v>256</v>
      </c>
      <c r="C355" s="281">
        <f>'0. Qtdades e Custos'!Q56</f>
        <v>5</v>
      </c>
      <c r="D355" s="253"/>
      <c r="E355" s="253"/>
      <c r="F355" s="17"/>
      <c r="G355" s="17"/>
      <c r="H355" s="15"/>
      <c r="I355" s="290"/>
      <c r="J355" s="290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1.25" customHeight="1" x14ac:dyDescent="0.2">
      <c r="A356" s="251" t="s">
        <v>257</v>
      </c>
      <c r="B356" s="252" t="s">
        <v>256</v>
      </c>
      <c r="C356" s="257">
        <v>0</v>
      </c>
      <c r="D356" s="253"/>
      <c r="E356" s="253"/>
      <c r="F356" s="134"/>
      <c r="G356" s="17"/>
      <c r="H356" s="15"/>
      <c r="I356" s="290"/>
      <c r="J356" s="290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1.25" customHeight="1" x14ac:dyDescent="0.2">
      <c r="A357" s="251" t="s">
        <v>258</v>
      </c>
      <c r="B357" s="252" t="s">
        <v>182</v>
      </c>
      <c r="C357" s="256">
        <f>IFERROR(VLOOKUP(C355,'7. Depreciação'!A3:B17,2,0),0)</f>
        <v>55.68</v>
      </c>
      <c r="D357" s="253">
        <f>E354</f>
        <v>405666.67</v>
      </c>
      <c r="E357" s="253">
        <f>C357*D357/100</f>
        <v>225875.20185599997</v>
      </c>
      <c r="F357" s="17"/>
      <c r="G357" s="17"/>
      <c r="H357" s="15"/>
      <c r="I357" s="290"/>
      <c r="J357" s="290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1.25" customHeight="1" x14ac:dyDescent="0.2">
      <c r="A358" s="291" t="s">
        <v>305</v>
      </c>
      <c r="B358" s="292" t="s">
        <v>208</v>
      </c>
      <c r="C358" s="292">
        <f>C355*12</f>
        <v>60</v>
      </c>
      <c r="D358" s="293">
        <f>IF(C356&lt;=C355,E357,0)</f>
        <v>225875.20185599997</v>
      </c>
      <c r="E358" s="293">
        <f>IFERROR(D358/C358,0)</f>
        <v>3764.5866975999993</v>
      </c>
      <c r="F358" s="17"/>
      <c r="G358" s="17"/>
      <c r="H358" s="15"/>
      <c r="I358" s="290"/>
      <c r="J358" s="290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1.25" customHeight="1" x14ac:dyDescent="0.2">
      <c r="A359" s="254" t="s">
        <v>260</v>
      </c>
      <c r="B359" s="135"/>
      <c r="C359" s="135"/>
      <c r="D359" s="39"/>
      <c r="E359" s="255">
        <f>E358</f>
        <v>3764.5866975999993</v>
      </c>
      <c r="F359" s="17"/>
      <c r="G359" s="17"/>
      <c r="H359" s="15"/>
      <c r="I359" s="290"/>
      <c r="J359" s="290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1.25" customHeight="1" x14ac:dyDescent="0.2">
      <c r="A360" s="262" t="s">
        <v>261</v>
      </c>
      <c r="B360" s="294" t="s">
        <v>238</v>
      </c>
      <c r="C360" s="281">
        <f>'0. Qtdades e Custos'!P56</f>
        <v>4</v>
      </c>
      <c r="D360" s="263">
        <f>E359</f>
        <v>3764.5866975999993</v>
      </c>
      <c r="E360" s="255">
        <f>C360*D360</f>
        <v>15058.346790399997</v>
      </c>
      <c r="F360" s="17"/>
      <c r="G360" s="17"/>
      <c r="H360" s="15"/>
      <c r="I360" s="290"/>
      <c r="J360" s="290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1.25" customHeight="1" x14ac:dyDescent="0.2">
      <c r="A361" s="295"/>
      <c r="B361" s="295"/>
      <c r="C361" s="295"/>
      <c r="D361" s="258" t="s">
        <v>217</v>
      </c>
      <c r="E361" s="259">
        <f>$B$99</f>
        <v>1</v>
      </c>
      <c r="F361" s="287">
        <f>E360*E361</f>
        <v>15058.346790399997</v>
      </c>
      <c r="G361" s="17"/>
      <c r="H361" s="15"/>
      <c r="I361" s="290"/>
      <c r="J361" s="290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1.25" customHeight="1" x14ac:dyDescent="0.2">
      <c r="A362" s="15"/>
      <c r="B362" s="15"/>
      <c r="C362" s="15"/>
      <c r="D362" s="17"/>
      <c r="E362" s="17"/>
      <c r="F362" s="17"/>
      <c r="G362" s="17"/>
      <c r="H362" s="15"/>
      <c r="I362" s="290"/>
      <c r="J362" s="290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1.25" customHeight="1" x14ac:dyDescent="0.2">
      <c r="A363" s="288" t="s">
        <v>306</v>
      </c>
      <c r="B363" s="15"/>
      <c r="C363" s="15"/>
      <c r="D363" s="17"/>
      <c r="E363" s="17"/>
      <c r="F363" s="17"/>
      <c r="G363" s="17"/>
      <c r="H363" s="15"/>
      <c r="I363" s="290"/>
      <c r="J363" s="290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1.25" customHeight="1" x14ac:dyDescent="0.2">
      <c r="A364" s="243" t="s">
        <v>202</v>
      </c>
      <c r="B364" s="244" t="s">
        <v>95</v>
      </c>
      <c r="C364" s="244" t="s">
        <v>50</v>
      </c>
      <c r="D364" s="245" t="s">
        <v>203</v>
      </c>
      <c r="E364" s="245" t="s">
        <v>204</v>
      </c>
      <c r="F364" s="246" t="s">
        <v>205</v>
      </c>
      <c r="G364" s="17"/>
      <c r="H364" s="15"/>
      <c r="I364" s="290"/>
      <c r="J364" s="290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1.25" customHeight="1" x14ac:dyDescent="0.2">
      <c r="A365" s="247" t="s">
        <v>307</v>
      </c>
      <c r="B365" s="248" t="s">
        <v>238</v>
      </c>
      <c r="C365" s="248">
        <v>1</v>
      </c>
      <c r="D365" s="250">
        <f>D354</f>
        <v>405666.67</v>
      </c>
      <c r="E365" s="250">
        <f>C365*D365</f>
        <v>405666.67</v>
      </c>
      <c r="F365" s="134"/>
      <c r="G365" s="17"/>
      <c r="H365" s="15"/>
      <c r="I365" s="290"/>
      <c r="J365" s="290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1.25" customHeight="1" x14ac:dyDescent="0.2">
      <c r="A366" s="251" t="s">
        <v>264</v>
      </c>
      <c r="B366" s="252" t="s">
        <v>182</v>
      </c>
      <c r="C366" s="257">
        <v>14.75</v>
      </c>
      <c r="D366" s="253"/>
      <c r="E366" s="253"/>
      <c r="F366" s="134"/>
      <c r="G366" s="17"/>
      <c r="H366" s="15"/>
      <c r="I366" s="290"/>
      <c r="J366" s="290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1.25" customHeight="1" x14ac:dyDescent="0.2">
      <c r="A367" s="251" t="s">
        <v>265</v>
      </c>
      <c r="B367" s="252" t="s">
        <v>231</v>
      </c>
      <c r="C367" s="253">
        <f>IFERROR(IF(C356&lt;=C355,E354-(C357/(100*C355)*C356)*E354,E354-E357),0)</f>
        <v>405666.67</v>
      </c>
      <c r="D367" s="253"/>
      <c r="E367" s="253"/>
      <c r="F367" s="134"/>
      <c r="G367" s="17"/>
      <c r="H367" s="15"/>
      <c r="I367" s="290"/>
      <c r="J367" s="290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1.25" customHeight="1" x14ac:dyDescent="0.2">
      <c r="A368" s="251" t="s">
        <v>308</v>
      </c>
      <c r="B368" s="252" t="s">
        <v>231</v>
      </c>
      <c r="C368" s="253">
        <f>IFERROR(IF(C356&gt;=C355,C367,((((C367)-(E354-E357))*(((C355-C356)+1)/(2*(C355-C356))))+(E354-E357))),0)</f>
        <v>315316.58925760002</v>
      </c>
      <c r="D368" s="253"/>
      <c r="E368" s="253"/>
      <c r="F368" s="134"/>
      <c r="G368" s="17"/>
      <c r="H368" s="15"/>
      <c r="I368" s="290"/>
      <c r="J368" s="290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1.25" customHeight="1" x14ac:dyDescent="0.2">
      <c r="A369" s="291" t="s">
        <v>309</v>
      </c>
      <c r="B369" s="292" t="s">
        <v>231</v>
      </c>
      <c r="C369" s="292"/>
      <c r="D369" s="293">
        <f>C366*C368/12/100</f>
        <v>3875.7664096246667</v>
      </c>
      <c r="E369" s="293">
        <f>D369</f>
        <v>3875.7664096246667</v>
      </c>
      <c r="F369" s="134"/>
      <c r="G369" s="17"/>
      <c r="H369" s="15"/>
      <c r="I369" s="290"/>
      <c r="J369" s="290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1.25" customHeight="1" x14ac:dyDescent="0.2">
      <c r="A370" s="254" t="s">
        <v>260</v>
      </c>
      <c r="B370" s="135"/>
      <c r="C370" s="135"/>
      <c r="D370" s="39"/>
      <c r="E370" s="255">
        <f>E369</f>
        <v>3875.7664096246667</v>
      </c>
      <c r="F370" s="134"/>
      <c r="G370" s="17"/>
      <c r="H370" s="15"/>
      <c r="I370" s="290"/>
      <c r="J370" s="290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1.25" customHeight="1" x14ac:dyDescent="0.2">
      <c r="A371" s="262" t="s">
        <v>261</v>
      </c>
      <c r="B371" s="294" t="s">
        <v>238</v>
      </c>
      <c r="C371" s="296">
        <f>C360</f>
        <v>4</v>
      </c>
      <c r="D371" s="263">
        <f>E370</f>
        <v>3875.7664096246667</v>
      </c>
      <c r="E371" s="255">
        <f>C371*D371</f>
        <v>15503.065638498667</v>
      </c>
      <c r="F371" s="134"/>
      <c r="G371" s="17"/>
      <c r="H371" s="15"/>
      <c r="I371" s="290"/>
      <c r="J371" s="290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1.25" customHeight="1" x14ac:dyDescent="0.2">
      <c r="A372" s="15"/>
      <c r="B372" s="15"/>
      <c r="C372" s="133"/>
      <c r="D372" s="258" t="s">
        <v>217</v>
      </c>
      <c r="E372" s="259">
        <f>$B$99</f>
        <v>1</v>
      </c>
      <c r="F372" s="287">
        <f>E371*E372</f>
        <v>15503.065638498667</v>
      </c>
      <c r="G372" s="17"/>
      <c r="H372" s="15"/>
      <c r="I372" s="290"/>
      <c r="J372" s="290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1.25" customHeight="1" x14ac:dyDescent="0.2">
      <c r="A373" s="15"/>
      <c r="B373" s="15"/>
      <c r="C373" s="15"/>
      <c r="D373" s="17"/>
      <c r="E373" s="17"/>
      <c r="F373" s="17"/>
      <c r="G373" s="17"/>
      <c r="H373" s="15"/>
      <c r="I373" s="290"/>
      <c r="J373" s="290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1.25" customHeight="1" x14ac:dyDescent="0.2">
      <c r="A374" s="15" t="s">
        <v>310</v>
      </c>
      <c r="B374" s="15"/>
      <c r="C374" s="15"/>
      <c r="D374" s="17"/>
      <c r="E374" s="17"/>
      <c r="F374" s="17"/>
      <c r="G374" s="17"/>
      <c r="H374" s="15"/>
      <c r="I374" s="290"/>
      <c r="J374" s="290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1.25" customHeight="1" x14ac:dyDescent="0.2">
      <c r="A375" s="243" t="s">
        <v>202</v>
      </c>
      <c r="B375" s="244" t="s">
        <v>95</v>
      </c>
      <c r="C375" s="244" t="s">
        <v>50</v>
      </c>
      <c r="D375" s="245" t="s">
        <v>203</v>
      </c>
      <c r="E375" s="245" t="s">
        <v>204</v>
      </c>
      <c r="F375" s="246" t="s">
        <v>205</v>
      </c>
      <c r="G375" s="17"/>
      <c r="H375" s="15"/>
      <c r="I375" s="290"/>
      <c r="J375" s="290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1.25" customHeight="1" x14ac:dyDescent="0.2">
      <c r="A376" s="247" t="s">
        <v>269</v>
      </c>
      <c r="B376" s="248" t="s">
        <v>238</v>
      </c>
      <c r="C376" s="250">
        <f>C360</f>
        <v>4</v>
      </c>
      <c r="D376" s="250">
        <f>0.01*($E$284)</f>
        <v>5957.3213999999998</v>
      </c>
      <c r="E376" s="250">
        <f>C376*D376</f>
        <v>23829.285599999999</v>
      </c>
      <c r="F376" s="17"/>
      <c r="G376" s="17"/>
      <c r="H376" s="15"/>
      <c r="I376" s="290"/>
      <c r="J376" s="290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1.25" customHeight="1" x14ac:dyDescent="0.2">
      <c r="A377" s="251" t="s">
        <v>311</v>
      </c>
      <c r="B377" s="252" t="s">
        <v>238</v>
      </c>
      <c r="C377" s="250">
        <f>C360</f>
        <v>4</v>
      </c>
      <c r="D377" s="273">
        <f>109.29+163.92</f>
        <v>273.20999999999998</v>
      </c>
      <c r="E377" s="253">
        <f>C377*D377</f>
        <v>1092.8399999999999</v>
      </c>
      <c r="F377" s="17"/>
      <c r="G377" s="17"/>
      <c r="H377" s="15"/>
      <c r="I377" s="290"/>
      <c r="J377" s="290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1.25" customHeight="1" x14ac:dyDescent="0.2">
      <c r="A378" s="251" t="s">
        <v>271</v>
      </c>
      <c r="B378" s="252" t="s">
        <v>238</v>
      </c>
      <c r="C378" s="250">
        <f>C360</f>
        <v>4</v>
      </c>
      <c r="D378" s="273">
        <v>4853.49</v>
      </c>
      <c r="E378" s="253">
        <f>C378*D378</f>
        <v>19413.96</v>
      </c>
      <c r="F378" s="39"/>
      <c r="G378" s="17"/>
      <c r="H378" s="15"/>
      <c r="I378" s="290"/>
      <c r="J378" s="290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1.25" customHeight="1" x14ac:dyDescent="0.2">
      <c r="A379" s="262" t="s">
        <v>272</v>
      </c>
      <c r="B379" s="294" t="s">
        <v>208</v>
      </c>
      <c r="C379" s="294">
        <v>12</v>
      </c>
      <c r="D379" s="263">
        <f>SUM(E376:E378)</f>
        <v>44336.085599999999</v>
      </c>
      <c r="E379" s="263">
        <f>D379/C379</f>
        <v>3694.6738</v>
      </c>
      <c r="F379" s="17"/>
      <c r="G379" s="17"/>
      <c r="H379" s="15"/>
      <c r="I379" s="290"/>
      <c r="J379" s="290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1.25" customHeight="1" x14ac:dyDescent="0.2">
      <c r="A380" s="15"/>
      <c r="B380" s="15"/>
      <c r="C380" s="15"/>
      <c r="D380" s="258" t="s">
        <v>217</v>
      </c>
      <c r="E380" s="259">
        <f>$B$99</f>
        <v>1</v>
      </c>
      <c r="F380" s="260">
        <f>E379*E380</f>
        <v>3694.6738</v>
      </c>
      <c r="G380" s="17"/>
      <c r="H380" s="15"/>
      <c r="I380" s="290"/>
      <c r="J380" s="290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1.25" customHeight="1" x14ac:dyDescent="0.2">
      <c r="A381" s="15"/>
      <c r="B381" s="15"/>
      <c r="C381" s="15"/>
      <c r="D381" s="17"/>
      <c r="E381" s="17"/>
      <c r="F381" s="17"/>
      <c r="G381" s="17"/>
      <c r="H381" s="15"/>
      <c r="I381" s="290"/>
      <c r="J381" s="290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1.25" customHeight="1" x14ac:dyDescent="0.2">
      <c r="A382" s="15" t="s">
        <v>312</v>
      </c>
      <c r="B382" s="297"/>
      <c r="C382" s="15"/>
      <c r="D382" s="17"/>
      <c r="E382" s="17"/>
      <c r="F382" s="17"/>
      <c r="G382" s="17"/>
      <c r="H382" s="15"/>
      <c r="I382" s="290"/>
      <c r="J382" s="290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1.25" customHeight="1" x14ac:dyDescent="0.2">
      <c r="A383" s="15"/>
      <c r="B383" s="297"/>
      <c r="C383" s="15"/>
      <c r="D383" s="17"/>
      <c r="E383" s="17"/>
      <c r="F383" s="17"/>
      <c r="G383" s="17"/>
      <c r="H383" s="15"/>
      <c r="I383" s="290"/>
      <c r="J383" s="290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1.25" customHeight="1" x14ac:dyDescent="0.2">
      <c r="A384" s="262" t="s">
        <v>274</v>
      </c>
      <c r="B384" s="298">
        <f>'0. Qtdades e Custos'!D5*0.8</f>
        <v>720</v>
      </c>
      <c r="C384" s="15" t="s">
        <v>313</v>
      </c>
      <c r="D384" s="17"/>
      <c r="E384" s="17"/>
      <c r="F384" s="17"/>
      <c r="G384" s="17"/>
      <c r="H384" s="15"/>
      <c r="I384" s="290"/>
      <c r="J384" s="290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2.75" customHeight="1" x14ac:dyDescent="0.2">
      <c r="A385" s="299" t="s">
        <v>275</v>
      </c>
      <c r="B385" s="300">
        <f>'0. Qtdades e Custos'!Y56</f>
        <v>2839.4018900000001</v>
      </c>
      <c r="C385" s="15"/>
      <c r="D385" s="17"/>
      <c r="E385" s="17"/>
      <c r="F385" s="17"/>
      <c r="G385" s="17"/>
      <c r="H385" s="15"/>
      <c r="I385" s="290"/>
      <c r="J385" s="290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1.25" customHeight="1" x14ac:dyDescent="0.2">
      <c r="A386" s="15"/>
      <c r="B386" s="297"/>
      <c r="C386" s="15"/>
      <c r="D386" s="17"/>
      <c r="E386" s="17"/>
      <c r="F386" s="17"/>
      <c r="G386" s="17"/>
      <c r="H386" s="15"/>
      <c r="I386" s="290"/>
      <c r="J386" s="290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1.25" customHeight="1" x14ac:dyDescent="0.2">
      <c r="A387" s="243" t="s">
        <v>202</v>
      </c>
      <c r="B387" s="244" t="s">
        <v>95</v>
      </c>
      <c r="C387" s="244" t="s">
        <v>276</v>
      </c>
      <c r="D387" s="245" t="s">
        <v>203</v>
      </c>
      <c r="E387" s="245" t="s">
        <v>204</v>
      </c>
      <c r="F387" s="246" t="s">
        <v>205</v>
      </c>
      <c r="G387" s="17"/>
      <c r="H387" s="15"/>
      <c r="I387" s="290"/>
      <c r="J387" s="290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1.25" customHeight="1" x14ac:dyDescent="0.2">
      <c r="A388" s="251" t="s">
        <v>277</v>
      </c>
      <c r="B388" s="252" t="s">
        <v>278</v>
      </c>
      <c r="C388" s="301">
        <f>B385</f>
        <v>2839.4018900000001</v>
      </c>
      <c r="D388" s="302">
        <v>6.25</v>
      </c>
      <c r="E388" s="250"/>
      <c r="F388" s="17"/>
      <c r="G388" s="17"/>
      <c r="H388" s="15"/>
      <c r="I388" s="290"/>
      <c r="J388" s="290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31.5" customHeight="1" x14ac:dyDescent="0.2">
      <c r="A389" s="299" t="s">
        <v>279</v>
      </c>
      <c r="B389" s="252" t="s">
        <v>280</v>
      </c>
      <c r="C389" s="253">
        <f>C388</f>
        <v>2839.4018900000001</v>
      </c>
      <c r="D389" s="303"/>
      <c r="E389" s="253">
        <f>C389*D388</f>
        <v>17746.261812500001</v>
      </c>
      <c r="F389" s="17"/>
      <c r="G389" s="17"/>
      <c r="H389" s="15"/>
      <c r="I389" s="290"/>
      <c r="J389" s="290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1.25" customHeight="1" x14ac:dyDescent="0.2">
      <c r="A390" s="15"/>
      <c r="B390" s="15"/>
      <c r="C390" s="15"/>
      <c r="D390" s="17"/>
      <c r="E390" s="17"/>
      <c r="F390" s="287">
        <f>SUM(E388:E389)</f>
        <v>17746.261812500001</v>
      </c>
      <c r="G390" s="17"/>
      <c r="H390" s="15"/>
      <c r="I390" s="290"/>
      <c r="J390" s="290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1.25" customHeight="1" x14ac:dyDescent="0.2">
      <c r="A391" s="15"/>
      <c r="B391" s="15"/>
      <c r="C391" s="15"/>
      <c r="D391" s="17"/>
      <c r="E391" s="17"/>
      <c r="F391" s="17"/>
      <c r="G391" s="17"/>
      <c r="H391" s="15"/>
      <c r="I391" s="290"/>
      <c r="J391" s="290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1.25" customHeight="1" x14ac:dyDescent="0.2">
      <c r="A392" s="15" t="s">
        <v>314</v>
      </c>
      <c r="B392" s="15"/>
      <c r="C392" s="15"/>
      <c r="D392" s="17"/>
      <c r="E392" s="17"/>
      <c r="F392" s="17"/>
      <c r="G392" s="17"/>
      <c r="H392" s="15"/>
      <c r="I392" s="290"/>
      <c r="J392" s="290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1.25" customHeight="1" x14ac:dyDescent="0.2">
      <c r="A393" s="243" t="s">
        <v>202</v>
      </c>
      <c r="B393" s="244" t="s">
        <v>95</v>
      </c>
      <c r="C393" s="244" t="s">
        <v>50</v>
      </c>
      <c r="D393" s="245" t="s">
        <v>203</v>
      </c>
      <c r="E393" s="245" t="s">
        <v>204</v>
      </c>
      <c r="F393" s="246" t="s">
        <v>205</v>
      </c>
      <c r="G393" s="17"/>
      <c r="H393" s="15"/>
      <c r="I393" s="290"/>
      <c r="J393" s="290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1.25" customHeight="1" x14ac:dyDescent="0.2">
      <c r="A394" s="330" t="s">
        <v>315</v>
      </c>
      <c r="B394" s="331" t="s">
        <v>316</v>
      </c>
      <c r="C394" s="305">
        <f>'0. Qtdades e Custos'!S56/('0. Qtdades e Custos'!Q56*12)</f>
        <v>1.1666666666666665E-2</v>
      </c>
      <c r="D394" s="249">
        <f>D354</f>
        <v>405666.67</v>
      </c>
      <c r="E394" s="250">
        <f>C394*D394</f>
        <v>4732.7778166666658</v>
      </c>
      <c r="F394" s="17"/>
      <c r="G394" s="17"/>
      <c r="H394" s="15"/>
      <c r="I394" s="290"/>
      <c r="J394" s="290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1.25" customHeight="1" x14ac:dyDescent="0.2">
      <c r="A395" s="15"/>
      <c r="B395" s="15"/>
      <c r="C395" s="15"/>
      <c r="D395" s="17"/>
      <c r="E395" s="17"/>
      <c r="F395" s="287">
        <f>E394</f>
        <v>4732.7778166666658</v>
      </c>
      <c r="G395" s="17"/>
      <c r="H395" s="15"/>
      <c r="I395" s="290"/>
      <c r="J395" s="290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1.25" customHeight="1" x14ac:dyDescent="0.2">
      <c r="A396" s="15"/>
      <c r="B396" s="15"/>
      <c r="C396" s="15"/>
      <c r="D396" s="17"/>
      <c r="E396" s="17"/>
      <c r="F396" s="17"/>
      <c r="G396" s="17"/>
      <c r="H396" s="15"/>
      <c r="I396" s="290"/>
      <c r="J396" s="290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1.25" customHeight="1" x14ac:dyDescent="0.2">
      <c r="A397" s="15" t="s">
        <v>317</v>
      </c>
      <c r="B397" s="15"/>
      <c r="C397" s="15"/>
      <c r="D397" s="17"/>
      <c r="E397" s="17"/>
      <c r="F397" s="17"/>
      <c r="G397" s="17"/>
      <c r="H397" s="15"/>
      <c r="I397" s="290"/>
      <c r="J397" s="290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1.25" customHeight="1" x14ac:dyDescent="0.2">
      <c r="A398" s="243" t="s">
        <v>202</v>
      </c>
      <c r="B398" s="244" t="s">
        <v>95</v>
      </c>
      <c r="C398" s="244" t="s">
        <v>50</v>
      </c>
      <c r="D398" s="245" t="s">
        <v>203</v>
      </c>
      <c r="E398" s="245" t="s">
        <v>204</v>
      </c>
      <c r="F398" s="246" t="s">
        <v>205</v>
      </c>
      <c r="G398" s="17"/>
      <c r="H398" s="15"/>
      <c r="I398" s="290"/>
      <c r="J398" s="290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1.25" customHeight="1" x14ac:dyDescent="0.2">
      <c r="A399" s="247" t="s">
        <v>318</v>
      </c>
      <c r="B399" s="248" t="s">
        <v>238</v>
      </c>
      <c r="C399" s="306">
        <v>2</v>
      </c>
      <c r="D399" s="249">
        <v>765.4</v>
      </c>
      <c r="E399" s="250">
        <f>C399*D399</f>
        <v>1530.8</v>
      </c>
      <c r="F399" s="17"/>
      <c r="G399" s="17"/>
      <c r="H399" s="15"/>
      <c r="I399" s="290"/>
      <c r="J399" s="290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1.25" customHeight="1" x14ac:dyDescent="0.2">
      <c r="A400" s="247" t="s">
        <v>287</v>
      </c>
      <c r="B400" s="248" t="s">
        <v>238</v>
      </c>
      <c r="C400" s="306">
        <v>1</v>
      </c>
      <c r="D400" s="250"/>
      <c r="E400" s="250"/>
      <c r="F400" s="17"/>
      <c r="G400" s="17"/>
      <c r="H400" s="15"/>
      <c r="I400" s="290"/>
      <c r="J400" s="290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1.25" customHeight="1" x14ac:dyDescent="0.2">
      <c r="A401" s="247" t="s">
        <v>288</v>
      </c>
      <c r="B401" s="248" t="s">
        <v>238</v>
      </c>
      <c r="C401" s="250">
        <f>C399*C400</f>
        <v>2</v>
      </c>
      <c r="D401" s="249">
        <v>750</v>
      </c>
      <c r="E401" s="250">
        <f>C401*D401</f>
        <v>1500</v>
      </c>
      <c r="F401" s="17"/>
      <c r="G401" s="17"/>
      <c r="H401" s="15"/>
      <c r="I401" s="290"/>
      <c r="J401" s="290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1.25" customHeight="1" x14ac:dyDescent="0.2">
      <c r="A402" s="251" t="s">
        <v>289</v>
      </c>
      <c r="B402" s="252" t="s">
        <v>290</v>
      </c>
      <c r="C402" s="307">
        <v>1350</v>
      </c>
      <c r="D402" s="253">
        <f>E399+E401</f>
        <v>3030.8</v>
      </c>
      <c r="E402" s="253">
        <f>IFERROR(D402/C402,"-")</f>
        <v>2.2450370370370374</v>
      </c>
      <c r="F402" s="17"/>
      <c r="G402" s="17"/>
      <c r="H402" s="15"/>
      <c r="I402" s="290"/>
      <c r="J402" s="290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1.25" customHeight="1" x14ac:dyDescent="0.2">
      <c r="A403" s="251" t="s">
        <v>291</v>
      </c>
      <c r="B403" s="252" t="s">
        <v>292</v>
      </c>
      <c r="C403" s="267">
        <f>B384</f>
        <v>720</v>
      </c>
      <c r="D403" s="253">
        <f>E402</f>
        <v>2.2450370370370374</v>
      </c>
      <c r="E403" s="253">
        <f>IFERROR(C403*D403,0)</f>
        <v>1616.426666666667</v>
      </c>
      <c r="F403" s="17"/>
      <c r="G403" s="17"/>
      <c r="H403" s="15"/>
      <c r="I403" s="290"/>
      <c r="J403" s="290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1.25" customHeight="1" x14ac:dyDescent="0.2">
      <c r="A404" s="247" t="s">
        <v>319</v>
      </c>
      <c r="B404" s="248" t="s">
        <v>238</v>
      </c>
      <c r="C404" s="306">
        <v>2</v>
      </c>
      <c r="D404" s="249">
        <v>2584.5</v>
      </c>
      <c r="E404" s="250">
        <f>C404*D404</f>
        <v>5169</v>
      </c>
      <c r="F404" s="17"/>
      <c r="G404" s="17"/>
      <c r="H404" s="15"/>
      <c r="I404" s="290"/>
      <c r="J404" s="290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1.25" customHeight="1" x14ac:dyDescent="0.2">
      <c r="A405" s="247" t="s">
        <v>287</v>
      </c>
      <c r="B405" s="248" t="s">
        <v>238</v>
      </c>
      <c r="C405" s="306">
        <v>1</v>
      </c>
      <c r="D405" s="250"/>
      <c r="E405" s="250"/>
      <c r="F405" s="17"/>
      <c r="G405" s="17"/>
      <c r="H405" s="15"/>
      <c r="I405" s="290"/>
      <c r="J405" s="290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1.25" customHeight="1" x14ac:dyDescent="0.2">
      <c r="A406" s="247" t="s">
        <v>288</v>
      </c>
      <c r="B406" s="248" t="s">
        <v>238</v>
      </c>
      <c r="C406" s="250">
        <f>C404*C405</f>
        <v>2</v>
      </c>
      <c r="D406" s="249">
        <v>2227.5</v>
      </c>
      <c r="E406" s="250">
        <f>C406*D406</f>
        <v>4455</v>
      </c>
      <c r="F406" s="17"/>
      <c r="G406" s="17"/>
      <c r="H406" s="15"/>
      <c r="I406" s="290"/>
      <c r="J406" s="290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1.25" customHeight="1" x14ac:dyDescent="0.2">
      <c r="A407" s="251" t="s">
        <v>289</v>
      </c>
      <c r="B407" s="252" t="s">
        <v>290</v>
      </c>
      <c r="C407" s="307">
        <v>1350</v>
      </c>
      <c r="D407" s="253">
        <f>E404+E406</f>
        <v>9624</v>
      </c>
      <c r="E407" s="253">
        <f>IFERROR(D407/C407,"-")</f>
        <v>7.1288888888888886</v>
      </c>
      <c r="F407" s="17"/>
      <c r="G407" s="17"/>
      <c r="H407" s="15"/>
      <c r="I407" s="290"/>
      <c r="J407" s="290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1.25" customHeight="1" x14ac:dyDescent="0.2">
      <c r="A408" s="251" t="s">
        <v>291</v>
      </c>
      <c r="B408" s="252" t="s">
        <v>292</v>
      </c>
      <c r="C408" s="267">
        <f>B314</f>
        <v>720</v>
      </c>
      <c r="D408" s="253">
        <f>E407</f>
        <v>7.1288888888888886</v>
      </c>
      <c r="E408" s="253">
        <f>IFERROR(C408*D408,0)</f>
        <v>5132.8</v>
      </c>
      <c r="F408" s="17"/>
      <c r="G408" s="17"/>
      <c r="H408" s="15"/>
      <c r="I408" s="290"/>
      <c r="J408" s="290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1.25" customHeight="1" x14ac:dyDescent="0.2">
      <c r="A409" s="15"/>
      <c r="B409" s="15"/>
      <c r="C409" s="15"/>
      <c r="D409" s="17"/>
      <c r="E409" s="17"/>
      <c r="F409" s="287">
        <f>E408+E403</f>
        <v>6749.2266666666674</v>
      </c>
      <c r="G409" s="17"/>
      <c r="H409" s="15"/>
      <c r="I409" s="290"/>
      <c r="J409" s="290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1.25" customHeight="1" x14ac:dyDescent="0.2">
      <c r="A410" s="171" t="s">
        <v>320</v>
      </c>
      <c r="B410" s="171"/>
      <c r="C410" s="171"/>
      <c r="D410" s="308"/>
      <c r="E410" s="308"/>
      <c r="F410" s="308"/>
      <c r="G410" s="17"/>
      <c r="H410" s="15"/>
      <c r="I410" s="290"/>
      <c r="J410" s="290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1.25" customHeight="1" x14ac:dyDescent="0.25">
      <c r="A411" s="309" t="s">
        <v>202</v>
      </c>
      <c r="B411" s="310" t="s">
        <v>95</v>
      </c>
      <c r="C411" s="310" t="s">
        <v>50</v>
      </c>
      <c r="D411" s="311" t="s">
        <v>203</v>
      </c>
      <c r="E411" s="311" t="s">
        <v>204</v>
      </c>
      <c r="F411" s="312" t="s">
        <v>294</v>
      </c>
      <c r="G411" s="17"/>
      <c r="H411" s="15"/>
      <c r="I411" s="290"/>
      <c r="J411" s="290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1.25" customHeight="1" x14ac:dyDescent="0.2">
      <c r="A412" s="313" t="s">
        <v>295</v>
      </c>
      <c r="B412" s="177" t="s">
        <v>296</v>
      </c>
      <c r="C412" s="177">
        <v>4</v>
      </c>
      <c r="D412" s="315">
        <f>'0. Qtdades e Custos'!D173</f>
        <v>150</v>
      </c>
      <c r="E412" s="316">
        <f>D412*C412</f>
        <v>600</v>
      </c>
      <c r="F412" s="170"/>
      <c r="G412" s="17"/>
      <c r="H412" s="15"/>
      <c r="I412" s="290"/>
      <c r="J412" s="290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1.25" customHeight="1" x14ac:dyDescent="0.2">
      <c r="A413" s="313" t="s">
        <v>297</v>
      </c>
      <c r="B413" s="177" t="s">
        <v>208</v>
      </c>
      <c r="C413" s="177">
        <v>12</v>
      </c>
      <c r="D413" s="316">
        <f>D412</f>
        <v>150</v>
      </c>
      <c r="E413" s="316">
        <f>D413/C413</f>
        <v>12.5</v>
      </c>
      <c r="F413" s="170"/>
      <c r="G413" s="17"/>
      <c r="H413" s="15"/>
      <c r="I413" s="290"/>
      <c r="J413" s="290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1.25" customHeight="1" x14ac:dyDescent="0.2">
      <c r="A414" s="313" t="s">
        <v>298</v>
      </c>
      <c r="B414" s="177" t="s">
        <v>299</v>
      </c>
      <c r="C414" s="177">
        <v>4</v>
      </c>
      <c r="D414" s="315">
        <f>'0. Qtdades e Custos'!D174</f>
        <v>56.99</v>
      </c>
      <c r="E414" s="316">
        <f>D414*C414</f>
        <v>227.96</v>
      </c>
      <c r="F414" s="170"/>
      <c r="G414" s="17"/>
      <c r="H414" s="15"/>
      <c r="I414" s="290"/>
      <c r="J414" s="290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1.25" customHeight="1" x14ac:dyDescent="0.25">
      <c r="A415" s="317" t="s">
        <v>300</v>
      </c>
      <c r="B415" s="318"/>
      <c r="C415" s="319"/>
      <c r="D415" s="320"/>
      <c r="E415" s="321">
        <f>E414+E413</f>
        <v>240.46</v>
      </c>
      <c r="F415" s="170"/>
      <c r="G415" s="17"/>
      <c r="H415" s="15"/>
      <c r="I415" s="290"/>
      <c r="J415" s="290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1.25" customHeight="1" x14ac:dyDescent="0.25">
      <c r="A416" s="171"/>
      <c r="B416" s="171"/>
      <c r="C416" s="171"/>
      <c r="D416" s="322" t="s">
        <v>217</v>
      </c>
      <c r="E416" s="323">
        <v>1</v>
      </c>
      <c r="F416" s="324">
        <f>(E415)*E416</f>
        <v>240.46</v>
      </c>
      <c r="G416" s="17"/>
      <c r="H416" s="15"/>
      <c r="I416" s="290"/>
      <c r="J416" s="290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1.25" customHeight="1" x14ac:dyDescent="0.2">
      <c r="A417" s="171"/>
      <c r="B417" s="171"/>
      <c r="C417" s="171"/>
      <c r="D417" s="308"/>
      <c r="E417" s="308"/>
      <c r="F417" s="308"/>
      <c r="G417" s="17"/>
      <c r="H417" s="15"/>
      <c r="I417" s="290"/>
      <c r="J417" s="290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1.25" customHeight="1" x14ac:dyDescent="0.25">
      <c r="A418" s="325" t="s">
        <v>301</v>
      </c>
      <c r="B418" s="326"/>
      <c r="C418" s="326"/>
      <c r="D418" s="327"/>
      <c r="E418" s="328"/>
      <c r="F418" s="329">
        <f>F416</f>
        <v>240.46</v>
      </c>
      <c r="G418" s="17"/>
      <c r="H418" s="15"/>
      <c r="I418" s="290"/>
      <c r="J418" s="290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1.25" customHeight="1" x14ac:dyDescent="0.2">
      <c r="A419" s="15"/>
      <c r="B419" s="15"/>
      <c r="C419" s="15"/>
      <c r="D419" s="17"/>
      <c r="E419" s="17"/>
      <c r="F419" s="17"/>
      <c r="G419" s="17"/>
      <c r="H419" s="15"/>
      <c r="I419" s="290"/>
      <c r="J419" s="290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1.25" customHeight="1" x14ac:dyDescent="0.2">
      <c r="A420" s="15"/>
      <c r="B420" s="15"/>
      <c r="C420" s="15"/>
      <c r="D420" s="17"/>
      <c r="E420" s="17"/>
      <c r="F420" s="17"/>
      <c r="G420" s="17"/>
      <c r="H420" s="15"/>
      <c r="I420" s="290"/>
      <c r="J420" s="290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1.25" customHeight="1" x14ac:dyDescent="0.2">
      <c r="A421" s="15"/>
      <c r="B421" s="15"/>
      <c r="C421" s="15"/>
      <c r="D421" s="17"/>
      <c r="E421" s="17"/>
      <c r="F421" s="17"/>
      <c r="G421" s="17"/>
      <c r="H421" s="15"/>
      <c r="I421" s="290"/>
      <c r="J421" s="290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1.25" customHeight="1" x14ac:dyDescent="0.2">
      <c r="A422" s="15"/>
      <c r="B422" s="15"/>
      <c r="C422" s="15"/>
      <c r="D422" s="17"/>
      <c r="E422" s="17"/>
      <c r="F422" s="17"/>
      <c r="G422" s="17"/>
      <c r="H422" s="15"/>
      <c r="I422" s="290"/>
      <c r="J422" s="290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23.25" customHeight="1" x14ac:dyDescent="0.2">
      <c r="A423" s="516" t="s">
        <v>321</v>
      </c>
      <c r="B423" s="516"/>
      <c r="C423" s="516"/>
      <c r="D423" s="516"/>
      <c r="E423" s="516"/>
      <c r="F423" s="516"/>
      <c r="G423" s="17"/>
      <c r="H423" s="15"/>
      <c r="I423" s="290"/>
      <c r="J423" s="290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1.25" customHeight="1" x14ac:dyDescent="0.2">
      <c r="A424" s="15"/>
      <c r="B424" s="15"/>
      <c r="C424" s="15"/>
      <c r="D424" s="17"/>
      <c r="E424" s="17"/>
      <c r="F424" s="17"/>
      <c r="G424" s="17"/>
      <c r="H424" s="15"/>
      <c r="I424" s="290"/>
      <c r="J424" s="290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1.25" customHeight="1" x14ac:dyDescent="0.2">
      <c r="A425" s="288" t="s">
        <v>322</v>
      </c>
      <c r="B425" s="15"/>
      <c r="C425" s="15"/>
      <c r="D425" s="17"/>
      <c r="E425" s="17"/>
      <c r="F425" s="17"/>
      <c r="G425" s="17"/>
      <c r="H425" s="15"/>
      <c r="I425" s="290"/>
      <c r="J425" s="290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1.25" customHeight="1" x14ac:dyDescent="0.2">
      <c r="A426" s="243" t="s">
        <v>202</v>
      </c>
      <c r="B426" s="244" t="s">
        <v>95</v>
      </c>
      <c r="C426" s="244" t="s">
        <v>50</v>
      </c>
      <c r="D426" s="245" t="s">
        <v>203</v>
      </c>
      <c r="E426" s="245" t="s">
        <v>204</v>
      </c>
      <c r="F426" s="246" t="s">
        <v>205</v>
      </c>
      <c r="G426" s="17"/>
      <c r="H426" s="15"/>
      <c r="I426" s="290"/>
      <c r="J426" s="290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1.25" customHeight="1" x14ac:dyDescent="0.2">
      <c r="A427" s="247" t="s">
        <v>254</v>
      </c>
      <c r="B427" s="248" t="s">
        <v>238</v>
      </c>
      <c r="C427" s="248">
        <v>1</v>
      </c>
      <c r="D427" s="249">
        <f>'0. Qtdades e Custos'!N60</f>
        <v>228930</v>
      </c>
      <c r="E427" s="250">
        <f>C427*D427</f>
        <v>228930</v>
      </c>
      <c r="F427" s="17"/>
      <c r="G427" s="17"/>
      <c r="H427" s="15"/>
      <c r="I427" s="290"/>
      <c r="J427" s="290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1.25" customHeight="1" x14ac:dyDescent="0.2">
      <c r="A428" s="251" t="s">
        <v>255</v>
      </c>
      <c r="B428" s="252" t="s">
        <v>256</v>
      </c>
      <c r="C428" s="281">
        <f>'0. Qtdades e Custos'!Q60</f>
        <v>6</v>
      </c>
      <c r="D428" s="253"/>
      <c r="E428" s="253"/>
      <c r="F428" s="17"/>
      <c r="G428" s="17"/>
      <c r="H428" s="15"/>
      <c r="I428" s="290"/>
      <c r="J428" s="290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1.25" customHeight="1" x14ac:dyDescent="0.2">
      <c r="A429" s="251" t="s">
        <v>257</v>
      </c>
      <c r="B429" s="252" t="s">
        <v>256</v>
      </c>
      <c r="C429" s="257">
        <v>0</v>
      </c>
      <c r="D429" s="253"/>
      <c r="E429" s="253"/>
      <c r="F429" s="134"/>
      <c r="G429" s="17"/>
      <c r="H429" s="15"/>
      <c r="I429" s="290"/>
      <c r="J429" s="290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1.25" customHeight="1" x14ac:dyDescent="0.2">
      <c r="A430" s="251" t="s">
        <v>258</v>
      </c>
      <c r="B430" s="252" t="s">
        <v>182</v>
      </c>
      <c r="C430" s="256">
        <f>IFERROR(VLOOKUP(C428,'7. Depreciação'!A3:B17,2,0),0)</f>
        <v>58.18</v>
      </c>
      <c r="D430" s="253">
        <f>E427</f>
        <v>228930</v>
      </c>
      <c r="E430" s="253">
        <f>C430*D430/100</f>
        <v>133191.47400000002</v>
      </c>
      <c r="F430" s="17"/>
      <c r="G430" s="17"/>
      <c r="H430" s="15"/>
      <c r="I430" s="290"/>
      <c r="J430" s="290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1.25" customHeight="1" x14ac:dyDescent="0.2">
      <c r="A431" s="291" t="s">
        <v>323</v>
      </c>
      <c r="B431" s="292" t="s">
        <v>208</v>
      </c>
      <c r="C431" s="292">
        <f>C428*12</f>
        <v>72</v>
      </c>
      <c r="D431" s="293">
        <f>IF(C429&lt;=C428,E430,0)</f>
        <v>133191.47400000002</v>
      </c>
      <c r="E431" s="293">
        <f>IFERROR(D431/C431,0)</f>
        <v>1849.8815833333335</v>
      </c>
      <c r="F431" s="17"/>
      <c r="G431" s="17"/>
      <c r="H431" s="15"/>
      <c r="I431" s="290"/>
      <c r="J431" s="290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1.25" customHeight="1" x14ac:dyDescent="0.2">
      <c r="A432" s="247" t="s">
        <v>324</v>
      </c>
      <c r="B432" s="248" t="s">
        <v>238</v>
      </c>
      <c r="C432" s="248">
        <f>C427</f>
        <v>1</v>
      </c>
      <c r="D432" s="249">
        <f>'0. Qtdades e Custos'!N61</f>
        <v>96215.41</v>
      </c>
      <c r="E432" s="250">
        <f>C432*D432</f>
        <v>96215.41</v>
      </c>
      <c r="F432" s="17"/>
      <c r="G432" s="17"/>
      <c r="H432" s="15"/>
      <c r="I432" s="290"/>
      <c r="J432" s="290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1.25" customHeight="1" x14ac:dyDescent="0.2">
      <c r="A433" s="251" t="s">
        <v>325</v>
      </c>
      <c r="B433" s="252" t="s">
        <v>256</v>
      </c>
      <c r="C433" s="281">
        <f>'0. Qtdades e Custos'!Q60</f>
        <v>6</v>
      </c>
      <c r="D433" s="253"/>
      <c r="E433" s="253"/>
      <c r="F433" s="17"/>
      <c r="G433" s="17"/>
      <c r="H433" s="15"/>
      <c r="I433" s="290"/>
      <c r="J433" s="290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1.25" customHeight="1" x14ac:dyDescent="0.2">
      <c r="A434" s="251" t="s">
        <v>326</v>
      </c>
      <c r="B434" s="252" t="s">
        <v>256</v>
      </c>
      <c r="C434" s="257">
        <v>0</v>
      </c>
      <c r="D434" s="253"/>
      <c r="E434" s="253"/>
      <c r="F434" s="134"/>
      <c r="G434" s="17"/>
      <c r="H434" s="15"/>
      <c r="I434" s="290"/>
      <c r="J434" s="290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1.25" customHeight="1" x14ac:dyDescent="0.2">
      <c r="A435" s="251" t="s">
        <v>327</v>
      </c>
      <c r="B435" s="252" t="s">
        <v>182</v>
      </c>
      <c r="C435" s="332">
        <f>IFERROR(VLOOKUP(C433,'7. Depreciação'!A3:B17,2,0),0)</f>
        <v>58.18</v>
      </c>
      <c r="D435" s="253">
        <f>E432</f>
        <v>96215.41</v>
      </c>
      <c r="E435" s="253">
        <f>C435*D435/100</f>
        <v>55978.125538</v>
      </c>
      <c r="F435" s="17"/>
      <c r="G435" s="17"/>
      <c r="H435" s="15"/>
      <c r="I435" s="290"/>
      <c r="J435" s="290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1.25" customHeight="1" x14ac:dyDescent="0.2">
      <c r="A436" s="262" t="s">
        <v>328</v>
      </c>
      <c r="B436" s="294" t="s">
        <v>208</v>
      </c>
      <c r="C436" s="294">
        <f>C433*12</f>
        <v>72</v>
      </c>
      <c r="D436" s="263">
        <f>IF(C434&lt;=C433,E435,0)</f>
        <v>55978.125538</v>
      </c>
      <c r="E436" s="263">
        <f>IFERROR(D436/C436,0)</f>
        <v>777.47396580555551</v>
      </c>
      <c r="F436" s="17"/>
      <c r="G436" s="17"/>
      <c r="H436" s="15"/>
      <c r="I436" s="290"/>
      <c r="J436" s="290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1.25" customHeight="1" x14ac:dyDescent="0.2">
      <c r="A437" s="254" t="s">
        <v>260</v>
      </c>
      <c r="B437" s="135"/>
      <c r="C437" s="135"/>
      <c r="D437" s="39"/>
      <c r="E437" s="255">
        <f>E431+E436</f>
        <v>2627.3555491388888</v>
      </c>
      <c r="F437" s="17"/>
      <c r="G437" s="17"/>
      <c r="H437" s="15"/>
      <c r="I437" s="290"/>
      <c r="J437" s="290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1.25" customHeight="1" x14ac:dyDescent="0.2">
      <c r="A438" s="262" t="s">
        <v>261</v>
      </c>
      <c r="B438" s="294" t="s">
        <v>238</v>
      </c>
      <c r="C438" s="281">
        <f>'0. Qtdades e Custos'!P60</f>
        <v>2</v>
      </c>
      <c r="D438" s="263">
        <f>E437</f>
        <v>2627.3555491388888</v>
      </c>
      <c r="E438" s="255">
        <f>C438*D438</f>
        <v>5254.7110982777776</v>
      </c>
      <c r="F438" s="17"/>
      <c r="G438" s="17"/>
      <c r="H438" s="15"/>
      <c r="I438" s="290"/>
      <c r="J438" s="290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1.25" customHeight="1" x14ac:dyDescent="0.2">
      <c r="A439" s="295"/>
      <c r="B439" s="295"/>
      <c r="C439" s="295"/>
      <c r="D439" s="258" t="s">
        <v>217</v>
      </c>
      <c r="E439" s="259">
        <f>$B$99</f>
        <v>1</v>
      </c>
      <c r="F439" s="287">
        <f>E438*E439</f>
        <v>5254.7110982777776</v>
      </c>
      <c r="G439" s="17"/>
      <c r="H439" s="15"/>
      <c r="I439" s="290"/>
      <c r="J439" s="290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1.25" customHeight="1" x14ac:dyDescent="0.2">
      <c r="A440" s="15"/>
      <c r="B440" s="15"/>
      <c r="C440" s="15"/>
      <c r="D440" s="17"/>
      <c r="E440" s="17"/>
      <c r="F440" s="17"/>
      <c r="G440" s="17"/>
      <c r="H440" s="15"/>
      <c r="I440" s="290"/>
      <c r="J440" s="290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1.25" customHeight="1" x14ac:dyDescent="0.2">
      <c r="A441" s="288" t="s">
        <v>329</v>
      </c>
      <c r="B441" s="15"/>
      <c r="C441" s="15"/>
      <c r="D441" s="17"/>
      <c r="E441" s="17"/>
      <c r="F441" s="17"/>
      <c r="G441" s="17"/>
      <c r="H441" s="15"/>
      <c r="I441" s="290"/>
      <c r="J441" s="290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1.25" customHeight="1" x14ac:dyDescent="0.2">
      <c r="A442" s="243" t="s">
        <v>202</v>
      </c>
      <c r="B442" s="244" t="s">
        <v>95</v>
      </c>
      <c r="C442" s="244" t="s">
        <v>50</v>
      </c>
      <c r="D442" s="245" t="s">
        <v>203</v>
      </c>
      <c r="E442" s="245" t="s">
        <v>204</v>
      </c>
      <c r="F442" s="246" t="s">
        <v>205</v>
      </c>
      <c r="G442" s="17"/>
      <c r="H442" s="15"/>
      <c r="I442" s="290"/>
      <c r="J442" s="290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1.25" customHeight="1" x14ac:dyDescent="0.2">
      <c r="A443" s="247" t="s">
        <v>263</v>
      </c>
      <c r="B443" s="248" t="s">
        <v>238</v>
      </c>
      <c r="C443" s="248">
        <v>1</v>
      </c>
      <c r="D443" s="250">
        <f>D427</f>
        <v>228930</v>
      </c>
      <c r="E443" s="250">
        <f>C443*D443</f>
        <v>228930</v>
      </c>
      <c r="F443" s="134"/>
      <c r="G443" s="17"/>
      <c r="H443" s="15"/>
      <c r="I443" s="290"/>
      <c r="J443" s="290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1.25" customHeight="1" x14ac:dyDescent="0.2">
      <c r="A444" s="251" t="s">
        <v>264</v>
      </c>
      <c r="B444" s="252" t="s">
        <v>182</v>
      </c>
      <c r="C444" s="257">
        <v>14.75</v>
      </c>
      <c r="D444" s="253"/>
      <c r="E444" s="253"/>
      <c r="F444" s="134"/>
      <c r="G444" s="17"/>
      <c r="H444" s="15"/>
      <c r="I444" s="290"/>
      <c r="J444" s="290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1.25" customHeight="1" x14ac:dyDescent="0.2">
      <c r="A445" s="251" t="s">
        <v>265</v>
      </c>
      <c r="B445" s="252" t="s">
        <v>231</v>
      </c>
      <c r="C445" s="253">
        <f>IFERROR(IF(C429&lt;=C428,E427-(C430/(100*C428)*C429)*E427,E427-E430),0)</f>
        <v>228930</v>
      </c>
      <c r="D445" s="253"/>
      <c r="E445" s="253"/>
      <c r="F445" s="134"/>
      <c r="G445" s="17"/>
      <c r="H445" s="15"/>
      <c r="I445" s="290"/>
      <c r="J445" s="290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1.25" customHeight="1" x14ac:dyDescent="0.2">
      <c r="A446" s="251" t="s">
        <v>266</v>
      </c>
      <c r="B446" s="252" t="s">
        <v>231</v>
      </c>
      <c r="C446" s="253">
        <f>IFERROR(IF(C429&gt;=C428,C445,((((C445)-(E427-E430))*(((C428-C429)+1)/(2*(C428-C429))))+(E427-E430))),0)</f>
        <v>173433.55249999999</v>
      </c>
      <c r="D446" s="253"/>
      <c r="E446" s="253"/>
      <c r="F446" s="134"/>
      <c r="G446" s="17"/>
      <c r="H446" s="15"/>
      <c r="I446" s="290"/>
      <c r="J446" s="290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1.25" customHeight="1" x14ac:dyDescent="0.2">
      <c r="A447" s="291" t="s">
        <v>267</v>
      </c>
      <c r="B447" s="292" t="s">
        <v>231</v>
      </c>
      <c r="C447" s="292"/>
      <c r="D447" s="293">
        <f>C444*C446/12/100</f>
        <v>2131.787416145833</v>
      </c>
      <c r="E447" s="293">
        <f>D447</f>
        <v>2131.787416145833</v>
      </c>
      <c r="F447" s="134"/>
      <c r="G447" s="17"/>
      <c r="H447" s="15"/>
      <c r="I447" s="290"/>
      <c r="J447" s="290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1.25" customHeight="1" x14ac:dyDescent="0.2">
      <c r="A448" s="247" t="s">
        <v>330</v>
      </c>
      <c r="B448" s="248" t="s">
        <v>238</v>
      </c>
      <c r="C448" s="248">
        <f>C432</f>
        <v>1</v>
      </c>
      <c r="D448" s="250">
        <f>D432</f>
        <v>96215.41</v>
      </c>
      <c r="E448" s="250">
        <f>C448*D448</f>
        <v>96215.41</v>
      </c>
      <c r="F448" s="134"/>
      <c r="G448" s="17"/>
      <c r="H448" s="15"/>
      <c r="I448" s="290"/>
      <c r="J448" s="290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1.25" customHeight="1" x14ac:dyDescent="0.2">
      <c r="A449" s="251" t="s">
        <v>264</v>
      </c>
      <c r="B449" s="252" t="s">
        <v>182</v>
      </c>
      <c r="C449" s="252">
        <f>C444</f>
        <v>14.75</v>
      </c>
      <c r="D449" s="253"/>
      <c r="E449" s="253"/>
      <c r="F449" s="134"/>
      <c r="G449" s="17"/>
      <c r="H449" s="15"/>
      <c r="I449" s="290"/>
      <c r="J449" s="290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1.25" customHeight="1" x14ac:dyDescent="0.2">
      <c r="A450" s="251" t="s">
        <v>331</v>
      </c>
      <c r="B450" s="252" t="s">
        <v>231</v>
      </c>
      <c r="C450" s="253">
        <f>IFERROR(IF(C434&lt;=C433,E432-(C435/(100*C433)*C434)*E432,E432-E435),0)</f>
        <v>96215.41</v>
      </c>
      <c r="D450" s="253"/>
      <c r="E450" s="253"/>
      <c r="F450" s="134"/>
      <c r="G450" s="17"/>
      <c r="H450" s="15"/>
      <c r="I450" s="290"/>
      <c r="J450" s="290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1.25" customHeight="1" x14ac:dyDescent="0.2">
      <c r="A451" s="251" t="s">
        <v>332</v>
      </c>
      <c r="B451" s="252" t="s">
        <v>231</v>
      </c>
      <c r="C451" s="253">
        <f>IFERROR(IF(C434&gt;=C433,C450,((((C450)-(E432-E435))*(((C433-C434)+1)/(2*(C433-C434))))+(E432-E435))),0)</f>
        <v>72891.191025833337</v>
      </c>
      <c r="D451" s="253"/>
      <c r="E451" s="253"/>
      <c r="F451" s="134"/>
      <c r="G451" s="17"/>
      <c r="H451" s="15"/>
      <c r="I451" s="290"/>
      <c r="J451" s="290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1.25" customHeight="1" x14ac:dyDescent="0.2">
      <c r="A452" s="262" t="s">
        <v>333</v>
      </c>
      <c r="B452" s="294" t="s">
        <v>231</v>
      </c>
      <c r="C452" s="294"/>
      <c r="D452" s="263">
        <f>C449*C451/12/100</f>
        <v>895.95422302586803</v>
      </c>
      <c r="E452" s="263">
        <f>D452</f>
        <v>895.95422302586803</v>
      </c>
      <c r="F452" s="134"/>
      <c r="G452" s="17"/>
      <c r="H452" s="15"/>
      <c r="I452" s="290"/>
      <c r="J452" s="290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1.25" customHeight="1" x14ac:dyDescent="0.2">
      <c r="A453" s="254" t="s">
        <v>260</v>
      </c>
      <c r="B453" s="135"/>
      <c r="C453" s="135"/>
      <c r="D453" s="39"/>
      <c r="E453" s="255">
        <f>E447+E452</f>
        <v>3027.7416391717011</v>
      </c>
      <c r="F453" s="134"/>
      <c r="G453" s="17"/>
      <c r="H453" s="15"/>
      <c r="I453" s="290"/>
      <c r="J453" s="290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1.25" customHeight="1" x14ac:dyDescent="0.2">
      <c r="A454" s="262" t="s">
        <v>261</v>
      </c>
      <c r="B454" s="294" t="s">
        <v>238</v>
      </c>
      <c r="C454" s="296">
        <f>C438</f>
        <v>2</v>
      </c>
      <c r="D454" s="263">
        <f>E453</f>
        <v>3027.7416391717011</v>
      </c>
      <c r="E454" s="255">
        <f>C454*D454</f>
        <v>6055.4832783434022</v>
      </c>
      <c r="F454" s="134"/>
      <c r="G454" s="17"/>
      <c r="H454" s="15"/>
      <c r="I454" s="290"/>
      <c r="J454" s="290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1.25" customHeight="1" x14ac:dyDescent="0.2">
      <c r="A455" s="15"/>
      <c r="B455" s="15"/>
      <c r="C455" s="133"/>
      <c r="D455" s="258" t="s">
        <v>217</v>
      </c>
      <c r="E455" s="259">
        <f>$B$99</f>
        <v>1</v>
      </c>
      <c r="F455" s="287">
        <f>E454*E455</f>
        <v>6055.4832783434022</v>
      </c>
      <c r="G455" s="17"/>
      <c r="H455" s="15"/>
      <c r="I455" s="290"/>
      <c r="J455" s="290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1.25" customHeight="1" x14ac:dyDescent="0.2">
      <c r="A456" s="15"/>
      <c r="B456" s="15"/>
      <c r="C456" s="15"/>
      <c r="D456" s="17"/>
      <c r="E456" s="17"/>
      <c r="F456" s="17"/>
      <c r="G456" s="17"/>
      <c r="H456" s="15"/>
      <c r="I456" s="290"/>
      <c r="J456" s="290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1.25" customHeight="1" x14ac:dyDescent="0.2">
      <c r="A457" s="15" t="s">
        <v>334</v>
      </c>
      <c r="B457" s="15"/>
      <c r="C457" s="15"/>
      <c r="D457" s="17"/>
      <c r="E457" s="17"/>
      <c r="F457" s="17"/>
      <c r="G457" s="17"/>
      <c r="H457" s="15"/>
      <c r="I457" s="290"/>
      <c r="J457" s="290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1.25" customHeight="1" x14ac:dyDescent="0.2">
      <c r="A458" s="243" t="s">
        <v>202</v>
      </c>
      <c r="B458" s="244" t="s">
        <v>95</v>
      </c>
      <c r="C458" s="244" t="s">
        <v>50</v>
      </c>
      <c r="D458" s="245" t="s">
        <v>203</v>
      </c>
      <c r="E458" s="245" t="s">
        <v>204</v>
      </c>
      <c r="F458" s="246" t="s">
        <v>205</v>
      </c>
      <c r="G458" s="17"/>
      <c r="H458" s="15"/>
      <c r="I458" s="290"/>
      <c r="J458" s="290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1.25" customHeight="1" x14ac:dyDescent="0.2">
      <c r="A459" s="247" t="s">
        <v>269</v>
      </c>
      <c r="B459" s="248" t="s">
        <v>238</v>
      </c>
      <c r="C459" s="250">
        <f>C438</f>
        <v>2</v>
      </c>
      <c r="D459" s="250">
        <f>0.01*($E$284)</f>
        <v>5957.3213999999998</v>
      </c>
      <c r="E459" s="250">
        <f>C459*D459</f>
        <v>11914.6428</v>
      </c>
      <c r="F459" s="17"/>
      <c r="G459" s="17"/>
      <c r="H459" s="15"/>
      <c r="I459" s="290"/>
      <c r="J459" s="290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1.25" customHeight="1" x14ac:dyDescent="0.2">
      <c r="A460" s="251" t="s">
        <v>311</v>
      </c>
      <c r="B460" s="252" t="s">
        <v>238</v>
      </c>
      <c r="C460" s="250">
        <f>C438</f>
        <v>2</v>
      </c>
      <c r="D460" s="273"/>
      <c r="E460" s="253">
        <f>C460*D460</f>
        <v>0</v>
      </c>
      <c r="F460" s="17"/>
      <c r="G460" s="17"/>
      <c r="H460" s="15"/>
      <c r="I460" s="290"/>
      <c r="J460" s="290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1.25" customHeight="1" x14ac:dyDescent="0.2">
      <c r="A461" s="251" t="s">
        <v>271</v>
      </c>
      <c r="B461" s="252" t="s">
        <v>238</v>
      </c>
      <c r="C461" s="250">
        <f>C438</f>
        <v>2</v>
      </c>
      <c r="D461" s="273">
        <v>573.53</v>
      </c>
      <c r="E461" s="253">
        <f>C461*D461</f>
        <v>1147.06</v>
      </c>
      <c r="F461" s="39"/>
      <c r="G461" s="17"/>
      <c r="H461" s="15"/>
      <c r="I461" s="290"/>
      <c r="J461" s="290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1.25" customHeight="1" x14ac:dyDescent="0.2">
      <c r="A462" s="262" t="s">
        <v>272</v>
      </c>
      <c r="B462" s="294" t="s">
        <v>208</v>
      </c>
      <c r="C462" s="294">
        <v>12</v>
      </c>
      <c r="D462" s="263">
        <f>SUM(E459:E461)</f>
        <v>13061.702799999999</v>
      </c>
      <c r="E462" s="263">
        <f>D462/C462</f>
        <v>1088.4752333333333</v>
      </c>
      <c r="F462" s="17"/>
      <c r="G462" s="17"/>
      <c r="H462" s="15"/>
      <c r="I462" s="290"/>
      <c r="J462" s="290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1.25" customHeight="1" x14ac:dyDescent="0.2">
      <c r="A463" s="15"/>
      <c r="B463" s="15"/>
      <c r="C463" s="15"/>
      <c r="D463" s="258" t="s">
        <v>217</v>
      </c>
      <c r="E463" s="259">
        <f>$B$99</f>
        <v>1</v>
      </c>
      <c r="F463" s="260">
        <f>E462*E463</f>
        <v>1088.4752333333333</v>
      </c>
      <c r="G463" s="17"/>
      <c r="H463" s="15"/>
      <c r="I463" s="290"/>
      <c r="J463" s="290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1.25" customHeight="1" x14ac:dyDescent="0.2">
      <c r="A464" s="15"/>
      <c r="B464" s="15"/>
      <c r="C464" s="15"/>
      <c r="D464" s="17"/>
      <c r="E464" s="17"/>
      <c r="F464" s="17"/>
      <c r="G464" s="17"/>
      <c r="H464" s="15"/>
      <c r="I464" s="290"/>
      <c r="J464" s="290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1.25" customHeight="1" x14ac:dyDescent="0.2">
      <c r="A465" s="15" t="s">
        <v>335</v>
      </c>
      <c r="B465" s="297"/>
      <c r="C465" s="15"/>
      <c r="D465" s="17"/>
      <c r="E465" s="17"/>
      <c r="F465" s="17"/>
      <c r="G465" s="17"/>
      <c r="H465" s="15"/>
      <c r="I465" s="290"/>
      <c r="J465" s="290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1.25" customHeight="1" x14ac:dyDescent="0.2">
      <c r="A466" s="15"/>
      <c r="B466" s="297"/>
      <c r="C466" s="15"/>
      <c r="D466" s="17"/>
      <c r="E466" s="17"/>
      <c r="F466" s="17"/>
      <c r="G466" s="17"/>
      <c r="H466" s="15"/>
      <c r="I466" s="290"/>
      <c r="J466" s="290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1.25" customHeight="1" x14ac:dyDescent="0.2">
      <c r="A467" s="262" t="s">
        <v>274</v>
      </c>
      <c r="B467" s="298">
        <f>'0. Qtdades e Custos'!D5*0.8</f>
        <v>720</v>
      </c>
      <c r="C467" s="15" t="s">
        <v>313</v>
      </c>
      <c r="D467" s="17"/>
      <c r="E467" s="17"/>
      <c r="F467" s="17"/>
      <c r="G467" s="17"/>
      <c r="H467" s="15"/>
      <c r="I467" s="290"/>
      <c r="J467" s="290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2.75" customHeight="1" x14ac:dyDescent="0.2">
      <c r="A468" s="299" t="s">
        <v>275</v>
      </c>
      <c r="B468" s="300">
        <f>'0. Qtdades e Custos'!Y60</f>
        <v>2841.4203749999997</v>
      </c>
      <c r="C468" s="15"/>
      <c r="D468" s="17"/>
      <c r="E468" s="17"/>
      <c r="F468" s="17"/>
      <c r="G468" s="17"/>
      <c r="H468" s="15"/>
      <c r="I468" s="290"/>
      <c r="J468" s="290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1.25" customHeight="1" x14ac:dyDescent="0.2">
      <c r="A469" s="15"/>
      <c r="B469" s="297"/>
      <c r="C469" s="15"/>
      <c r="D469" s="17"/>
      <c r="E469" s="17"/>
      <c r="F469" s="17"/>
      <c r="G469" s="17"/>
      <c r="H469" s="15"/>
      <c r="I469" s="290"/>
      <c r="J469" s="290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1.25" customHeight="1" x14ac:dyDescent="0.2">
      <c r="A470" s="243" t="s">
        <v>202</v>
      </c>
      <c r="B470" s="244" t="s">
        <v>95</v>
      </c>
      <c r="C470" s="244" t="s">
        <v>276</v>
      </c>
      <c r="D470" s="245" t="s">
        <v>203</v>
      </c>
      <c r="E470" s="245" t="s">
        <v>204</v>
      </c>
      <c r="F470" s="246" t="s">
        <v>205</v>
      </c>
      <c r="G470" s="17"/>
      <c r="H470" s="15"/>
      <c r="I470" s="290"/>
      <c r="J470" s="290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1.25" customHeight="1" x14ac:dyDescent="0.2">
      <c r="A471" s="251" t="s">
        <v>277</v>
      </c>
      <c r="B471" s="252" t="s">
        <v>278</v>
      </c>
      <c r="C471" s="301">
        <f>B468</f>
        <v>2841.4203749999997</v>
      </c>
      <c r="D471" s="302">
        <v>6.25</v>
      </c>
      <c r="E471" s="250"/>
      <c r="F471" s="17"/>
      <c r="G471" s="17"/>
      <c r="H471" s="15"/>
      <c r="I471" s="290"/>
      <c r="J471" s="290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26.25" customHeight="1" x14ac:dyDescent="0.2">
      <c r="A472" s="299" t="s">
        <v>279</v>
      </c>
      <c r="B472" s="252" t="s">
        <v>280</v>
      </c>
      <c r="C472" s="253">
        <f>C471</f>
        <v>2841.4203749999997</v>
      </c>
      <c r="D472" s="303"/>
      <c r="E472" s="253">
        <f>C472*D471</f>
        <v>17758.877343749999</v>
      </c>
      <c r="F472" s="17"/>
      <c r="G472" s="17"/>
      <c r="H472" s="15"/>
      <c r="I472" s="290"/>
      <c r="J472" s="290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1.25" customHeight="1" x14ac:dyDescent="0.2">
      <c r="A473" s="15"/>
      <c r="B473" s="15"/>
      <c r="C473" s="15"/>
      <c r="D473" s="17"/>
      <c r="E473" s="17"/>
      <c r="F473" s="287">
        <f>SUM(E471:E472)</f>
        <v>17758.877343749999</v>
      </c>
      <c r="G473" s="17"/>
      <c r="H473" s="15"/>
      <c r="I473" s="290"/>
      <c r="J473" s="290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1.25" customHeight="1" x14ac:dyDescent="0.2">
      <c r="A474" s="15"/>
      <c r="B474" s="15"/>
      <c r="C474" s="15"/>
      <c r="D474" s="17"/>
      <c r="E474" s="17"/>
      <c r="F474" s="17"/>
      <c r="G474" s="17"/>
      <c r="H474" s="15"/>
      <c r="I474" s="290"/>
      <c r="J474" s="290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1.25" customHeight="1" x14ac:dyDescent="0.2">
      <c r="A475" s="15" t="s">
        <v>336</v>
      </c>
      <c r="B475" s="15"/>
      <c r="C475" s="15"/>
      <c r="D475" s="17"/>
      <c r="E475" s="17"/>
      <c r="F475" s="17"/>
      <c r="G475" s="17"/>
      <c r="H475" s="15"/>
      <c r="I475" s="290"/>
      <c r="J475" s="290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1.25" customHeight="1" x14ac:dyDescent="0.2">
      <c r="A476" s="243" t="s">
        <v>202</v>
      </c>
      <c r="B476" s="244" t="s">
        <v>95</v>
      </c>
      <c r="C476" s="244" t="s">
        <v>50</v>
      </c>
      <c r="D476" s="245" t="s">
        <v>203</v>
      </c>
      <c r="E476" s="245" t="s">
        <v>204</v>
      </c>
      <c r="F476" s="246" t="s">
        <v>205</v>
      </c>
      <c r="G476" s="17"/>
      <c r="H476" s="15"/>
      <c r="I476" s="290"/>
      <c r="J476" s="290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1.25" customHeight="1" x14ac:dyDescent="0.2">
      <c r="A477" s="247" t="s">
        <v>315</v>
      </c>
      <c r="B477" s="248" t="s">
        <v>316</v>
      </c>
      <c r="C477" s="267">
        <f>'0. Qtdades e Custos'!S60/('0. Qtdades e Custos'!Q60*12)</f>
        <v>9.7222222222222224E-3</v>
      </c>
      <c r="D477" s="249">
        <f>D427</f>
        <v>228930</v>
      </c>
      <c r="E477" s="250">
        <f>C477*D477</f>
        <v>2225.7083333333335</v>
      </c>
      <c r="F477" s="17"/>
      <c r="G477" s="17"/>
      <c r="H477" s="15"/>
      <c r="I477" s="290"/>
      <c r="J477" s="290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1.25" customHeight="1" x14ac:dyDescent="0.2">
      <c r="A478" s="15"/>
      <c r="B478" s="15"/>
      <c r="C478" s="15"/>
      <c r="D478" s="17"/>
      <c r="E478" s="17"/>
      <c r="F478" s="287">
        <f>E477</f>
        <v>2225.7083333333335</v>
      </c>
      <c r="G478" s="17"/>
      <c r="H478" s="15"/>
      <c r="I478" s="290"/>
      <c r="J478" s="290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1.25" customHeight="1" x14ac:dyDescent="0.2">
      <c r="A479" s="15"/>
      <c r="B479" s="15"/>
      <c r="C479" s="15"/>
      <c r="D479" s="17"/>
      <c r="E479" s="17"/>
      <c r="F479" s="17"/>
      <c r="G479" s="17"/>
      <c r="H479" s="15"/>
      <c r="I479" s="290"/>
      <c r="J479" s="290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1.25" customHeight="1" x14ac:dyDescent="0.2">
      <c r="A480" s="15" t="s">
        <v>337</v>
      </c>
      <c r="B480" s="15"/>
      <c r="C480" s="15"/>
      <c r="D480" s="17"/>
      <c r="E480" s="17"/>
      <c r="F480" s="17"/>
      <c r="G480" s="17"/>
      <c r="H480" s="15"/>
      <c r="I480" s="290"/>
      <c r="J480" s="290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1.25" customHeight="1" x14ac:dyDescent="0.2">
      <c r="A481" s="243" t="s">
        <v>202</v>
      </c>
      <c r="B481" s="244" t="s">
        <v>95</v>
      </c>
      <c r="C481" s="244" t="s">
        <v>50</v>
      </c>
      <c r="D481" s="245" t="s">
        <v>203</v>
      </c>
      <c r="E481" s="245" t="s">
        <v>204</v>
      </c>
      <c r="F481" s="246" t="s">
        <v>205</v>
      </c>
      <c r="G481" s="17"/>
      <c r="H481" s="15"/>
      <c r="I481" s="290"/>
      <c r="J481" s="290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1.25" customHeight="1" x14ac:dyDescent="0.2">
      <c r="A482" s="247" t="s">
        <v>338</v>
      </c>
      <c r="B482" s="248" t="s">
        <v>238</v>
      </c>
      <c r="C482" s="306">
        <v>2</v>
      </c>
      <c r="D482" s="249">
        <v>1833</v>
      </c>
      <c r="E482" s="250">
        <f>C482*D482</f>
        <v>3666</v>
      </c>
      <c r="F482" s="17"/>
      <c r="G482" s="17"/>
      <c r="H482" s="15"/>
      <c r="I482" s="290"/>
      <c r="J482" s="290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1.25" customHeight="1" x14ac:dyDescent="0.2">
      <c r="A483" s="247" t="s">
        <v>287</v>
      </c>
      <c r="B483" s="248" t="s">
        <v>238</v>
      </c>
      <c r="C483" s="306">
        <v>1</v>
      </c>
      <c r="D483" s="250"/>
      <c r="E483" s="250"/>
      <c r="F483" s="17"/>
      <c r="G483" s="17"/>
      <c r="H483" s="15"/>
      <c r="I483" s="290"/>
      <c r="J483" s="290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1.25" customHeight="1" x14ac:dyDescent="0.2">
      <c r="A484" s="247" t="s">
        <v>288</v>
      </c>
      <c r="B484" s="248" t="s">
        <v>238</v>
      </c>
      <c r="C484" s="250">
        <f>C482*C483</f>
        <v>2</v>
      </c>
      <c r="D484" s="249">
        <v>1158</v>
      </c>
      <c r="E484" s="250">
        <f>C484*D484</f>
        <v>2316</v>
      </c>
      <c r="F484" s="17"/>
      <c r="G484" s="17"/>
      <c r="H484" s="15"/>
      <c r="I484" s="290"/>
      <c r="J484" s="290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1.25" customHeight="1" x14ac:dyDescent="0.2">
      <c r="A485" s="251" t="s">
        <v>289</v>
      </c>
      <c r="B485" s="252" t="s">
        <v>290</v>
      </c>
      <c r="C485" s="307">
        <v>50000</v>
      </c>
      <c r="D485" s="253">
        <f>E482+E484</f>
        <v>5982</v>
      </c>
      <c r="E485" s="253">
        <f>IFERROR(D485/C485,"-")</f>
        <v>0.11964</v>
      </c>
      <c r="F485" s="17"/>
      <c r="G485" s="17"/>
      <c r="H485" s="15"/>
      <c r="I485" s="290"/>
      <c r="J485" s="290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1.25" customHeight="1" x14ac:dyDescent="0.2">
      <c r="A486" s="251" t="s">
        <v>291</v>
      </c>
      <c r="B486" s="252" t="s">
        <v>292</v>
      </c>
      <c r="C486" s="267">
        <f>B467</f>
        <v>720</v>
      </c>
      <c r="D486" s="253">
        <f>E485</f>
        <v>0.11964</v>
      </c>
      <c r="E486" s="253">
        <f>IFERROR(C486*D486,0)</f>
        <v>86.140799999999999</v>
      </c>
      <c r="F486" s="17"/>
      <c r="G486" s="17"/>
      <c r="H486" s="15"/>
      <c r="I486" s="290"/>
      <c r="J486" s="290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1.25" customHeight="1" x14ac:dyDescent="0.2">
      <c r="A487" s="251"/>
      <c r="B487" s="252"/>
      <c r="C487" s="267"/>
      <c r="D487" s="253"/>
      <c r="E487" s="253"/>
      <c r="F487" s="17"/>
      <c r="G487" s="17"/>
      <c r="H487" s="15"/>
      <c r="I487" s="290"/>
      <c r="J487" s="290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1.25" customHeight="1" x14ac:dyDescent="0.2">
      <c r="A488" s="247" t="s">
        <v>339</v>
      </c>
      <c r="B488" s="248" t="s">
        <v>238</v>
      </c>
      <c r="C488" s="306">
        <v>2</v>
      </c>
      <c r="D488" s="249">
        <v>3351.44</v>
      </c>
      <c r="E488" s="250">
        <f>C488*D488</f>
        <v>6702.88</v>
      </c>
      <c r="F488" s="17"/>
      <c r="G488" s="17"/>
      <c r="H488" s="15"/>
      <c r="I488" s="290"/>
      <c r="J488" s="290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1.25" customHeight="1" x14ac:dyDescent="0.2">
      <c r="A489" s="247" t="s">
        <v>287</v>
      </c>
      <c r="B489" s="248" t="s">
        <v>238</v>
      </c>
      <c r="C489" s="306">
        <v>1</v>
      </c>
      <c r="D489" s="250"/>
      <c r="E489" s="250"/>
      <c r="F489" s="17"/>
      <c r="G489" s="17"/>
      <c r="H489" s="15"/>
      <c r="I489" s="290"/>
      <c r="J489" s="290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1.25" customHeight="1" x14ac:dyDescent="0.2">
      <c r="A490" s="247" t="s">
        <v>288</v>
      </c>
      <c r="B490" s="248" t="s">
        <v>238</v>
      </c>
      <c r="C490" s="250">
        <f>C488*C489</f>
        <v>2</v>
      </c>
      <c r="D490" s="249">
        <v>2520.1999999999998</v>
      </c>
      <c r="E490" s="250">
        <f>C490*D490</f>
        <v>5040.3999999999996</v>
      </c>
      <c r="F490" s="17"/>
      <c r="G490" s="17"/>
      <c r="H490" s="15"/>
      <c r="I490" s="290"/>
      <c r="J490" s="290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1.25" customHeight="1" x14ac:dyDescent="0.2">
      <c r="A491" s="251" t="s">
        <v>289</v>
      </c>
      <c r="B491" s="252" t="s">
        <v>290</v>
      </c>
      <c r="C491" s="307">
        <v>50000</v>
      </c>
      <c r="D491" s="253">
        <f>E488+E490</f>
        <v>11743.279999999999</v>
      </c>
      <c r="E491" s="253">
        <f>IFERROR(D491/C491,"-")</f>
        <v>0.23486559999999998</v>
      </c>
      <c r="F491" s="17"/>
      <c r="G491" s="17"/>
      <c r="H491" s="15"/>
      <c r="I491" s="290"/>
      <c r="J491" s="290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1.25" customHeight="1" x14ac:dyDescent="0.2">
      <c r="A492" s="251" t="s">
        <v>291</v>
      </c>
      <c r="B492" s="252" t="s">
        <v>292</v>
      </c>
      <c r="C492" s="267">
        <f>B467</f>
        <v>720</v>
      </c>
      <c r="D492" s="253">
        <f>E491</f>
        <v>0.23486559999999998</v>
      </c>
      <c r="E492" s="253">
        <f>IFERROR(C492*D492,0)</f>
        <v>169.10323199999999</v>
      </c>
      <c r="F492" s="17"/>
      <c r="G492" s="17"/>
      <c r="H492" s="15"/>
      <c r="I492" s="290"/>
      <c r="J492" s="290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1.25" customHeight="1" x14ac:dyDescent="0.2">
      <c r="A493" s="15"/>
      <c r="B493" s="15"/>
      <c r="C493" s="15"/>
      <c r="D493" s="17"/>
      <c r="E493" s="17"/>
      <c r="F493" s="287">
        <f>E486+E492</f>
        <v>255.244032</v>
      </c>
      <c r="G493" s="17"/>
      <c r="H493" s="15"/>
      <c r="I493" s="290"/>
      <c r="J493" s="290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1.25" customHeight="1" x14ac:dyDescent="0.2">
      <c r="A494" s="15"/>
      <c r="B494" s="15"/>
      <c r="C494" s="15"/>
      <c r="D494" s="17"/>
      <c r="E494" s="17"/>
      <c r="F494" s="17"/>
      <c r="G494" s="17"/>
      <c r="H494" s="15"/>
      <c r="I494" s="290"/>
      <c r="J494" s="290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1.25" customHeight="1" x14ac:dyDescent="0.2">
      <c r="A495" s="171" t="s">
        <v>340</v>
      </c>
      <c r="B495" s="171"/>
      <c r="C495" s="171"/>
      <c r="D495" s="308"/>
      <c r="E495" s="308"/>
      <c r="F495" s="308"/>
      <c r="G495" s="17"/>
      <c r="H495" s="15"/>
      <c r="I495" s="290"/>
      <c r="J495" s="290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1.25" customHeight="1" x14ac:dyDescent="0.25">
      <c r="A496" s="309" t="s">
        <v>202</v>
      </c>
      <c r="B496" s="310" t="s">
        <v>95</v>
      </c>
      <c r="C496" s="310" t="s">
        <v>50</v>
      </c>
      <c r="D496" s="311" t="s">
        <v>203</v>
      </c>
      <c r="E496" s="311" t="s">
        <v>204</v>
      </c>
      <c r="F496" s="312" t="s">
        <v>294</v>
      </c>
      <c r="G496" s="17"/>
      <c r="H496" s="15"/>
      <c r="I496" s="290"/>
      <c r="J496" s="290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1.25" customHeight="1" x14ac:dyDescent="0.2">
      <c r="A497" s="313" t="s">
        <v>295</v>
      </c>
      <c r="B497" s="177" t="s">
        <v>296</v>
      </c>
      <c r="C497" s="314">
        <f>C438</f>
        <v>2</v>
      </c>
      <c r="D497" s="315">
        <f>'0. Qtdades e Custos'!D173</f>
        <v>150</v>
      </c>
      <c r="E497" s="316">
        <f>D497*C497</f>
        <v>300</v>
      </c>
      <c r="F497" s="170"/>
      <c r="G497" s="17"/>
      <c r="H497" s="15"/>
      <c r="I497" s="290"/>
      <c r="J497" s="290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1.25" customHeight="1" x14ac:dyDescent="0.2">
      <c r="A498" s="313" t="s">
        <v>297</v>
      </c>
      <c r="B498" s="177" t="s">
        <v>208</v>
      </c>
      <c r="C498" s="177">
        <v>12</v>
      </c>
      <c r="D498" s="316">
        <f>D497</f>
        <v>150</v>
      </c>
      <c r="E498" s="316">
        <f>D498/C498</f>
        <v>12.5</v>
      </c>
      <c r="F498" s="170"/>
      <c r="G498" s="17"/>
      <c r="H498" s="15"/>
      <c r="I498" s="290"/>
      <c r="J498" s="290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1.25" customHeight="1" x14ac:dyDescent="0.2">
      <c r="A499" s="313" t="s">
        <v>298</v>
      </c>
      <c r="B499" s="177" t="s">
        <v>299</v>
      </c>
      <c r="C499" s="314">
        <f>C497</f>
        <v>2</v>
      </c>
      <c r="D499" s="315">
        <f>'0. Qtdades e Custos'!D174</f>
        <v>56.99</v>
      </c>
      <c r="E499" s="316">
        <f>D499*C499</f>
        <v>113.98</v>
      </c>
      <c r="F499" s="170"/>
      <c r="G499" s="17"/>
      <c r="H499" s="15"/>
      <c r="I499" s="290"/>
      <c r="J499" s="290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1.25" customHeight="1" x14ac:dyDescent="0.25">
      <c r="A500" s="317" t="s">
        <v>300</v>
      </c>
      <c r="B500" s="318"/>
      <c r="C500" s="319"/>
      <c r="D500" s="320"/>
      <c r="E500" s="321">
        <f>E499+E498</f>
        <v>126.48</v>
      </c>
      <c r="F500" s="170"/>
      <c r="G500" s="17"/>
      <c r="H500" s="15"/>
      <c r="I500" s="290"/>
      <c r="J500" s="290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1.25" customHeight="1" x14ac:dyDescent="0.25">
      <c r="A501" s="171"/>
      <c r="B501" s="171"/>
      <c r="C501" s="171"/>
      <c r="D501" s="322" t="s">
        <v>217</v>
      </c>
      <c r="E501" s="323">
        <v>1</v>
      </c>
      <c r="F501" s="324">
        <f>(E500)*E501</f>
        <v>126.48</v>
      </c>
      <c r="G501" s="17"/>
      <c r="H501" s="15"/>
      <c r="I501" s="290"/>
      <c r="J501" s="290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1.25" customHeight="1" x14ac:dyDescent="0.2">
      <c r="A502" s="171"/>
      <c r="B502" s="171"/>
      <c r="C502" s="171"/>
      <c r="D502" s="308"/>
      <c r="E502" s="308"/>
      <c r="F502" s="308"/>
      <c r="G502" s="17"/>
      <c r="H502" s="15"/>
      <c r="I502" s="290"/>
      <c r="J502" s="290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1.25" customHeight="1" x14ac:dyDescent="0.25">
      <c r="A503" s="325" t="s">
        <v>301</v>
      </c>
      <c r="B503" s="326"/>
      <c r="C503" s="326"/>
      <c r="D503" s="327"/>
      <c r="E503" s="328"/>
      <c r="F503" s="329">
        <f>F501</f>
        <v>126.48</v>
      </c>
      <c r="G503" s="17"/>
      <c r="H503" s="15"/>
      <c r="I503" s="290"/>
      <c r="J503" s="290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1.25" customHeight="1" x14ac:dyDescent="0.2">
      <c r="A504" s="15"/>
      <c r="B504" s="15"/>
      <c r="C504" s="15"/>
      <c r="D504" s="17"/>
      <c r="E504" s="17"/>
      <c r="F504" s="17"/>
      <c r="G504" s="17"/>
      <c r="H504" s="15"/>
      <c r="I504" s="290"/>
      <c r="J504" s="290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1.25" customHeight="1" x14ac:dyDescent="0.2">
      <c r="A505" s="15"/>
      <c r="B505" s="15"/>
      <c r="C505" s="15"/>
      <c r="D505" s="17"/>
      <c r="E505" s="17"/>
      <c r="F505" s="17"/>
      <c r="G505" s="17"/>
      <c r="H505" s="15"/>
      <c r="I505" s="290"/>
      <c r="J505" s="290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2.75" customHeight="1" x14ac:dyDescent="0.2">
      <c r="A506" s="516" t="s">
        <v>78</v>
      </c>
      <c r="B506" s="516"/>
      <c r="C506" s="516"/>
      <c r="D506" s="516"/>
      <c r="E506" s="516"/>
      <c r="F506" s="516"/>
      <c r="G506" s="17"/>
      <c r="H506" s="15"/>
      <c r="I506" s="290"/>
      <c r="J506" s="290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1.25" customHeight="1" x14ac:dyDescent="0.2">
      <c r="A507" s="15"/>
      <c r="B507" s="15"/>
      <c r="C507" s="15"/>
      <c r="D507" s="17"/>
      <c r="E507" s="17"/>
      <c r="F507" s="17"/>
      <c r="G507" s="17"/>
      <c r="H507" s="15"/>
      <c r="I507" s="290"/>
      <c r="J507" s="290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1.25" customHeight="1" x14ac:dyDescent="0.2">
      <c r="A508" s="288" t="s">
        <v>341</v>
      </c>
      <c r="B508" s="15"/>
      <c r="C508" s="15"/>
      <c r="D508" s="17"/>
      <c r="E508" s="17"/>
      <c r="F508" s="17"/>
      <c r="G508" s="17"/>
      <c r="H508" s="15"/>
      <c r="I508" s="290"/>
      <c r="J508" s="290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1.25" customHeight="1" x14ac:dyDescent="0.2">
      <c r="A509" s="243" t="s">
        <v>202</v>
      </c>
      <c r="B509" s="244" t="s">
        <v>95</v>
      </c>
      <c r="C509" s="244" t="s">
        <v>50</v>
      </c>
      <c r="D509" s="245" t="s">
        <v>203</v>
      </c>
      <c r="E509" s="245" t="s">
        <v>204</v>
      </c>
      <c r="F509" s="246" t="s">
        <v>205</v>
      </c>
      <c r="G509" s="17"/>
      <c r="H509" s="15"/>
      <c r="I509" s="290"/>
      <c r="J509" s="290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1.25" customHeight="1" x14ac:dyDescent="0.2">
      <c r="A510" s="247" t="s">
        <v>254</v>
      </c>
      <c r="B510" s="248" t="s">
        <v>238</v>
      </c>
      <c r="C510" s="248">
        <v>1</v>
      </c>
      <c r="D510" s="249">
        <f>'0. Qtdades e Custos'!N62</f>
        <v>228930</v>
      </c>
      <c r="E510" s="250">
        <f>C510*D510</f>
        <v>228930</v>
      </c>
      <c r="F510" s="17"/>
      <c r="G510" s="17"/>
      <c r="H510" s="15"/>
      <c r="I510" s="290"/>
      <c r="J510" s="290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1.25" customHeight="1" x14ac:dyDescent="0.2">
      <c r="A511" s="251" t="s">
        <v>255</v>
      </c>
      <c r="B511" s="252" t="s">
        <v>256</v>
      </c>
      <c r="C511" s="281">
        <f>'0. Qtdades e Custos'!Q62</f>
        <v>6</v>
      </c>
      <c r="D511" s="253"/>
      <c r="E511" s="253"/>
      <c r="F511" s="17"/>
      <c r="G511" s="17"/>
      <c r="H511" s="15"/>
      <c r="I511" s="290"/>
      <c r="J511" s="290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1.25" customHeight="1" x14ac:dyDescent="0.2">
      <c r="A512" s="251" t="s">
        <v>257</v>
      </c>
      <c r="B512" s="252" t="s">
        <v>256</v>
      </c>
      <c r="C512" s="257">
        <v>0</v>
      </c>
      <c r="D512" s="253"/>
      <c r="E512" s="253"/>
      <c r="F512" s="134"/>
      <c r="G512" s="17"/>
      <c r="H512" s="15"/>
      <c r="I512" s="290"/>
      <c r="J512" s="290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1.25" customHeight="1" x14ac:dyDescent="0.2">
      <c r="A513" s="251" t="s">
        <v>258</v>
      </c>
      <c r="B513" s="252" t="s">
        <v>182</v>
      </c>
      <c r="C513" s="256">
        <f>IFERROR(VLOOKUP(C511,'7. Depreciação'!A3:B17,2,0),0)</f>
        <v>58.18</v>
      </c>
      <c r="D513" s="253">
        <f>E510</f>
        <v>228930</v>
      </c>
      <c r="E513" s="253">
        <f>C513*D513/100</f>
        <v>133191.47400000002</v>
      </c>
      <c r="F513" s="17"/>
      <c r="G513" s="17"/>
      <c r="H513" s="15"/>
      <c r="I513" s="290"/>
      <c r="J513" s="290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1.25" customHeight="1" x14ac:dyDescent="0.2">
      <c r="A514" s="291" t="s">
        <v>323</v>
      </c>
      <c r="B514" s="292" t="s">
        <v>208</v>
      </c>
      <c r="C514" s="292">
        <f>C511*12</f>
        <v>72</v>
      </c>
      <c r="D514" s="293">
        <f>IF(C512&lt;=C511,E513,0)</f>
        <v>133191.47400000002</v>
      </c>
      <c r="E514" s="293">
        <f>IFERROR(D514/C514,0)</f>
        <v>1849.8815833333335</v>
      </c>
      <c r="F514" s="17"/>
      <c r="G514" s="17"/>
      <c r="H514" s="15"/>
      <c r="I514" s="290"/>
      <c r="J514" s="290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1.25" customHeight="1" x14ac:dyDescent="0.2">
      <c r="A515" s="247" t="s">
        <v>324</v>
      </c>
      <c r="B515" s="248" t="s">
        <v>238</v>
      </c>
      <c r="C515" s="248">
        <v>2</v>
      </c>
      <c r="D515" s="249">
        <f>'0. Qtdades e Custos'!N63</f>
        <v>96215.41</v>
      </c>
      <c r="E515" s="250">
        <f>C515*D515</f>
        <v>192430.82</v>
      </c>
      <c r="F515" s="17"/>
      <c r="G515" s="17"/>
      <c r="H515" s="15"/>
      <c r="I515" s="290"/>
      <c r="J515" s="290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1.25" customHeight="1" x14ac:dyDescent="0.2">
      <c r="A516" s="251" t="s">
        <v>325</v>
      </c>
      <c r="B516" s="252" t="s">
        <v>256</v>
      </c>
      <c r="C516" s="281">
        <f>C511</f>
        <v>6</v>
      </c>
      <c r="D516" s="253"/>
      <c r="E516" s="253"/>
      <c r="F516" s="17"/>
      <c r="G516" s="17"/>
      <c r="H516" s="15"/>
      <c r="I516" s="290"/>
      <c r="J516" s="290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1.25" customHeight="1" x14ac:dyDescent="0.2">
      <c r="A517" s="251" t="s">
        <v>326</v>
      </c>
      <c r="B517" s="252" t="s">
        <v>256</v>
      </c>
      <c r="C517" s="257">
        <v>0</v>
      </c>
      <c r="D517" s="253"/>
      <c r="E517" s="253"/>
      <c r="F517" s="134"/>
      <c r="G517" s="17"/>
      <c r="H517" s="15"/>
      <c r="I517" s="290"/>
      <c r="J517" s="290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1.25" customHeight="1" x14ac:dyDescent="0.2">
      <c r="A518" s="251" t="s">
        <v>327</v>
      </c>
      <c r="B518" s="252" t="s">
        <v>182</v>
      </c>
      <c r="C518" s="332">
        <f>IFERROR(VLOOKUP(C516,'7. Depreciação'!A3:B17,2,0),0)</f>
        <v>58.18</v>
      </c>
      <c r="D518" s="253">
        <f>E515</f>
        <v>192430.82</v>
      </c>
      <c r="E518" s="253">
        <f>C518*D518/100</f>
        <v>111956.251076</v>
      </c>
      <c r="F518" s="17"/>
      <c r="G518" s="17"/>
      <c r="H518" s="15"/>
      <c r="I518" s="290"/>
      <c r="J518" s="290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1.25" customHeight="1" x14ac:dyDescent="0.2">
      <c r="A519" s="262" t="s">
        <v>328</v>
      </c>
      <c r="B519" s="294" t="s">
        <v>208</v>
      </c>
      <c r="C519" s="294">
        <f>C516*12</f>
        <v>72</v>
      </c>
      <c r="D519" s="263">
        <f>IF(C517&lt;=C516,E518,0)</f>
        <v>111956.251076</v>
      </c>
      <c r="E519" s="263">
        <f>IFERROR(D519/C519,0)</f>
        <v>1554.947931611111</v>
      </c>
      <c r="F519" s="17"/>
      <c r="G519" s="17"/>
      <c r="H519" s="15"/>
      <c r="I519" s="290"/>
      <c r="J519" s="290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1.25" customHeight="1" x14ac:dyDescent="0.2">
      <c r="A520" s="254" t="s">
        <v>260</v>
      </c>
      <c r="B520" s="135"/>
      <c r="C520" s="135"/>
      <c r="D520" s="39"/>
      <c r="E520" s="255">
        <f>E514+E519</f>
        <v>3404.8295149444448</v>
      </c>
      <c r="F520" s="17"/>
      <c r="G520" s="17"/>
      <c r="H520" s="15"/>
      <c r="I520" s="290"/>
      <c r="J520" s="290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1.25" customHeight="1" x14ac:dyDescent="0.2">
      <c r="A521" s="262" t="s">
        <v>261</v>
      </c>
      <c r="B521" s="294" t="s">
        <v>238</v>
      </c>
      <c r="C521" s="281">
        <f>'0. Qtdades e Custos'!P62</f>
        <v>1</v>
      </c>
      <c r="D521" s="263">
        <f>E520</f>
        <v>3404.8295149444448</v>
      </c>
      <c r="E521" s="255">
        <f>C521*D521</f>
        <v>3404.8295149444448</v>
      </c>
      <c r="F521" s="17"/>
      <c r="G521" s="17"/>
      <c r="H521" s="15"/>
      <c r="I521" s="290"/>
      <c r="J521" s="290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1.25" customHeight="1" x14ac:dyDescent="0.2">
      <c r="A522" s="295"/>
      <c r="B522" s="295"/>
      <c r="C522" s="295"/>
      <c r="D522" s="258" t="s">
        <v>217</v>
      </c>
      <c r="E522" s="259">
        <f>$B$99</f>
        <v>1</v>
      </c>
      <c r="F522" s="287">
        <f>E521*E522</f>
        <v>3404.8295149444448</v>
      </c>
      <c r="G522" s="17"/>
      <c r="H522" s="15"/>
      <c r="I522" s="290"/>
      <c r="J522" s="290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1.25" customHeight="1" x14ac:dyDescent="0.2">
      <c r="A523" s="15"/>
      <c r="B523" s="15"/>
      <c r="C523" s="15"/>
      <c r="D523" s="17"/>
      <c r="E523" s="17"/>
      <c r="F523" s="17"/>
      <c r="G523" s="17"/>
      <c r="H523" s="15"/>
      <c r="I523" s="290"/>
      <c r="J523" s="290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1.25" customHeight="1" x14ac:dyDescent="0.2">
      <c r="A524" s="288" t="s">
        <v>342</v>
      </c>
      <c r="B524" s="15"/>
      <c r="C524" s="15"/>
      <c r="D524" s="17"/>
      <c r="E524" s="17"/>
      <c r="F524" s="17"/>
      <c r="G524" s="17"/>
      <c r="H524" s="15"/>
      <c r="I524" s="290"/>
      <c r="J524" s="290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1.25" customHeight="1" x14ac:dyDescent="0.2">
      <c r="A525" s="243" t="s">
        <v>202</v>
      </c>
      <c r="B525" s="244" t="s">
        <v>95</v>
      </c>
      <c r="C525" s="244" t="s">
        <v>50</v>
      </c>
      <c r="D525" s="245" t="s">
        <v>203</v>
      </c>
      <c r="E525" s="245" t="s">
        <v>204</v>
      </c>
      <c r="F525" s="246" t="s">
        <v>205</v>
      </c>
      <c r="G525" s="17"/>
      <c r="H525" s="15"/>
      <c r="I525" s="290"/>
      <c r="J525" s="290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1.25" customHeight="1" x14ac:dyDescent="0.2">
      <c r="A526" s="247" t="s">
        <v>263</v>
      </c>
      <c r="B526" s="248" t="s">
        <v>238</v>
      </c>
      <c r="C526" s="248">
        <v>1</v>
      </c>
      <c r="D526" s="250">
        <f>D510</f>
        <v>228930</v>
      </c>
      <c r="E526" s="250">
        <f>C526*D526</f>
        <v>228930</v>
      </c>
      <c r="F526" s="134"/>
      <c r="G526" s="17"/>
      <c r="H526" s="15"/>
      <c r="I526" s="290"/>
      <c r="J526" s="290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1.25" customHeight="1" x14ac:dyDescent="0.2">
      <c r="A527" s="251" t="s">
        <v>264</v>
      </c>
      <c r="B527" s="252" t="s">
        <v>182</v>
      </c>
      <c r="C527" s="257">
        <v>14.75</v>
      </c>
      <c r="D527" s="253"/>
      <c r="E527" s="253"/>
      <c r="F527" s="134"/>
      <c r="G527" s="17"/>
      <c r="H527" s="15"/>
      <c r="I527" s="290"/>
      <c r="J527" s="290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1.25" customHeight="1" x14ac:dyDescent="0.2">
      <c r="A528" s="251" t="s">
        <v>265</v>
      </c>
      <c r="B528" s="252" t="s">
        <v>231</v>
      </c>
      <c r="C528" s="253">
        <f>IFERROR(IF(C512&lt;=C511,E510-(C513/(100*C511)*C512)*E510,E510-E513),0)</f>
        <v>228930</v>
      </c>
      <c r="D528" s="253"/>
      <c r="E528" s="253"/>
      <c r="F528" s="134"/>
      <c r="G528" s="17"/>
      <c r="H528" s="15"/>
      <c r="I528" s="290"/>
      <c r="J528" s="290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1.25" customHeight="1" x14ac:dyDescent="0.2">
      <c r="A529" s="251" t="s">
        <v>266</v>
      </c>
      <c r="B529" s="252" t="s">
        <v>231</v>
      </c>
      <c r="C529" s="253">
        <f>IFERROR(IF(C512&gt;=C511,C528,((((C528)-(E510-E513))*(((C511-C512)+1)/(2*(C511-C512))))+(E510-E513))),0)</f>
        <v>173433.55249999999</v>
      </c>
      <c r="D529" s="253"/>
      <c r="E529" s="253"/>
      <c r="F529" s="134"/>
      <c r="G529" s="17"/>
      <c r="H529" s="15"/>
      <c r="I529" s="290"/>
      <c r="J529" s="290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1.25" customHeight="1" x14ac:dyDescent="0.2">
      <c r="A530" s="291" t="s">
        <v>267</v>
      </c>
      <c r="B530" s="292" t="s">
        <v>231</v>
      </c>
      <c r="C530" s="292"/>
      <c r="D530" s="293">
        <f>C527*C529/12/100</f>
        <v>2131.787416145833</v>
      </c>
      <c r="E530" s="293">
        <f>D530</f>
        <v>2131.787416145833</v>
      </c>
      <c r="F530" s="134"/>
      <c r="G530" s="17"/>
      <c r="H530" s="15"/>
      <c r="I530" s="290"/>
      <c r="J530" s="290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1.25" customHeight="1" x14ac:dyDescent="0.2">
      <c r="A531" s="247" t="s">
        <v>330</v>
      </c>
      <c r="B531" s="248" t="s">
        <v>238</v>
      </c>
      <c r="C531" s="248">
        <f>C515</f>
        <v>2</v>
      </c>
      <c r="D531" s="250">
        <f>D515</f>
        <v>96215.41</v>
      </c>
      <c r="E531" s="250">
        <f>C531*D531</f>
        <v>192430.82</v>
      </c>
      <c r="F531" s="134"/>
      <c r="G531" s="17"/>
      <c r="H531" s="15"/>
      <c r="I531" s="290"/>
      <c r="J531" s="290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1.25" customHeight="1" x14ac:dyDescent="0.2">
      <c r="A532" s="251" t="s">
        <v>264</v>
      </c>
      <c r="B532" s="252" t="s">
        <v>182</v>
      </c>
      <c r="C532" s="252">
        <f>C527</f>
        <v>14.75</v>
      </c>
      <c r="D532" s="253"/>
      <c r="E532" s="253"/>
      <c r="F532" s="134"/>
      <c r="G532" s="17"/>
      <c r="H532" s="15"/>
      <c r="I532" s="290"/>
      <c r="J532" s="290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1.25" customHeight="1" x14ac:dyDescent="0.2">
      <c r="A533" s="251" t="s">
        <v>331</v>
      </c>
      <c r="B533" s="252" t="s">
        <v>231</v>
      </c>
      <c r="C533" s="253">
        <f>IFERROR(IF(C517&lt;=C516,E515-(C518/(100*C516)*C517)*E515,E515-E518),0)</f>
        <v>192430.82</v>
      </c>
      <c r="D533" s="253"/>
      <c r="E533" s="253"/>
      <c r="F533" s="134"/>
      <c r="G533" s="17"/>
      <c r="H533" s="15"/>
      <c r="I533" s="290"/>
      <c r="J533" s="290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1.25" customHeight="1" x14ac:dyDescent="0.2">
      <c r="A534" s="251" t="s">
        <v>332</v>
      </c>
      <c r="B534" s="252" t="s">
        <v>231</v>
      </c>
      <c r="C534" s="253">
        <f>IFERROR(IF(C517&gt;=C516,C533,((((C533)-(E515-E518))*(((C516-C517)+1)/(2*(C516-C517))))+(E515-E518))),0)</f>
        <v>145782.38205166667</v>
      </c>
      <c r="D534" s="253"/>
      <c r="E534" s="253"/>
      <c r="F534" s="134"/>
      <c r="G534" s="17"/>
      <c r="H534" s="15"/>
      <c r="I534" s="290"/>
      <c r="J534" s="290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1.25" customHeight="1" x14ac:dyDescent="0.2">
      <c r="A535" s="262" t="s">
        <v>333</v>
      </c>
      <c r="B535" s="294" t="s">
        <v>231</v>
      </c>
      <c r="C535" s="294"/>
      <c r="D535" s="263">
        <f>C532*C534/12/100</f>
        <v>1791.9084460517361</v>
      </c>
      <c r="E535" s="263">
        <f>D535</f>
        <v>1791.9084460517361</v>
      </c>
      <c r="F535" s="134"/>
      <c r="G535" s="17"/>
      <c r="H535" s="15"/>
      <c r="I535" s="290"/>
      <c r="J535" s="290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1.25" customHeight="1" x14ac:dyDescent="0.2">
      <c r="A536" s="254" t="s">
        <v>260</v>
      </c>
      <c r="B536" s="135"/>
      <c r="C536" s="135"/>
      <c r="D536" s="39"/>
      <c r="E536" s="255">
        <f>E530+E535</f>
        <v>3923.6958621975691</v>
      </c>
      <c r="F536" s="134"/>
      <c r="G536" s="17"/>
      <c r="H536" s="15"/>
      <c r="I536" s="290"/>
      <c r="J536" s="290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1.25" customHeight="1" x14ac:dyDescent="0.2">
      <c r="A537" s="262" t="s">
        <v>261</v>
      </c>
      <c r="B537" s="294" t="s">
        <v>238</v>
      </c>
      <c r="C537" s="296">
        <f>C521</f>
        <v>1</v>
      </c>
      <c r="D537" s="263">
        <f>E536</f>
        <v>3923.6958621975691</v>
      </c>
      <c r="E537" s="255">
        <f>C537*D537</f>
        <v>3923.6958621975691</v>
      </c>
      <c r="F537" s="134"/>
      <c r="G537" s="17"/>
      <c r="H537" s="15"/>
      <c r="I537" s="290"/>
      <c r="J537" s="290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1.25" customHeight="1" x14ac:dyDescent="0.2">
      <c r="A538" s="15"/>
      <c r="B538" s="15"/>
      <c r="C538" s="133"/>
      <c r="D538" s="258" t="s">
        <v>217</v>
      </c>
      <c r="E538" s="259">
        <f>$B$99</f>
        <v>1</v>
      </c>
      <c r="F538" s="287">
        <f>E537*E538</f>
        <v>3923.6958621975691</v>
      </c>
      <c r="G538" s="17"/>
      <c r="H538" s="15"/>
      <c r="I538" s="290"/>
      <c r="J538" s="290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1.25" customHeight="1" x14ac:dyDescent="0.2">
      <c r="A539" s="15"/>
      <c r="B539" s="15"/>
      <c r="C539" s="15"/>
      <c r="D539" s="17"/>
      <c r="E539" s="17"/>
      <c r="F539" s="17"/>
      <c r="G539" s="17"/>
      <c r="H539" s="15"/>
      <c r="I539" s="290"/>
      <c r="J539" s="290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1.25" customHeight="1" x14ac:dyDescent="0.2">
      <c r="A540" s="15" t="s">
        <v>343</v>
      </c>
      <c r="B540" s="15"/>
      <c r="C540" s="15"/>
      <c r="D540" s="17"/>
      <c r="E540" s="17"/>
      <c r="F540" s="17"/>
      <c r="G540" s="17"/>
      <c r="H540" s="15"/>
      <c r="I540" s="290"/>
      <c r="J540" s="290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1.25" customHeight="1" x14ac:dyDescent="0.2">
      <c r="A541" s="243" t="s">
        <v>202</v>
      </c>
      <c r="B541" s="244" t="s">
        <v>95</v>
      </c>
      <c r="C541" s="244" t="s">
        <v>50</v>
      </c>
      <c r="D541" s="245" t="s">
        <v>203</v>
      </c>
      <c r="E541" s="245" t="s">
        <v>204</v>
      </c>
      <c r="F541" s="246" t="s">
        <v>205</v>
      </c>
      <c r="G541" s="17"/>
      <c r="H541" s="15"/>
      <c r="I541" s="290"/>
      <c r="J541" s="290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1.25" customHeight="1" x14ac:dyDescent="0.2">
      <c r="A542" s="247" t="s">
        <v>269</v>
      </c>
      <c r="B542" s="248" t="s">
        <v>238</v>
      </c>
      <c r="C542" s="250">
        <f>C521</f>
        <v>1</v>
      </c>
      <c r="D542" s="250">
        <f>0.01*($E$284)</f>
        <v>5957.3213999999998</v>
      </c>
      <c r="E542" s="250">
        <f>C542*D542</f>
        <v>5957.3213999999998</v>
      </c>
      <c r="F542" s="17"/>
      <c r="G542" s="17"/>
      <c r="H542" s="15"/>
      <c r="I542" s="290"/>
      <c r="J542" s="290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1.25" customHeight="1" x14ac:dyDescent="0.2">
      <c r="A543" s="251" t="s">
        <v>311</v>
      </c>
      <c r="B543" s="252" t="s">
        <v>238</v>
      </c>
      <c r="C543" s="250">
        <f>C521</f>
        <v>1</v>
      </c>
      <c r="D543" s="273"/>
      <c r="E543" s="253">
        <f>C543*D543</f>
        <v>0</v>
      </c>
      <c r="F543" s="17"/>
      <c r="G543" s="17"/>
      <c r="H543" s="15"/>
      <c r="I543" s="290"/>
      <c r="J543" s="290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1.25" customHeight="1" x14ac:dyDescent="0.2">
      <c r="A544" s="251" t="s">
        <v>271</v>
      </c>
      <c r="B544" s="252" t="s">
        <v>238</v>
      </c>
      <c r="C544" s="250">
        <f>C521</f>
        <v>1</v>
      </c>
      <c r="D544" s="273">
        <v>576.53</v>
      </c>
      <c r="E544" s="253">
        <f>C544*D544</f>
        <v>576.53</v>
      </c>
      <c r="F544" s="39"/>
      <c r="G544" s="17"/>
      <c r="H544" s="15"/>
      <c r="I544" s="290"/>
      <c r="J544" s="290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1.25" customHeight="1" x14ac:dyDescent="0.2">
      <c r="A545" s="262" t="s">
        <v>272</v>
      </c>
      <c r="B545" s="294" t="s">
        <v>208</v>
      </c>
      <c r="C545" s="294">
        <v>12</v>
      </c>
      <c r="D545" s="263">
        <f>SUM(E542:E544)</f>
        <v>6533.8513999999996</v>
      </c>
      <c r="E545" s="263">
        <f>D545/C545</f>
        <v>544.48761666666667</v>
      </c>
      <c r="F545" s="17"/>
      <c r="G545" s="17"/>
      <c r="H545" s="15"/>
      <c r="I545" s="290"/>
      <c r="J545" s="290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1.25" customHeight="1" x14ac:dyDescent="0.2">
      <c r="A546" s="15"/>
      <c r="B546" s="15"/>
      <c r="C546" s="15"/>
      <c r="D546" s="258" t="s">
        <v>217</v>
      </c>
      <c r="E546" s="259">
        <f>$B$99</f>
        <v>1</v>
      </c>
      <c r="F546" s="260">
        <f>E545*E546</f>
        <v>544.48761666666667</v>
      </c>
      <c r="G546" s="17"/>
      <c r="H546" s="15"/>
      <c r="I546" s="290"/>
      <c r="J546" s="290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1.25" customHeight="1" x14ac:dyDescent="0.2">
      <c r="A547" s="15"/>
      <c r="B547" s="15"/>
      <c r="C547" s="15"/>
      <c r="D547" s="17"/>
      <c r="E547" s="17"/>
      <c r="F547" s="17"/>
      <c r="G547" s="17"/>
      <c r="H547" s="15"/>
      <c r="I547" s="290"/>
      <c r="J547" s="290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1.25" customHeight="1" x14ac:dyDescent="0.2">
      <c r="A548" s="15" t="s">
        <v>344</v>
      </c>
      <c r="B548" s="297"/>
      <c r="C548" s="15"/>
      <c r="D548" s="17"/>
      <c r="E548" s="17"/>
      <c r="F548" s="17"/>
      <c r="G548" s="17"/>
      <c r="H548" s="15"/>
      <c r="I548" s="290"/>
      <c r="J548" s="290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1.25" customHeight="1" x14ac:dyDescent="0.2">
      <c r="A549" s="15"/>
      <c r="B549" s="297"/>
      <c r="C549" s="15"/>
      <c r="D549" s="17"/>
      <c r="E549" s="17"/>
      <c r="F549" s="17"/>
      <c r="G549" s="17"/>
      <c r="H549" s="15"/>
      <c r="I549" s="290"/>
      <c r="J549" s="290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1.25" customHeight="1" x14ac:dyDescent="0.2">
      <c r="A550" s="262" t="s">
        <v>274</v>
      </c>
      <c r="B550" s="298">
        <f>'0. Qtdades e Custos'!D5*0.8</f>
        <v>720</v>
      </c>
      <c r="C550" s="15" t="s">
        <v>313</v>
      </c>
      <c r="D550" s="17"/>
      <c r="E550" s="17"/>
      <c r="F550" s="17"/>
      <c r="G550" s="17"/>
      <c r="H550" s="15"/>
      <c r="I550" s="290"/>
      <c r="J550" s="290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2.75" customHeight="1" x14ac:dyDescent="0.2">
      <c r="A551" s="299" t="s">
        <v>275</v>
      </c>
      <c r="B551" s="300">
        <f>'0. Qtdades e Custos'!Y62</f>
        <v>1420.7101874999998</v>
      </c>
      <c r="C551" s="15"/>
      <c r="D551" s="17"/>
      <c r="E551" s="17"/>
      <c r="F551" s="17"/>
      <c r="G551" s="17"/>
      <c r="H551" s="15"/>
      <c r="I551" s="290"/>
      <c r="J551" s="290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1.25" customHeight="1" x14ac:dyDescent="0.2">
      <c r="A552" s="15"/>
      <c r="B552" s="297"/>
      <c r="C552" s="15"/>
      <c r="D552" s="17"/>
      <c r="E552" s="17"/>
      <c r="F552" s="17"/>
      <c r="G552" s="17"/>
      <c r="H552" s="15"/>
      <c r="I552" s="290"/>
      <c r="J552" s="290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1.25" customHeight="1" x14ac:dyDescent="0.2">
      <c r="A553" s="243" t="s">
        <v>202</v>
      </c>
      <c r="B553" s="244" t="s">
        <v>95</v>
      </c>
      <c r="C553" s="244" t="s">
        <v>276</v>
      </c>
      <c r="D553" s="245" t="s">
        <v>203</v>
      </c>
      <c r="E553" s="245" t="s">
        <v>204</v>
      </c>
      <c r="F553" s="246" t="s">
        <v>205</v>
      </c>
      <c r="G553" s="17"/>
      <c r="H553" s="15"/>
      <c r="I553" s="290"/>
      <c r="J553" s="290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1.25" customHeight="1" x14ac:dyDescent="0.2">
      <c r="A554" s="251" t="s">
        <v>277</v>
      </c>
      <c r="B554" s="252" t="s">
        <v>278</v>
      </c>
      <c r="C554" s="301">
        <f>B551</f>
        <v>1420.7101874999998</v>
      </c>
      <c r="D554" s="302">
        <v>6.25</v>
      </c>
      <c r="E554" s="250"/>
      <c r="F554" s="17"/>
      <c r="G554" s="17"/>
      <c r="H554" s="15"/>
      <c r="I554" s="290"/>
      <c r="J554" s="290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2.75" customHeight="1" x14ac:dyDescent="0.2">
      <c r="A555" s="299" t="s">
        <v>279</v>
      </c>
      <c r="B555" s="252" t="s">
        <v>280</v>
      </c>
      <c r="C555" s="253">
        <f>C554</f>
        <v>1420.7101874999998</v>
      </c>
      <c r="D555" s="303"/>
      <c r="E555" s="253">
        <f>C555*D554</f>
        <v>8879.4386718749993</v>
      </c>
      <c r="F555" s="17"/>
      <c r="G555" s="17"/>
      <c r="H555" s="15"/>
      <c r="I555" s="290"/>
      <c r="J555" s="290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1.25" customHeight="1" x14ac:dyDescent="0.2">
      <c r="A556" s="15"/>
      <c r="B556" s="15"/>
      <c r="C556" s="15"/>
      <c r="D556" s="17"/>
      <c r="E556" s="17"/>
      <c r="F556" s="287">
        <f>SUM(E554:E555)</f>
        <v>8879.4386718749993</v>
      </c>
      <c r="G556" s="17"/>
      <c r="H556" s="15"/>
      <c r="I556" s="290"/>
      <c r="J556" s="290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1.25" customHeight="1" x14ac:dyDescent="0.2">
      <c r="A557" s="15"/>
      <c r="B557" s="15"/>
      <c r="C557" s="15"/>
      <c r="D557" s="17"/>
      <c r="E557" s="17"/>
      <c r="F557" s="17"/>
      <c r="G557" s="17"/>
      <c r="H557" s="15"/>
      <c r="I557" s="290"/>
      <c r="J557" s="290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1.25" customHeight="1" x14ac:dyDescent="0.2">
      <c r="A558" s="15" t="s">
        <v>345</v>
      </c>
      <c r="B558" s="15"/>
      <c r="C558" s="15"/>
      <c r="D558" s="17"/>
      <c r="E558" s="17"/>
      <c r="F558" s="17"/>
      <c r="G558" s="17"/>
      <c r="H558" s="15"/>
      <c r="I558" s="290"/>
      <c r="J558" s="290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1.25" customHeight="1" x14ac:dyDescent="0.2">
      <c r="A559" s="243" t="s">
        <v>202</v>
      </c>
      <c r="B559" s="244" t="s">
        <v>95</v>
      </c>
      <c r="C559" s="244" t="s">
        <v>50</v>
      </c>
      <c r="D559" s="245" t="s">
        <v>203</v>
      </c>
      <c r="E559" s="245" t="s">
        <v>204</v>
      </c>
      <c r="F559" s="246" t="s">
        <v>205</v>
      </c>
      <c r="G559" s="17"/>
      <c r="H559" s="15"/>
      <c r="I559" s="290"/>
      <c r="J559" s="290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1.25" customHeight="1" x14ac:dyDescent="0.2">
      <c r="A560" s="247" t="s">
        <v>315</v>
      </c>
      <c r="B560" s="248" t="s">
        <v>316</v>
      </c>
      <c r="C560" s="296">
        <f>'0. Qtdades e Custos'!S62/('0. Qtdades e Custos'!Q62*12)</f>
        <v>9.7222222222222224E-3</v>
      </c>
      <c r="D560" s="249">
        <f>D510</f>
        <v>228930</v>
      </c>
      <c r="E560" s="250">
        <f>C560*D560</f>
        <v>2225.7083333333335</v>
      </c>
      <c r="F560" s="17"/>
      <c r="G560" s="17"/>
      <c r="H560" s="15"/>
      <c r="I560" s="290"/>
      <c r="J560" s="290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1.25" customHeight="1" x14ac:dyDescent="0.2">
      <c r="A561" s="15"/>
      <c r="B561" s="15"/>
      <c r="C561" s="15"/>
      <c r="D561" s="17"/>
      <c r="E561" s="17"/>
      <c r="F561" s="287">
        <f>E560</f>
        <v>2225.7083333333335</v>
      </c>
      <c r="G561" s="17"/>
      <c r="H561" s="15"/>
      <c r="I561" s="290"/>
      <c r="J561" s="290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1.25" customHeight="1" x14ac:dyDescent="0.2">
      <c r="A562" s="15"/>
      <c r="B562" s="15"/>
      <c r="C562" s="15"/>
      <c r="D562" s="17"/>
      <c r="E562" s="17"/>
      <c r="F562" s="17"/>
      <c r="G562" s="17"/>
      <c r="H562" s="15"/>
      <c r="I562" s="290"/>
      <c r="J562" s="290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1.25" customHeight="1" x14ac:dyDescent="0.2">
      <c r="A563" s="15" t="s">
        <v>346</v>
      </c>
      <c r="B563" s="15"/>
      <c r="C563" s="15"/>
      <c r="D563" s="17"/>
      <c r="E563" s="17"/>
      <c r="F563" s="17"/>
      <c r="G563" s="17"/>
      <c r="H563" s="15"/>
      <c r="I563" s="290"/>
      <c r="J563" s="290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1.25" customHeight="1" x14ac:dyDescent="0.2">
      <c r="A564" s="243" t="s">
        <v>202</v>
      </c>
      <c r="B564" s="244" t="s">
        <v>95</v>
      </c>
      <c r="C564" s="244" t="s">
        <v>50</v>
      </c>
      <c r="D564" s="245" t="s">
        <v>203</v>
      </c>
      <c r="E564" s="245" t="s">
        <v>204</v>
      </c>
      <c r="F564" s="246" t="s">
        <v>205</v>
      </c>
      <c r="G564" s="17"/>
      <c r="H564" s="15"/>
      <c r="I564" s="290"/>
      <c r="J564" s="290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1.25" customHeight="1" x14ac:dyDescent="0.2">
      <c r="A565" s="247" t="s">
        <v>347</v>
      </c>
      <c r="B565" s="248" t="s">
        <v>238</v>
      </c>
      <c r="C565" s="306">
        <v>2</v>
      </c>
      <c r="D565" s="249">
        <v>1833</v>
      </c>
      <c r="E565" s="250">
        <f>C565*D565</f>
        <v>3666</v>
      </c>
      <c r="F565" s="17"/>
      <c r="G565" s="17"/>
      <c r="H565" s="15"/>
      <c r="I565" s="290"/>
      <c r="J565" s="290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1.25" customHeight="1" x14ac:dyDescent="0.2">
      <c r="A566" s="247" t="s">
        <v>287</v>
      </c>
      <c r="B566" s="248" t="s">
        <v>238</v>
      </c>
      <c r="C566" s="306">
        <v>1</v>
      </c>
      <c r="D566" s="250"/>
      <c r="E566" s="250"/>
      <c r="F566" s="17"/>
      <c r="G566" s="17"/>
      <c r="H566" s="15"/>
      <c r="I566" s="290"/>
      <c r="J566" s="290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1.25" customHeight="1" x14ac:dyDescent="0.2">
      <c r="A567" s="247" t="s">
        <v>288</v>
      </c>
      <c r="B567" s="248" t="s">
        <v>238</v>
      </c>
      <c r="C567" s="250">
        <f>C565*C566</f>
        <v>2</v>
      </c>
      <c r="D567" s="249">
        <v>1158</v>
      </c>
      <c r="E567" s="250">
        <f>C567*D567</f>
        <v>2316</v>
      </c>
      <c r="F567" s="17"/>
      <c r="G567" s="17"/>
      <c r="H567" s="15"/>
      <c r="I567" s="290"/>
      <c r="J567" s="290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1.25" customHeight="1" x14ac:dyDescent="0.2">
      <c r="A568" s="251" t="s">
        <v>289</v>
      </c>
      <c r="B568" s="252" t="s">
        <v>290</v>
      </c>
      <c r="C568" s="307">
        <v>50000</v>
      </c>
      <c r="D568" s="253">
        <f>E565+E567</f>
        <v>5982</v>
      </c>
      <c r="E568" s="253">
        <f>IFERROR(D568/C568,"-")</f>
        <v>0.11964</v>
      </c>
      <c r="F568" s="17"/>
      <c r="G568" s="17"/>
      <c r="H568" s="15"/>
      <c r="I568" s="290"/>
      <c r="J568" s="290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1.25" customHeight="1" x14ac:dyDescent="0.2">
      <c r="A569" s="251" t="s">
        <v>291</v>
      </c>
      <c r="B569" s="252" t="s">
        <v>292</v>
      </c>
      <c r="C569" s="267">
        <f>B550</f>
        <v>720</v>
      </c>
      <c r="D569" s="253">
        <f>E568</f>
        <v>0.11964</v>
      </c>
      <c r="E569" s="253">
        <f>IFERROR(C569*D569,0)</f>
        <v>86.140799999999999</v>
      </c>
      <c r="F569" s="17"/>
      <c r="G569" s="17"/>
      <c r="H569" s="15"/>
      <c r="I569" s="290"/>
      <c r="J569" s="290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1.25" customHeight="1" x14ac:dyDescent="0.2">
      <c r="A570" s="251"/>
      <c r="B570" s="252"/>
      <c r="C570" s="267"/>
      <c r="D570" s="253"/>
      <c r="E570" s="253"/>
      <c r="F570" s="17"/>
      <c r="G570" s="17"/>
      <c r="H570" s="15"/>
      <c r="I570" s="290"/>
      <c r="J570" s="290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1.25" customHeight="1" x14ac:dyDescent="0.2">
      <c r="A571" s="247" t="s">
        <v>348</v>
      </c>
      <c r="B571" s="248" t="s">
        <v>238</v>
      </c>
      <c r="C571" s="306">
        <v>2</v>
      </c>
      <c r="D571" s="249">
        <v>3351.44</v>
      </c>
      <c r="E571" s="250">
        <f>C571*D571</f>
        <v>6702.88</v>
      </c>
      <c r="F571" s="17"/>
      <c r="G571" s="17"/>
      <c r="H571" s="15"/>
      <c r="I571" s="290"/>
      <c r="J571" s="290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1.25" customHeight="1" x14ac:dyDescent="0.2">
      <c r="A572" s="247" t="s">
        <v>287</v>
      </c>
      <c r="B572" s="248" t="s">
        <v>238</v>
      </c>
      <c r="C572" s="306">
        <v>1</v>
      </c>
      <c r="D572" s="250"/>
      <c r="E572" s="250"/>
      <c r="F572" s="17"/>
      <c r="G572" s="17"/>
      <c r="H572" s="15"/>
      <c r="I572" s="290"/>
      <c r="J572" s="290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1.25" customHeight="1" x14ac:dyDescent="0.2">
      <c r="A573" s="247" t="s">
        <v>288</v>
      </c>
      <c r="B573" s="248" t="s">
        <v>238</v>
      </c>
      <c r="C573" s="250">
        <f>C571*C572</f>
        <v>2</v>
      </c>
      <c r="D573" s="249">
        <v>2520.1999999999998</v>
      </c>
      <c r="E573" s="250">
        <f>C573*D573</f>
        <v>5040.3999999999996</v>
      </c>
      <c r="F573" s="17"/>
      <c r="G573" s="17"/>
      <c r="H573" s="15"/>
      <c r="I573" s="290"/>
      <c r="J573" s="290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1.25" customHeight="1" x14ac:dyDescent="0.2">
      <c r="A574" s="251" t="s">
        <v>289</v>
      </c>
      <c r="B574" s="252" t="s">
        <v>290</v>
      </c>
      <c r="C574" s="307">
        <v>50000</v>
      </c>
      <c r="D574" s="253">
        <f>E571+E573</f>
        <v>11743.279999999999</v>
      </c>
      <c r="E574" s="253">
        <f>IFERROR(D574/C574,"-")</f>
        <v>0.23486559999999998</v>
      </c>
      <c r="F574" s="17"/>
      <c r="G574" s="17"/>
      <c r="H574" s="15"/>
      <c r="I574" s="290"/>
      <c r="J574" s="290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1.25" customHeight="1" x14ac:dyDescent="0.2">
      <c r="A575" s="251" t="s">
        <v>291</v>
      </c>
      <c r="B575" s="252" t="s">
        <v>292</v>
      </c>
      <c r="C575" s="267">
        <f>B550</f>
        <v>720</v>
      </c>
      <c r="D575" s="253">
        <f>E574</f>
        <v>0.23486559999999998</v>
      </c>
      <c r="E575" s="253">
        <f>IFERROR(C575*D575,0)</f>
        <v>169.10323199999999</v>
      </c>
      <c r="F575" s="17"/>
      <c r="G575" s="17"/>
      <c r="H575" s="15"/>
      <c r="I575" s="290"/>
      <c r="J575" s="290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1.25" customHeight="1" x14ac:dyDescent="0.2">
      <c r="A576" s="15"/>
      <c r="B576" s="15"/>
      <c r="C576" s="15"/>
      <c r="D576" s="17"/>
      <c r="E576" s="17"/>
      <c r="F576" s="287">
        <f>E569+E575</f>
        <v>255.244032</v>
      </c>
      <c r="G576" s="17"/>
      <c r="H576" s="15"/>
      <c r="I576" s="290"/>
      <c r="J576" s="290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1.25" customHeight="1" x14ac:dyDescent="0.2">
      <c r="A577" s="15"/>
      <c r="B577" s="15"/>
      <c r="C577" s="15"/>
      <c r="D577" s="17"/>
      <c r="E577" s="17"/>
      <c r="F577" s="17"/>
      <c r="G577" s="17"/>
      <c r="H577" s="15"/>
      <c r="I577" s="290"/>
      <c r="J577" s="290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1.25" customHeight="1" x14ac:dyDescent="0.2">
      <c r="A578" s="171" t="s">
        <v>349</v>
      </c>
      <c r="B578" s="171"/>
      <c r="C578" s="171"/>
      <c r="D578" s="308"/>
      <c r="E578" s="308"/>
      <c r="F578" s="308"/>
      <c r="G578" s="17"/>
      <c r="H578" s="15"/>
      <c r="I578" s="290"/>
      <c r="J578" s="290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1.25" customHeight="1" x14ac:dyDescent="0.25">
      <c r="A579" s="309" t="s">
        <v>202</v>
      </c>
      <c r="B579" s="310" t="s">
        <v>95</v>
      </c>
      <c r="C579" s="310" t="s">
        <v>50</v>
      </c>
      <c r="D579" s="311" t="s">
        <v>203</v>
      </c>
      <c r="E579" s="311" t="s">
        <v>204</v>
      </c>
      <c r="F579" s="312" t="s">
        <v>294</v>
      </c>
      <c r="G579" s="17"/>
      <c r="H579" s="15"/>
      <c r="I579" s="290"/>
      <c r="J579" s="290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1.25" customHeight="1" x14ac:dyDescent="0.2">
      <c r="A580" s="313" t="s">
        <v>295</v>
      </c>
      <c r="B580" s="177" t="s">
        <v>296</v>
      </c>
      <c r="C580" s="177">
        <v>1</v>
      </c>
      <c r="D580" s="315">
        <f>'0. Qtdades e Custos'!D173</f>
        <v>150</v>
      </c>
      <c r="E580" s="316">
        <f>D580*C580</f>
        <v>150</v>
      </c>
      <c r="F580" s="170"/>
      <c r="G580" s="17"/>
      <c r="H580" s="15"/>
      <c r="I580" s="290"/>
      <c r="J580" s="290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1.25" customHeight="1" x14ac:dyDescent="0.2">
      <c r="A581" s="313" t="s">
        <v>297</v>
      </c>
      <c r="B581" s="177" t="s">
        <v>208</v>
      </c>
      <c r="C581" s="177">
        <v>12</v>
      </c>
      <c r="D581" s="316">
        <f>D580</f>
        <v>150</v>
      </c>
      <c r="E581" s="316">
        <f>D581/C581</f>
        <v>12.5</v>
      </c>
      <c r="F581" s="170"/>
      <c r="G581" s="17"/>
      <c r="H581" s="15"/>
      <c r="I581" s="290"/>
      <c r="J581" s="290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1.25" customHeight="1" x14ac:dyDescent="0.2">
      <c r="A582" s="313" t="s">
        <v>298</v>
      </c>
      <c r="B582" s="177" t="s">
        <v>299</v>
      </c>
      <c r="C582" s="177">
        <v>1</v>
      </c>
      <c r="D582" s="315">
        <f>'0. Qtdades e Custos'!D174</f>
        <v>56.99</v>
      </c>
      <c r="E582" s="316">
        <f>D582*C582</f>
        <v>56.99</v>
      </c>
      <c r="F582" s="170"/>
      <c r="G582" s="17"/>
      <c r="H582" s="15"/>
      <c r="I582" s="290"/>
      <c r="J582" s="290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1.25" customHeight="1" x14ac:dyDescent="0.25">
      <c r="A583" s="317" t="s">
        <v>300</v>
      </c>
      <c r="B583" s="318"/>
      <c r="C583" s="319"/>
      <c r="D583" s="320"/>
      <c r="E583" s="321">
        <f>E582+E581</f>
        <v>69.490000000000009</v>
      </c>
      <c r="F583" s="170"/>
      <c r="G583" s="17"/>
      <c r="H583" s="15"/>
      <c r="I583" s="290"/>
      <c r="J583" s="290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1.25" customHeight="1" x14ac:dyDescent="0.25">
      <c r="A584" s="171"/>
      <c r="B584" s="171"/>
      <c r="C584" s="171"/>
      <c r="D584" s="322" t="s">
        <v>217</v>
      </c>
      <c r="E584" s="323">
        <v>1</v>
      </c>
      <c r="F584" s="324">
        <f>(E583)*E584</f>
        <v>69.490000000000009</v>
      </c>
      <c r="G584" s="17"/>
      <c r="H584" s="15"/>
      <c r="I584" s="290"/>
      <c r="J584" s="290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1.25" customHeight="1" x14ac:dyDescent="0.2">
      <c r="A585" s="171"/>
      <c r="B585" s="171"/>
      <c r="C585" s="171"/>
      <c r="D585" s="308"/>
      <c r="E585" s="308"/>
      <c r="F585" s="308"/>
      <c r="G585" s="17"/>
      <c r="H585" s="15"/>
      <c r="I585" s="290"/>
      <c r="J585" s="290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1.25" customHeight="1" x14ac:dyDescent="0.25">
      <c r="A586" s="325" t="s">
        <v>301</v>
      </c>
      <c r="B586" s="326"/>
      <c r="C586" s="326"/>
      <c r="D586" s="327"/>
      <c r="E586" s="328"/>
      <c r="F586" s="329">
        <f>F584</f>
        <v>69.490000000000009</v>
      </c>
      <c r="G586" s="17"/>
      <c r="H586" s="15"/>
      <c r="I586" s="290"/>
      <c r="J586" s="290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1.25" customHeight="1" x14ac:dyDescent="0.2">
      <c r="A587" s="15"/>
      <c r="B587" s="15"/>
      <c r="C587" s="15"/>
      <c r="D587" s="17"/>
      <c r="E587" s="17"/>
      <c r="F587" s="17"/>
      <c r="G587" s="17"/>
      <c r="H587" s="15"/>
      <c r="I587" s="290"/>
      <c r="J587" s="290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1.25" customHeight="1" x14ac:dyDescent="0.2">
      <c r="A588" s="15"/>
      <c r="B588" s="15"/>
      <c r="C588" s="15"/>
      <c r="D588" s="17"/>
      <c r="E588" s="17"/>
      <c r="F588" s="17"/>
      <c r="G588" s="17"/>
      <c r="H588" s="15"/>
      <c r="I588" s="290"/>
      <c r="J588" s="290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1.25" customHeight="1" x14ac:dyDescent="0.2">
      <c r="A589" s="333" t="s">
        <v>350</v>
      </c>
      <c r="B589" s="334"/>
      <c r="C589" s="334"/>
      <c r="D589" s="335"/>
      <c r="E589" s="17"/>
      <c r="F589" s="17"/>
      <c r="G589" s="17"/>
      <c r="H589" s="15"/>
      <c r="I589" s="290"/>
      <c r="J589" s="290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1.25" customHeight="1" x14ac:dyDescent="0.2">
      <c r="A590" s="15"/>
      <c r="B590" s="15"/>
      <c r="C590" s="15"/>
      <c r="D590" s="17"/>
      <c r="E590" s="17"/>
      <c r="F590" s="17"/>
      <c r="G590" s="17"/>
      <c r="H590" s="15"/>
      <c r="I590" s="290"/>
      <c r="J590" s="290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1.25" customHeight="1" x14ac:dyDescent="0.2">
      <c r="A591" s="288" t="s">
        <v>351</v>
      </c>
      <c r="B591" s="15"/>
      <c r="C591" s="15"/>
      <c r="D591" s="17"/>
      <c r="E591" s="17"/>
      <c r="F591" s="17"/>
      <c r="G591" s="17"/>
      <c r="H591" s="15"/>
      <c r="I591" s="290"/>
      <c r="J591" s="290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1.25" customHeight="1" x14ac:dyDescent="0.2">
      <c r="A592" s="243" t="s">
        <v>202</v>
      </c>
      <c r="B592" s="244" t="s">
        <v>95</v>
      </c>
      <c r="C592" s="244" t="s">
        <v>50</v>
      </c>
      <c r="D592" s="245" t="s">
        <v>203</v>
      </c>
      <c r="E592" s="245" t="s">
        <v>204</v>
      </c>
      <c r="F592" s="246" t="s">
        <v>205</v>
      </c>
      <c r="G592" s="17"/>
      <c r="H592" s="15"/>
      <c r="I592" s="290"/>
      <c r="J592" s="290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1.25" customHeight="1" x14ac:dyDescent="0.2">
      <c r="A593" s="247" t="s">
        <v>254</v>
      </c>
      <c r="B593" s="248" t="s">
        <v>238</v>
      </c>
      <c r="C593" s="248">
        <v>1</v>
      </c>
      <c r="D593" s="249">
        <f>'0. Qtdades e Custos'!N57</f>
        <v>504367</v>
      </c>
      <c r="E593" s="250">
        <f>C593*D593</f>
        <v>504367</v>
      </c>
      <c r="F593" s="17"/>
      <c r="G593" s="17"/>
      <c r="H593" s="15"/>
      <c r="I593" s="290"/>
      <c r="J593" s="290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1.25" customHeight="1" x14ac:dyDescent="0.2">
      <c r="A594" s="251" t="s">
        <v>255</v>
      </c>
      <c r="B594" s="252" t="s">
        <v>256</v>
      </c>
      <c r="C594" s="281">
        <f>'0. Qtdades e Custos'!Q57</f>
        <v>7</v>
      </c>
      <c r="D594" s="253"/>
      <c r="E594" s="253"/>
      <c r="F594" s="17"/>
      <c r="G594" s="17"/>
      <c r="H594" s="15"/>
      <c r="I594" s="290"/>
      <c r="J594" s="290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1.25" customHeight="1" x14ac:dyDescent="0.2">
      <c r="A595" s="251" t="s">
        <v>257</v>
      </c>
      <c r="B595" s="252" t="s">
        <v>256</v>
      </c>
      <c r="C595" s="257">
        <v>0</v>
      </c>
      <c r="D595" s="253"/>
      <c r="E595" s="253"/>
      <c r="F595" s="134"/>
      <c r="G595" s="17"/>
      <c r="H595" s="15"/>
      <c r="I595" s="290"/>
      <c r="J595" s="290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1.25" customHeight="1" x14ac:dyDescent="0.2">
      <c r="A596" s="251" t="s">
        <v>258</v>
      </c>
      <c r="B596" s="252" t="s">
        <v>182</v>
      </c>
      <c r="C596" s="256">
        <f>IFERROR(VLOOKUP(C594,'7. Depreciação'!A3:B17,2,0),0)</f>
        <v>60.29</v>
      </c>
      <c r="D596" s="253">
        <f>E593</f>
        <v>504367</v>
      </c>
      <c r="E596" s="253">
        <f>C596*D596/100</f>
        <v>304082.86430000002</v>
      </c>
      <c r="F596" s="17"/>
      <c r="G596" s="17"/>
      <c r="H596" s="15"/>
      <c r="I596" s="290"/>
      <c r="J596" s="290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1.25" customHeight="1" x14ac:dyDescent="0.2">
      <c r="A597" s="291" t="s">
        <v>352</v>
      </c>
      <c r="B597" s="292" t="s">
        <v>208</v>
      </c>
      <c r="C597" s="292">
        <f>C594*12</f>
        <v>84</v>
      </c>
      <c r="D597" s="293">
        <f>IF(C595&lt;=C594,E596,0)</f>
        <v>304082.86430000002</v>
      </c>
      <c r="E597" s="293">
        <f>IFERROR(D597/C597,0)</f>
        <v>3620.034098809524</v>
      </c>
      <c r="F597" s="17"/>
      <c r="G597" s="17"/>
      <c r="H597" s="15"/>
      <c r="I597" s="290"/>
      <c r="J597" s="290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1.25" customHeight="1" x14ac:dyDescent="0.2">
      <c r="A598" s="254" t="s">
        <v>260</v>
      </c>
      <c r="B598" s="135"/>
      <c r="C598" s="135"/>
      <c r="D598" s="39"/>
      <c r="E598" s="255">
        <f>E597</f>
        <v>3620.034098809524</v>
      </c>
      <c r="F598" s="17"/>
      <c r="G598" s="17"/>
      <c r="H598" s="15"/>
      <c r="I598" s="290"/>
      <c r="J598" s="290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1.25" customHeight="1" x14ac:dyDescent="0.2">
      <c r="A599" s="262" t="s">
        <v>261</v>
      </c>
      <c r="B599" s="294" t="s">
        <v>238</v>
      </c>
      <c r="C599" s="281">
        <f>'0. Qtdades e Custos'!P57</f>
        <v>4</v>
      </c>
      <c r="D599" s="263">
        <f>E598</f>
        <v>3620.034098809524</v>
      </c>
      <c r="E599" s="255">
        <f>C599*D599</f>
        <v>14480.136395238096</v>
      </c>
      <c r="F599" s="17"/>
      <c r="G599" s="17"/>
      <c r="H599" s="15"/>
      <c r="I599" s="290"/>
      <c r="J599" s="290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1.25" customHeight="1" x14ac:dyDescent="0.2">
      <c r="A600" s="295"/>
      <c r="B600" s="295"/>
      <c r="C600" s="295"/>
      <c r="D600" s="258" t="s">
        <v>217</v>
      </c>
      <c r="E600" s="259">
        <f>$B$99</f>
        <v>1</v>
      </c>
      <c r="F600" s="287">
        <f>E599*E600</f>
        <v>14480.136395238096</v>
      </c>
      <c r="G600" s="17"/>
      <c r="H600" s="15"/>
      <c r="I600" s="290"/>
      <c r="J600" s="290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1.25" customHeight="1" x14ac:dyDescent="0.2">
      <c r="A601" s="15"/>
      <c r="B601" s="15"/>
      <c r="C601" s="15"/>
      <c r="D601" s="17"/>
      <c r="E601" s="17"/>
      <c r="F601" s="17"/>
      <c r="G601" s="17"/>
      <c r="H601" s="15"/>
      <c r="I601" s="290"/>
      <c r="J601" s="290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1.25" customHeight="1" x14ac:dyDescent="0.2">
      <c r="A602" s="288" t="s">
        <v>353</v>
      </c>
      <c r="B602" s="15"/>
      <c r="C602" s="15"/>
      <c r="D602" s="17"/>
      <c r="E602" s="17"/>
      <c r="F602" s="17"/>
      <c r="G602" s="17"/>
      <c r="H602" s="15"/>
      <c r="I602" s="290"/>
      <c r="J602" s="290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1.25" customHeight="1" x14ac:dyDescent="0.2">
      <c r="A603" s="243" t="s">
        <v>202</v>
      </c>
      <c r="B603" s="244" t="s">
        <v>95</v>
      </c>
      <c r="C603" s="244" t="s">
        <v>50</v>
      </c>
      <c r="D603" s="245" t="s">
        <v>203</v>
      </c>
      <c r="E603" s="245" t="s">
        <v>204</v>
      </c>
      <c r="F603" s="246" t="s">
        <v>205</v>
      </c>
      <c r="G603" s="17"/>
      <c r="H603" s="15"/>
      <c r="I603" s="290"/>
      <c r="J603" s="290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1.25" customHeight="1" x14ac:dyDescent="0.2">
      <c r="A604" s="247" t="s">
        <v>263</v>
      </c>
      <c r="B604" s="248" t="s">
        <v>238</v>
      </c>
      <c r="C604" s="248">
        <v>1</v>
      </c>
      <c r="D604" s="250">
        <f>D593</f>
        <v>504367</v>
      </c>
      <c r="E604" s="250">
        <f>C604*D604</f>
        <v>504367</v>
      </c>
      <c r="F604" s="134"/>
      <c r="G604" s="17"/>
      <c r="H604" s="15"/>
      <c r="I604" s="290"/>
      <c r="J604" s="290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1.25" customHeight="1" x14ac:dyDescent="0.2">
      <c r="A605" s="251" t="s">
        <v>264</v>
      </c>
      <c r="B605" s="252" t="s">
        <v>182</v>
      </c>
      <c r="C605" s="257">
        <v>14.75</v>
      </c>
      <c r="D605" s="253"/>
      <c r="E605" s="253"/>
      <c r="F605" s="134"/>
      <c r="G605" s="17"/>
      <c r="H605" s="15"/>
      <c r="I605" s="290"/>
      <c r="J605" s="290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1.25" customHeight="1" x14ac:dyDescent="0.2">
      <c r="A606" s="251" t="s">
        <v>265</v>
      </c>
      <c r="B606" s="252" t="s">
        <v>231</v>
      </c>
      <c r="C606" s="253">
        <f>IFERROR(IF(C595&lt;=C594,E593-(C596/(100*C594)*C595)*E593,E593-E596),0)</f>
        <v>504367</v>
      </c>
      <c r="D606" s="253"/>
      <c r="E606" s="253"/>
      <c r="F606" s="134"/>
      <c r="G606" s="17"/>
      <c r="H606" s="15"/>
      <c r="I606" s="290"/>
      <c r="J606" s="290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1.25" customHeight="1" x14ac:dyDescent="0.2">
      <c r="A607" s="251" t="s">
        <v>266</v>
      </c>
      <c r="B607" s="252" t="s">
        <v>231</v>
      </c>
      <c r="C607" s="253">
        <f>IFERROR(IF(C595&gt;=C594,C606,((((C606)-(E593-E596))*(((C594-C595)+1)/(2*(C594-C595))))+(E593-E596))),0)</f>
        <v>374045.77244285715</v>
      </c>
      <c r="D607" s="253"/>
      <c r="E607" s="253"/>
      <c r="F607" s="134"/>
      <c r="G607" s="17"/>
      <c r="H607" s="15"/>
      <c r="I607" s="290"/>
      <c r="J607" s="290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1.25" customHeight="1" x14ac:dyDescent="0.2">
      <c r="A608" s="291" t="s">
        <v>267</v>
      </c>
      <c r="B608" s="292" t="s">
        <v>231</v>
      </c>
      <c r="C608" s="292"/>
      <c r="D608" s="293">
        <f>C605*C607/12/100</f>
        <v>4597.6459529434524</v>
      </c>
      <c r="E608" s="293">
        <f>D608</f>
        <v>4597.6459529434524</v>
      </c>
      <c r="F608" s="134"/>
      <c r="G608" s="17"/>
      <c r="H608" s="15"/>
      <c r="I608" s="290"/>
      <c r="J608" s="290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1.25" customHeight="1" x14ac:dyDescent="0.2">
      <c r="A609" s="254" t="s">
        <v>260</v>
      </c>
      <c r="B609" s="135"/>
      <c r="C609" s="135"/>
      <c r="D609" s="39"/>
      <c r="E609" s="255">
        <f>E608</f>
        <v>4597.6459529434524</v>
      </c>
      <c r="F609" s="134"/>
      <c r="G609" s="17"/>
      <c r="H609" s="15"/>
      <c r="I609" s="290"/>
      <c r="J609" s="290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1.25" customHeight="1" x14ac:dyDescent="0.2">
      <c r="A610" s="262" t="s">
        <v>261</v>
      </c>
      <c r="B610" s="294" t="s">
        <v>238</v>
      </c>
      <c r="C610" s="296">
        <f>C599</f>
        <v>4</v>
      </c>
      <c r="D610" s="263">
        <f>E609</f>
        <v>4597.6459529434524</v>
      </c>
      <c r="E610" s="255">
        <f>C610*D610</f>
        <v>18390.583811773809</v>
      </c>
      <c r="F610" s="134"/>
      <c r="G610" s="17"/>
      <c r="H610" s="15"/>
      <c r="I610" s="290"/>
      <c r="J610" s="290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1.25" customHeight="1" x14ac:dyDescent="0.2">
      <c r="A611" s="15"/>
      <c r="B611" s="15"/>
      <c r="C611" s="133"/>
      <c r="D611" s="258" t="s">
        <v>217</v>
      </c>
      <c r="E611" s="259">
        <f>$B$99</f>
        <v>1</v>
      </c>
      <c r="F611" s="287">
        <f>E610*E611</f>
        <v>18390.583811773809</v>
      </c>
      <c r="G611" s="17"/>
      <c r="H611" s="15"/>
      <c r="I611" s="290"/>
      <c r="J611" s="290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1.25" customHeight="1" x14ac:dyDescent="0.2">
      <c r="A612" s="15"/>
      <c r="B612" s="15"/>
      <c r="C612" s="15"/>
      <c r="D612" s="17"/>
      <c r="E612" s="17"/>
      <c r="F612" s="17"/>
      <c r="G612" s="17"/>
      <c r="H612" s="15"/>
      <c r="I612" s="290"/>
      <c r="J612" s="290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1.25" customHeight="1" x14ac:dyDescent="0.2">
      <c r="A613" s="15" t="s">
        <v>354</v>
      </c>
      <c r="B613" s="15"/>
      <c r="C613" s="15"/>
      <c r="D613" s="17"/>
      <c r="E613" s="17"/>
      <c r="F613" s="17"/>
      <c r="G613" s="17"/>
      <c r="H613" s="15"/>
      <c r="I613" s="290"/>
      <c r="J613" s="290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1.25" customHeight="1" x14ac:dyDescent="0.2">
      <c r="A614" s="243" t="s">
        <v>202</v>
      </c>
      <c r="B614" s="244" t="s">
        <v>95</v>
      </c>
      <c r="C614" s="244" t="s">
        <v>50</v>
      </c>
      <c r="D614" s="245" t="s">
        <v>203</v>
      </c>
      <c r="E614" s="245" t="s">
        <v>204</v>
      </c>
      <c r="F614" s="246" t="s">
        <v>205</v>
      </c>
      <c r="G614" s="17"/>
      <c r="H614" s="15"/>
      <c r="I614" s="290"/>
      <c r="J614" s="290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1.25" customHeight="1" x14ac:dyDescent="0.2">
      <c r="A615" s="247" t="s">
        <v>269</v>
      </c>
      <c r="B615" s="248" t="s">
        <v>238</v>
      </c>
      <c r="C615" s="250">
        <f>C599</f>
        <v>4</v>
      </c>
      <c r="D615" s="250">
        <f>0.01*($E$284)</f>
        <v>5957.3213999999998</v>
      </c>
      <c r="E615" s="250">
        <f>C615*D615</f>
        <v>23829.285599999999</v>
      </c>
      <c r="F615" s="17"/>
      <c r="G615" s="17"/>
      <c r="H615" s="15"/>
      <c r="I615" s="290"/>
      <c r="J615" s="290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1.25" customHeight="1" x14ac:dyDescent="0.2">
      <c r="A616" s="251" t="s">
        <v>270</v>
      </c>
      <c r="B616" s="252" t="s">
        <v>238</v>
      </c>
      <c r="C616" s="250">
        <f>C599</f>
        <v>4</v>
      </c>
      <c r="D616" s="273">
        <v>273.20999999999998</v>
      </c>
      <c r="E616" s="253">
        <f>C616*D616</f>
        <v>1092.8399999999999</v>
      </c>
      <c r="F616" s="17"/>
      <c r="G616" s="17"/>
      <c r="H616" s="15"/>
      <c r="I616" s="290"/>
      <c r="J616" s="290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1.25" customHeight="1" x14ac:dyDescent="0.2">
      <c r="A617" s="251" t="s">
        <v>271</v>
      </c>
      <c r="B617" s="252" t="s">
        <v>238</v>
      </c>
      <c r="C617" s="250">
        <f>C599</f>
        <v>4</v>
      </c>
      <c r="D617" s="336">
        <v>1459.33</v>
      </c>
      <c r="E617" s="253">
        <f>C617*D617</f>
        <v>5837.32</v>
      </c>
      <c r="F617" s="39"/>
      <c r="G617" s="17"/>
      <c r="H617" s="15"/>
      <c r="I617" s="290"/>
      <c r="J617" s="290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1.25" customHeight="1" x14ac:dyDescent="0.2">
      <c r="A618" s="262" t="s">
        <v>272</v>
      </c>
      <c r="B618" s="294" t="s">
        <v>208</v>
      </c>
      <c r="C618" s="294">
        <v>12</v>
      </c>
      <c r="D618" s="263">
        <f>SUM(E615:E617)</f>
        <v>30759.445599999999</v>
      </c>
      <c r="E618" s="263">
        <f>D618/C618</f>
        <v>2563.2871333333333</v>
      </c>
      <c r="F618" s="17"/>
      <c r="G618" s="17"/>
      <c r="H618" s="15"/>
      <c r="I618" s="290"/>
      <c r="J618" s="290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1.25" customHeight="1" x14ac:dyDescent="0.2">
      <c r="A619" s="15"/>
      <c r="B619" s="15"/>
      <c r="C619" s="15"/>
      <c r="D619" s="258" t="s">
        <v>217</v>
      </c>
      <c r="E619" s="259">
        <f>$B$99</f>
        <v>1</v>
      </c>
      <c r="F619" s="260">
        <f>E618*E619</f>
        <v>2563.2871333333333</v>
      </c>
      <c r="G619" s="17"/>
      <c r="H619" s="15"/>
      <c r="I619" s="290"/>
      <c r="J619" s="290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1.25" customHeight="1" x14ac:dyDescent="0.2">
      <c r="A620" s="15"/>
      <c r="B620" s="15"/>
      <c r="C620" s="15"/>
      <c r="D620" s="17"/>
      <c r="E620" s="17"/>
      <c r="F620" s="17"/>
      <c r="G620" s="17"/>
      <c r="H620" s="15"/>
      <c r="I620" s="290"/>
      <c r="J620" s="290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1.25" customHeight="1" x14ac:dyDescent="0.2">
      <c r="A621" s="15" t="s">
        <v>355</v>
      </c>
      <c r="B621" s="297"/>
      <c r="C621" s="15"/>
      <c r="D621" s="17"/>
      <c r="E621" s="17"/>
      <c r="F621" s="17"/>
      <c r="G621" s="17"/>
      <c r="H621" s="15"/>
      <c r="I621" s="290"/>
      <c r="J621" s="290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1.25" customHeight="1" x14ac:dyDescent="0.2">
      <c r="A622" s="15"/>
      <c r="B622" s="297"/>
      <c r="C622" s="15"/>
      <c r="D622" s="17"/>
      <c r="E622" s="17"/>
      <c r="F622" s="17"/>
      <c r="G622" s="17"/>
      <c r="H622" s="15"/>
      <c r="I622" s="290"/>
      <c r="J622" s="290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1.25" customHeight="1" x14ac:dyDescent="0.2">
      <c r="A623" s="262" t="s">
        <v>274</v>
      </c>
      <c r="B623" s="298">
        <f>'0. Qtdades e Custos'!D5*0.8</f>
        <v>720</v>
      </c>
      <c r="C623" s="15" t="s">
        <v>313</v>
      </c>
      <c r="D623" s="17"/>
      <c r="E623" s="17"/>
      <c r="F623" s="17"/>
      <c r="G623" s="17"/>
      <c r="H623" s="15"/>
      <c r="I623" s="290"/>
      <c r="J623" s="290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2.75" customHeight="1" x14ac:dyDescent="0.2">
      <c r="A624" s="299" t="s">
        <v>275</v>
      </c>
      <c r="B624" s="300">
        <f>'0. Qtdades e Custos'!Y57</f>
        <v>3108.78</v>
      </c>
      <c r="C624" s="15"/>
      <c r="D624" s="17"/>
      <c r="E624" s="17"/>
      <c r="F624" s="17"/>
      <c r="G624" s="17"/>
      <c r="H624" s="15"/>
      <c r="I624" s="290"/>
      <c r="J624" s="290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1.25" customHeight="1" x14ac:dyDescent="0.2">
      <c r="A625" s="15"/>
      <c r="B625" s="297"/>
      <c r="C625" s="15"/>
      <c r="D625" s="17"/>
      <c r="E625" s="17"/>
      <c r="F625" s="17"/>
      <c r="G625" s="17"/>
      <c r="H625" s="15"/>
      <c r="I625" s="290"/>
      <c r="J625" s="290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1.25" customHeight="1" x14ac:dyDescent="0.2">
      <c r="A626" s="243" t="s">
        <v>202</v>
      </c>
      <c r="B626" s="244" t="s">
        <v>95</v>
      </c>
      <c r="C626" s="244" t="s">
        <v>276</v>
      </c>
      <c r="D626" s="245" t="s">
        <v>203</v>
      </c>
      <c r="E626" s="245" t="s">
        <v>204</v>
      </c>
      <c r="F626" s="246" t="s">
        <v>205</v>
      </c>
      <c r="G626" s="17"/>
      <c r="H626" s="15"/>
      <c r="I626" s="290"/>
      <c r="J626" s="290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1.25" customHeight="1" x14ac:dyDescent="0.2">
      <c r="A627" s="251" t="s">
        <v>277</v>
      </c>
      <c r="B627" s="252" t="s">
        <v>278</v>
      </c>
      <c r="C627" s="301">
        <f>B624</f>
        <v>3108.78</v>
      </c>
      <c r="D627" s="302">
        <v>6.25</v>
      </c>
      <c r="E627" s="250"/>
      <c r="F627" s="17"/>
      <c r="G627" s="17"/>
      <c r="H627" s="15"/>
      <c r="I627" s="290"/>
      <c r="J627" s="290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2.75" customHeight="1" x14ac:dyDescent="0.2">
      <c r="A628" s="299" t="s">
        <v>279</v>
      </c>
      <c r="B628" s="252" t="s">
        <v>280</v>
      </c>
      <c r="C628" s="253">
        <f>C627</f>
        <v>3108.78</v>
      </c>
      <c r="D628" s="303"/>
      <c r="E628" s="253">
        <f>C628*D627</f>
        <v>19429.875</v>
      </c>
      <c r="F628" s="17"/>
      <c r="G628" s="17"/>
      <c r="H628" s="15"/>
      <c r="I628" s="290"/>
      <c r="J628" s="290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1.25" customHeight="1" x14ac:dyDescent="0.2">
      <c r="A629" s="15"/>
      <c r="B629" s="15"/>
      <c r="C629" s="15"/>
      <c r="D629" s="17"/>
      <c r="E629" s="17"/>
      <c r="F629" s="287">
        <f>SUM(E627:E628)</f>
        <v>19429.875</v>
      </c>
      <c r="G629" s="17"/>
      <c r="H629" s="15"/>
      <c r="I629" s="290"/>
      <c r="J629" s="290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1.25" customHeight="1" x14ac:dyDescent="0.2">
      <c r="A630" s="15"/>
      <c r="B630" s="15"/>
      <c r="C630" s="15"/>
      <c r="D630" s="17"/>
      <c r="E630" s="17"/>
      <c r="F630" s="17"/>
      <c r="G630" s="17"/>
      <c r="H630" s="15"/>
      <c r="I630" s="290"/>
      <c r="J630" s="290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1.25" customHeight="1" x14ac:dyDescent="0.2">
      <c r="A631" s="15" t="s">
        <v>356</v>
      </c>
      <c r="B631" s="15"/>
      <c r="C631" s="15"/>
      <c r="D631" s="17"/>
      <c r="E631" s="17"/>
      <c r="F631" s="17"/>
      <c r="G631" s="17"/>
      <c r="H631" s="15"/>
      <c r="I631" s="290"/>
      <c r="J631" s="290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1.25" customHeight="1" x14ac:dyDescent="0.2">
      <c r="A632" s="243" t="s">
        <v>202</v>
      </c>
      <c r="B632" s="244" t="s">
        <v>95</v>
      </c>
      <c r="C632" s="244" t="s">
        <v>50</v>
      </c>
      <c r="D632" s="245" t="s">
        <v>203</v>
      </c>
      <c r="E632" s="245" t="s">
        <v>204</v>
      </c>
      <c r="F632" s="246" t="s">
        <v>205</v>
      </c>
      <c r="G632" s="17"/>
      <c r="H632" s="15"/>
      <c r="I632" s="290"/>
      <c r="J632" s="290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1.25" customHeight="1" x14ac:dyDescent="0.2">
      <c r="A633" s="247" t="s">
        <v>357</v>
      </c>
      <c r="B633" s="248" t="s">
        <v>316</v>
      </c>
      <c r="C633" s="296">
        <f>'0. Qtdades e Custos'!S57/('0. Qtdades e Custos'!Q57*12)</f>
        <v>1.0714285714285714E-2</v>
      </c>
      <c r="D633" s="249">
        <f>D593</f>
        <v>504367</v>
      </c>
      <c r="E633" s="250">
        <f>C633*D633</f>
        <v>5403.9321428571429</v>
      </c>
      <c r="F633" s="17"/>
      <c r="G633" s="17"/>
      <c r="H633" s="15"/>
      <c r="I633" s="290"/>
      <c r="J633" s="290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1.25" customHeight="1" x14ac:dyDescent="0.2">
      <c r="A634" s="15"/>
      <c r="B634" s="15"/>
      <c r="C634" s="15"/>
      <c r="D634" s="17"/>
      <c r="E634" s="17"/>
      <c r="F634" s="287">
        <f>E633</f>
        <v>5403.9321428571429</v>
      </c>
      <c r="G634" s="17"/>
      <c r="H634" s="15"/>
      <c r="I634" s="290"/>
      <c r="J634" s="290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1.25" customHeight="1" x14ac:dyDescent="0.2">
      <c r="A635" s="15"/>
      <c r="B635" s="15"/>
      <c r="C635" s="15"/>
      <c r="D635" s="17"/>
      <c r="E635" s="17"/>
      <c r="F635" s="17"/>
      <c r="G635" s="17"/>
      <c r="H635" s="15"/>
      <c r="I635" s="290"/>
      <c r="J635" s="290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1.25" customHeight="1" x14ac:dyDescent="0.2">
      <c r="A636" s="15" t="s">
        <v>358</v>
      </c>
      <c r="B636" s="15"/>
      <c r="C636" s="15"/>
      <c r="D636" s="17"/>
      <c r="E636" s="17"/>
      <c r="F636" s="17"/>
      <c r="G636" s="17"/>
      <c r="H636" s="15"/>
      <c r="I636" s="290"/>
      <c r="J636" s="290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1.25" customHeight="1" x14ac:dyDescent="0.2">
      <c r="A637" s="243" t="s">
        <v>202</v>
      </c>
      <c r="B637" s="244" t="s">
        <v>95</v>
      </c>
      <c r="C637" s="244" t="s">
        <v>50</v>
      </c>
      <c r="D637" s="245" t="s">
        <v>203</v>
      </c>
      <c r="E637" s="245" t="s">
        <v>204</v>
      </c>
      <c r="F637" s="246" t="s">
        <v>205</v>
      </c>
      <c r="G637" s="17"/>
      <c r="H637" s="15"/>
      <c r="I637" s="290"/>
      <c r="J637" s="290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1.25" customHeight="1" x14ac:dyDescent="0.2">
      <c r="A638" s="247" t="s">
        <v>286</v>
      </c>
      <c r="B638" s="248" t="s">
        <v>238</v>
      </c>
      <c r="C638" s="306">
        <v>6</v>
      </c>
      <c r="D638" s="249">
        <v>1723</v>
      </c>
      <c r="E638" s="250">
        <f>C638*D638</f>
        <v>10338</v>
      </c>
      <c r="F638" s="17"/>
      <c r="G638" s="17"/>
      <c r="H638" s="15"/>
      <c r="I638" s="290"/>
      <c r="J638" s="290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1.25" customHeight="1" x14ac:dyDescent="0.2">
      <c r="A639" s="247" t="s">
        <v>287</v>
      </c>
      <c r="B639" s="248" t="s">
        <v>238</v>
      </c>
      <c r="C639" s="306">
        <v>1</v>
      </c>
      <c r="D639" s="250"/>
      <c r="E639" s="250"/>
      <c r="F639" s="17"/>
      <c r="G639" s="17"/>
      <c r="H639" s="15"/>
      <c r="I639" s="290"/>
      <c r="J639" s="290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1.25" customHeight="1" x14ac:dyDescent="0.2">
      <c r="A640" s="247" t="s">
        <v>288</v>
      </c>
      <c r="B640" s="248" t="s">
        <v>238</v>
      </c>
      <c r="C640" s="250">
        <f>C638*C639</f>
        <v>6</v>
      </c>
      <c r="D640" s="249">
        <v>467.83</v>
      </c>
      <c r="E640" s="250">
        <f>C640*D640</f>
        <v>2806.98</v>
      </c>
      <c r="F640" s="17"/>
      <c r="G640" s="17"/>
      <c r="H640" s="15"/>
      <c r="I640" s="290"/>
      <c r="J640" s="290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1.25" customHeight="1" x14ac:dyDescent="0.2">
      <c r="A641" s="251" t="s">
        <v>289</v>
      </c>
      <c r="B641" s="252" t="s">
        <v>290</v>
      </c>
      <c r="C641" s="307">
        <v>50000</v>
      </c>
      <c r="D641" s="253">
        <f>E638+E640</f>
        <v>13144.98</v>
      </c>
      <c r="E641" s="253">
        <f>IFERROR(D641/C641,"-")</f>
        <v>0.26289960000000001</v>
      </c>
      <c r="F641" s="17"/>
      <c r="G641" s="17"/>
      <c r="H641" s="15"/>
      <c r="I641" s="290"/>
      <c r="J641" s="290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1.25" customHeight="1" x14ac:dyDescent="0.2">
      <c r="A642" s="251" t="s">
        <v>291</v>
      </c>
      <c r="B642" s="252" t="s">
        <v>292</v>
      </c>
      <c r="C642" s="267">
        <f>B623</f>
        <v>720</v>
      </c>
      <c r="D642" s="253">
        <f>E641</f>
        <v>0.26289960000000001</v>
      </c>
      <c r="E642" s="253">
        <f>IFERROR(C642*D642,0)</f>
        <v>189.287712</v>
      </c>
      <c r="F642" s="17"/>
      <c r="G642" s="17"/>
      <c r="H642" s="15"/>
      <c r="I642" s="290"/>
      <c r="J642" s="290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1.25" customHeight="1" x14ac:dyDescent="0.2">
      <c r="A643" s="15"/>
      <c r="B643" s="15"/>
      <c r="C643" s="15"/>
      <c r="D643" s="17"/>
      <c r="E643" s="17"/>
      <c r="F643" s="287">
        <f>E642</f>
        <v>189.287712</v>
      </c>
      <c r="G643" s="17"/>
      <c r="H643" s="15"/>
      <c r="I643" s="290"/>
      <c r="J643" s="290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1.25" customHeight="1" x14ac:dyDescent="0.2">
      <c r="A644" s="15"/>
      <c r="B644" s="15"/>
      <c r="C644" s="15"/>
      <c r="D644" s="17"/>
      <c r="E644" s="17"/>
      <c r="F644" s="17"/>
      <c r="G644" s="17"/>
      <c r="H644" s="15"/>
      <c r="I644" s="290"/>
      <c r="J644" s="290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1.25" customHeight="1" x14ac:dyDescent="0.2">
      <c r="A645" s="337" t="s">
        <v>359</v>
      </c>
      <c r="B645" s="337"/>
      <c r="C645" s="337"/>
      <c r="D645" s="338"/>
      <c r="E645" s="338"/>
      <c r="F645" s="338"/>
      <c r="G645" s="17"/>
      <c r="H645" s="15"/>
      <c r="I645" s="290"/>
      <c r="J645" s="290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1.25" customHeight="1" x14ac:dyDescent="0.25">
      <c r="A646" s="309" t="s">
        <v>202</v>
      </c>
      <c r="B646" s="310" t="s">
        <v>95</v>
      </c>
      <c r="C646" s="310" t="s">
        <v>50</v>
      </c>
      <c r="D646" s="311" t="s">
        <v>203</v>
      </c>
      <c r="E646" s="311" t="s">
        <v>204</v>
      </c>
      <c r="F646" s="312" t="s">
        <v>294</v>
      </c>
      <c r="G646" s="17"/>
      <c r="H646" s="15"/>
      <c r="I646" s="290"/>
      <c r="J646" s="290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1.25" customHeight="1" x14ac:dyDescent="0.2">
      <c r="A647" s="339" t="s">
        <v>295</v>
      </c>
      <c r="B647" s="177" t="s">
        <v>296</v>
      </c>
      <c r="C647" s="177">
        <v>4</v>
      </c>
      <c r="D647" s="315">
        <f>'0. Qtdades e Custos'!D173</f>
        <v>150</v>
      </c>
      <c r="E647" s="316">
        <f>D647*C647</f>
        <v>600</v>
      </c>
      <c r="F647" s="338"/>
      <c r="G647" s="17"/>
      <c r="H647" s="15"/>
      <c r="I647" s="290"/>
      <c r="J647" s="290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1.25" customHeight="1" x14ac:dyDescent="0.2">
      <c r="A648" s="339" t="s">
        <v>297</v>
      </c>
      <c r="B648" s="177" t="s">
        <v>208</v>
      </c>
      <c r="C648" s="177">
        <v>12</v>
      </c>
      <c r="D648" s="316">
        <f>D647</f>
        <v>150</v>
      </c>
      <c r="E648" s="316">
        <f>D648/C648</f>
        <v>12.5</v>
      </c>
      <c r="F648" s="338"/>
      <c r="G648" s="17"/>
      <c r="H648" s="15"/>
      <c r="I648" s="290"/>
      <c r="J648" s="290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1.25" customHeight="1" x14ac:dyDescent="0.2">
      <c r="A649" s="339" t="s">
        <v>298</v>
      </c>
      <c r="B649" s="177" t="s">
        <v>299</v>
      </c>
      <c r="C649" s="177">
        <v>4</v>
      </c>
      <c r="D649" s="315">
        <f>'0. Qtdades e Custos'!D174</f>
        <v>56.99</v>
      </c>
      <c r="E649" s="316">
        <f>D649*C649</f>
        <v>227.96</v>
      </c>
      <c r="F649" s="338"/>
      <c r="G649" s="17"/>
      <c r="H649" s="15"/>
      <c r="I649" s="290"/>
      <c r="J649" s="290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1.25" customHeight="1" x14ac:dyDescent="0.25">
      <c r="A650" s="340" t="s">
        <v>300</v>
      </c>
      <c r="B650" s="341"/>
      <c r="C650" s="342"/>
      <c r="D650" s="343"/>
      <c r="E650" s="321">
        <f>E649+E648</f>
        <v>240.46</v>
      </c>
      <c r="F650" s="338"/>
      <c r="G650" s="17"/>
      <c r="H650" s="15"/>
      <c r="I650" s="290"/>
      <c r="J650" s="290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1.25" customHeight="1" x14ac:dyDescent="0.25">
      <c r="A651" s="337"/>
      <c r="B651" s="337"/>
      <c r="C651" s="337"/>
      <c r="D651" s="322" t="s">
        <v>217</v>
      </c>
      <c r="E651" s="323">
        <v>1</v>
      </c>
      <c r="F651" s="324">
        <f>(E650)*E651</f>
        <v>240.46</v>
      </c>
      <c r="G651" s="17"/>
      <c r="H651" s="15"/>
      <c r="I651" s="290"/>
      <c r="J651" s="290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1.25" customHeight="1" x14ac:dyDescent="0.2">
      <c r="A652" s="337"/>
      <c r="B652" s="337"/>
      <c r="C652" s="337"/>
      <c r="D652" s="338"/>
      <c r="E652" s="338"/>
      <c r="F652" s="338"/>
      <c r="G652" s="17"/>
      <c r="H652" s="15"/>
      <c r="I652" s="290"/>
      <c r="J652" s="290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1.25" customHeight="1" x14ac:dyDescent="0.25">
      <c r="A653" s="344" t="s">
        <v>301</v>
      </c>
      <c r="B653" s="345"/>
      <c r="C653" s="345"/>
      <c r="D653" s="346"/>
      <c r="E653" s="347"/>
      <c r="F653" s="329">
        <f>F651</f>
        <v>240.46</v>
      </c>
      <c r="G653" s="17"/>
      <c r="H653" s="15"/>
      <c r="I653" s="290"/>
      <c r="J653" s="290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1.25" customHeight="1" x14ac:dyDescent="0.2">
      <c r="A654" s="15"/>
      <c r="B654" s="15"/>
      <c r="C654" s="15"/>
      <c r="D654" s="17"/>
      <c r="E654" s="17"/>
      <c r="F654" s="17"/>
      <c r="G654" s="17"/>
      <c r="H654" s="15"/>
      <c r="I654" s="290"/>
      <c r="J654" s="290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1.25" customHeight="1" x14ac:dyDescent="0.2">
      <c r="A655" s="15"/>
      <c r="B655" s="15"/>
      <c r="C655" s="15"/>
      <c r="D655" s="17"/>
      <c r="E655" s="17"/>
      <c r="F655" s="17"/>
      <c r="G655" s="17"/>
      <c r="H655" s="15"/>
      <c r="I655" s="290"/>
      <c r="J655" s="290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1.25" customHeight="1" x14ac:dyDescent="0.2">
      <c r="A656" s="15"/>
      <c r="B656" s="15"/>
      <c r="C656" s="15"/>
      <c r="D656" s="17"/>
      <c r="E656" s="17"/>
      <c r="F656" s="17"/>
      <c r="G656" s="17"/>
      <c r="H656" s="15"/>
      <c r="I656" s="290"/>
      <c r="J656" s="290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1.25" customHeight="1" x14ac:dyDescent="0.2">
      <c r="A657" s="333" t="s">
        <v>360</v>
      </c>
      <c r="B657" s="334"/>
      <c r="C657" s="334"/>
      <c r="D657" s="335"/>
      <c r="E657" s="17"/>
      <c r="F657" s="17"/>
      <c r="G657" s="17"/>
      <c r="H657" s="15"/>
      <c r="I657" s="290"/>
      <c r="J657" s="290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1.25" customHeight="1" x14ac:dyDescent="0.2">
      <c r="A658" s="15"/>
      <c r="B658" s="15"/>
      <c r="C658" s="15"/>
      <c r="D658" s="17"/>
      <c r="E658" s="17"/>
      <c r="F658" s="17"/>
      <c r="G658" s="17"/>
      <c r="H658" s="15"/>
      <c r="I658" s="290"/>
      <c r="J658" s="290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1.25" customHeight="1" x14ac:dyDescent="0.2">
      <c r="A659" s="288" t="s">
        <v>361</v>
      </c>
      <c r="B659" s="15"/>
      <c r="C659" s="15"/>
      <c r="D659" s="17"/>
      <c r="E659" s="17"/>
      <c r="F659" s="17"/>
      <c r="G659" s="17"/>
      <c r="H659" s="15"/>
      <c r="I659" s="290"/>
      <c r="J659" s="290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1.25" customHeight="1" x14ac:dyDescent="0.2">
      <c r="A660" s="243" t="s">
        <v>202</v>
      </c>
      <c r="B660" s="244" t="s">
        <v>95</v>
      </c>
      <c r="C660" s="244" t="s">
        <v>50</v>
      </c>
      <c r="D660" s="245" t="s">
        <v>203</v>
      </c>
      <c r="E660" s="245" t="s">
        <v>204</v>
      </c>
      <c r="F660" s="246" t="s">
        <v>205</v>
      </c>
      <c r="G660" s="17"/>
      <c r="H660" s="15"/>
      <c r="I660" s="290"/>
      <c r="J660" s="290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1.25" customHeight="1" x14ac:dyDescent="0.2">
      <c r="A661" s="247" t="s">
        <v>254</v>
      </c>
      <c r="B661" s="248" t="s">
        <v>238</v>
      </c>
      <c r="C661" s="248">
        <v>1</v>
      </c>
      <c r="D661" s="249">
        <f>'0. Qtdades e Custos'!N58</f>
        <v>949.98</v>
      </c>
      <c r="E661" s="250">
        <f>C661*D661</f>
        <v>949.98</v>
      </c>
      <c r="F661" s="17"/>
      <c r="G661" s="17"/>
      <c r="H661" s="15"/>
      <c r="I661" s="290"/>
      <c r="J661" s="290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1.25" customHeight="1" x14ac:dyDescent="0.2">
      <c r="A662" s="251" t="s">
        <v>255</v>
      </c>
      <c r="B662" s="252" t="s">
        <v>256</v>
      </c>
      <c r="C662" s="281">
        <f>'0. Qtdades e Custos'!Q58</f>
        <v>3</v>
      </c>
      <c r="D662" s="253"/>
      <c r="E662" s="253"/>
      <c r="F662" s="17"/>
      <c r="G662" s="17"/>
      <c r="H662" s="15"/>
      <c r="I662" s="290"/>
      <c r="J662" s="290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1.25" customHeight="1" x14ac:dyDescent="0.2">
      <c r="A663" s="251" t="s">
        <v>257</v>
      </c>
      <c r="B663" s="252" t="s">
        <v>256</v>
      </c>
      <c r="C663" s="257">
        <v>0</v>
      </c>
      <c r="D663" s="253"/>
      <c r="E663" s="253"/>
      <c r="F663" s="134"/>
      <c r="G663" s="17"/>
      <c r="H663" s="15"/>
      <c r="I663" s="290"/>
      <c r="J663" s="290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1.25" customHeight="1" x14ac:dyDescent="0.2">
      <c r="A664" s="251" t="s">
        <v>258</v>
      </c>
      <c r="B664" s="252" t="s">
        <v>182</v>
      </c>
      <c r="C664" s="256">
        <f>IFERROR(VLOOKUP(C662,'7. Depreciação'!A3:B17,2,0),0)</f>
        <v>48.68</v>
      </c>
      <c r="D664" s="253">
        <f>E661</f>
        <v>949.98</v>
      </c>
      <c r="E664" s="253">
        <f>C664*D664/100</f>
        <v>462.450264</v>
      </c>
      <c r="F664" s="17"/>
      <c r="G664" s="17"/>
      <c r="H664" s="15"/>
      <c r="I664" s="290"/>
      <c r="J664" s="290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1.25" customHeight="1" x14ac:dyDescent="0.2">
      <c r="A665" s="291" t="s">
        <v>352</v>
      </c>
      <c r="B665" s="292" t="s">
        <v>208</v>
      </c>
      <c r="C665" s="292">
        <f>C662*12</f>
        <v>36</v>
      </c>
      <c r="D665" s="293">
        <f>IF(C663&lt;=C662,E664,0)</f>
        <v>462.450264</v>
      </c>
      <c r="E665" s="293">
        <f>IFERROR(D665/C665,0)</f>
        <v>12.845840666666668</v>
      </c>
      <c r="F665" s="17"/>
      <c r="G665" s="17"/>
      <c r="H665" s="15"/>
      <c r="I665" s="290"/>
      <c r="J665" s="290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1.25" customHeight="1" x14ac:dyDescent="0.2">
      <c r="A666" s="254" t="s">
        <v>260</v>
      </c>
      <c r="B666" s="135"/>
      <c r="C666" s="135"/>
      <c r="D666" s="39"/>
      <c r="E666" s="255">
        <f>E665</f>
        <v>12.845840666666668</v>
      </c>
      <c r="F666" s="17"/>
      <c r="G666" s="17"/>
      <c r="H666" s="15"/>
      <c r="I666" s="290"/>
      <c r="J666" s="290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1.25" customHeight="1" x14ac:dyDescent="0.2">
      <c r="A667" s="262" t="s">
        <v>261</v>
      </c>
      <c r="B667" s="294" t="s">
        <v>238</v>
      </c>
      <c r="C667" s="281">
        <f>'0. Qtdades e Custos'!P58</f>
        <v>32</v>
      </c>
      <c r="D667" s="263">
        <f>E666</f>
        <v>12.845840666666668</v>
      </c>
      <c r="E667" s="255">
        <f>C667*D667</f>
        <v>411.06690133333336</v>
      </c>
      <c r="F667" s="17"/>
      <c r="G667" s="17"/>
      <c r="H667" s="15"/>
      <c r="I667" s="290"/>
      <c r="J667" s="290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1.25" customHeight="1" x14ac:dyDescent="0.2">
      <c r="A668" s="295"/>
      <c r="B668" s="295"/>
      <c r="C668" s="295"/>
      <c r="D668" s="258" t="s">
        <v>217</v>
      </c>
      <c r="E668" s="259">
        <f>$B$99</f>
        <v>1</v>
      </c>
      <c r="F668" s="287">
        <f>E667*E668</f>
        <v>411.06690133333336</v>
      </c>
      <c r="G668" s="17"/>
      <c r="H668" s="15"/>
      <c r="I668" s="290"/>
      <c r="J668" s="290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1.25" customHeight="1" x14ac:dyDescent="0.2">
      <c r="A669" s="15"/>
      <c r="B669" s="15"/>
      <c r="C669" s="15"/>
      <c r="D669" s="17"/>
      <c r="E669" s="17"/>
      <c r="F669" s="17"/>
      <c r="G669" s="17"/>
      <c r="H669" s="15"/>
      <c r="I669" s="290"/>
      <c r="J669" s="290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1.25" customHeight="1" x14ac:dyDescent="0.2">
      <c r="A670" s="288" t="s">
        <v>362</v>
      </c>
      <c r="B670" s="15"/>
      <c r="C670" s="15"/>
      <c r="D670" s="17"/>
      <c r="E670" s="17"/>
      <c r="F670" s="17"/>
      <c r="G670" s="17"/>
      <c r="H670" s="15"/>
      <c r="I670" s="290"/>
      <c r="J670" s="290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1.25" customHeight="1" x14ac:dyDescent="0.2">
      <c r="A671" s="243" t="s">
        <v>202</v>
      </c>
      <c r="B671" s="244" t="s">
        <v>95</v>
      </c>
      <c r="C671" s="244" t="s">
        <v>50</v>
      </c>
      <c r="D671" s="245" t="s">
        <v>203</v>
      </c>
      <c r="E671" s="245" t="s">
        <v>204</v>
      </c>
      <c r="F671" s="246" t="s">
        <v>205</v>
      </c>
      <c r="G671" s="17"/>
      <c r="H671" s="15"/>
      <c r="I671" s="290"/>
      <c r="J671" s="290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1.25" customHeight="1" x14ac:dyDescent="0.2">
      <c r="A672" s="247" t="s">
        <v>263</v>
      </c>
      <c r="B672" s="248" t="s">
        <v>238</v>
      </c>
      <c r="C672" s="248">
        <v>1</v>
      </c>
      <c r="D672" s="250">
        <f>D661</f>
        <v>949.98</v>
      </c>
      <c r="E672" s="250">
        <f>C672*D672</f>
        <v>949.98</v>
      </c>
      <c r="F672" s="134"/>
      <c r="G672" s="17"/>
      <c r="H672" s="15"/>
      <c r="I672" s="290"/>
      <c r="J672" s="290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1.25" customHeight="1" x14ac:dyDescent="0.2">
      <c r="A673" s="251" t="s">
        <v>264</v>
      </c>
      <c r="B673" s="252" t="s">
        <v>182</v>
      </c>
      <c r="C673" s="257">
        <v>14.75</v>
      </c>
      <c r="D673" s="253"/>
      <c r="E673" s="253"/>
      <c r="F673" s="134"/>
      <c r="G673" s="17"/>
      <c r="H673" s="15"/>
      <c r="I673" s="290"/>
      <c r="J673" s="290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1.25" customHeight="1" x14ac:dyDescent="0.2">
      <c r="A674" s="251" t="s">
        <v>265</v>
      </c>
      <c r="B674" s="252" t="s">
        <v>231</v>
      </c>
      <c r="C674" s="253">
        <f>IFERROR(IF(C663&lt;=C662,E661-(C664/(100*C662)*C663)*E661,E661-E664),0)</f>
        <v>949.98</v>
      </c>
      <c r="D674" s="253"/>
      <c r="E674" s="253"/>
      <c r="F674" s="134"/>
      <c r="G674" s="17"/>
      <c r="H674" s="15"/>
      <c r="I674" s="290"/>
      <c r="J674" s="290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1.25" customHeight="1" x14ac:dyDescent="0.2">
      <c r="A675" s="251" t="s">
        <v>266</v>
      </c>
      <c r="B675" s="252" t="s">
        <v>231</v>
      </c>
      <c r="C675" s="253">
        <f>IFERROR(IF(C663&gt;=C662,C674,((((C674)-(E661-E664))*(((C662-C663)+1)/(2*(C662-C663))))+(E661-E664))),0)</f>
        <v>795.82991199999992</v>
      </c>
      <c r="D675" s="253"/>
      <c r="E675" s="253"/>
      <c r="F675" s="134"/>
      <c r="G675" s="17"/>
      <c r="H675" s="15"/>
      <c r="I675" s="290"/>
      <c r="J675" s="290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1.25" customHeight="1" x14ac:dyDescent="0.2">
      <c r="A676" s="291" t="s">
        <v>267</v>
      </c>
      <c r="B676" s="292" t="s">
        <v>231</v>
      </c>
      <c r="C676" s="292"/>
      <c r="D676" s="293">
        <f>C673*C675/12/100</f>
        <v>9.782076001666665</v>
      </c>
      <c r="E676" s="293">
        <f>D676</f>
        <v>9.782076001666665</v>
      </c>
      <c r="F676" s="134"/>
      <c r="G676" s="17"/>
      <c r="H676" s="15"/>
      <c r="I676" s="290"/>
      <c r="J676" s="290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1.25" customHeight="1" x14ac:dyDescent="0.2">
      <c r="A677" s="254" t="s">
        <v>260</v>
      </c>
      <c r="B677" s="135"/>
      <c r="C677" s="135"/>
      <c r="D677" s="39"/>
      <c r="E677" s="255">
        <f>E676</f>
        <v>9.782076001666665</v>
      </c>
      <c r="F677" s="134"/>
      <c r="G677" s="17"/>
      <c r="H677" s="15"/>
      <c r="I677" s="290"/>
      <c r="J677" s="290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1.25" customHeight="1" x14ac:dyDescent="0.2">
      <c r="A678" s="262" t="s">
        <v>261</v>
      </c>
      <c r="B678" s="294" t="s">
        <v>238</v>
      </c>
      <c r="C678" s="296">
        <f>C667</f>
        <v>32</v>
      </c>
      <c r="D678" s="263">
        <f>E677</f>
        <v>9.782076001666665</v>
      </c>
      <c r="E678" s="255">
        <f>C678*D678</f>
        <v>313.02643205333328</v>
      </c>
      <c r="F678" s="134"/>
      <c r="G678" s="17"/>
      <c r="H678" s="15"/>
      <c r="I678" s="290"/>
      <c r="J678" s="290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1.25" customHeight="1" x14ac:dyDescent="0.2">
      <c r="A679" s="15"/>
      <c r="B679" s="15"/>
      <c r="C679" s="133"/>
      <c r="D679" s="258" t="s">
        <v>217</v>
      </c>
      <c r="E679" s="259">
        <f>$B$99</f>
        <v>1</v>
      </c>
      <c r="F679" s="287">
        <f>E678*E679</f>
        <v>313.02643205333328</v>
      </c>
      <c r="G679" s="17"/>
      <c r="H679" s="15"/>
      <c r="I679" s="290"/>
      <c r="J679" s="290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1.25" customHeight="1" x14ac:dyDescent="0.2">
      <c r="A680" s="15"/>
      <c r="B680" s="15"/>
      <c r="C680" s="15"/>
      <c r="D680" s="17"/>
      <c r="E680" s="17"/>
      <c r="F680" s="17"/>
      <c r="G680" s="17"/>
      <c r="H680" s="15"/>
      <c r="I680" s="290"/>
      <c r="J680" s="290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1.25" customHeight="1" x14ac:dyDescent="0.2">
      <c r="A681" s="15" t="s">
        <v>363</v>
      </c>
      <c r="B681" s="297"/>
      <c r="C681" s="15"/>
      <c r="D681" s="17"/>
      <c r="E681" s="17"/>
      <c r="F681" s="17"/>
      <c r="G681" s="17"/>
      <c r="H681" s="15"/>
      <c r="I681" s="290"/>
      <c r="J681" s="290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1.25" customHeight="1" x14ac:dyDescent="0.2">
      <c r="A682" s="15"/>
      <c r="B682" s="297"/>
      <c r="C682" s="15"/>
      <c r="D682" s="17"/>
      <c r="E682" s="17"/>
      <c r="F682" s="17"/>
      <c r="G682" s="17"/>
      <c r="H682" s="15"/>
      <c r="I682" s="290"/>
      <c r="J682" s="290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2.75" customHeight="1" x14ac:dyDescent="0.2">
      <c r="A683" s="299" t="s">
        <v>275</v>
      </c>
      <c r="B683" s="300">
        <f>'0. Qtdades e Custos'!Y58</f>
        <v>15906.675840000002</v>
      </c>
      <c r="C683" s="15"/>
      <c r="D683" s="17"/>
      <c r="E683" s="17"/>
      <c r="F683" s="17"/>
      <c r="G683" s="17"/>
      <c r="H683" s="15"/>
      <c r="I683" s="290"/>
      <c r="J683" s="290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1.25" customHeight="1" x14ac:dyDescent="0.2">
      <c r="A684" s="15"/>
      <c r="B684" s="297"/>
      <c r="C684" s="15"/>
      <c r="D684" s="17"/>
      <c r="E684" s="17"/>
      <c r="F684" s="17"/>
      <c r="G684" s="17"/>
      <c r="H684" s="15"/>
      <c r="I684" s="290"/>
      <c r="J684" s="290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1.25" customHeight="1" x14ac:dyDescent="0.2">
      <c r="A685" s="243" t="s">
        <v>202</v>
      </c>
      <c r="B685" s="244" t="s">
        <v>95</v>
      </c>
      <c r="C685" s="244" t="s">
        <v>276</v>
      </c>
      <c r="D685" s="245" t="s">
        <v>203</v>
      </c>
      <c r="E685" s="245" t="s">
        <v>204</v>
      </c>
      <c r="F685" s="246" t="s">
        <v>205</v>
      </c>
      <c r="G685" s="17"/>
      <c r="H685" s="15"/>
      <c r="I685" s="290"/>
      <c r="J685" s="290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2.75" customHeight="1" x14ac:dyDescent="0.2">
      <c r="A686" s="251" t="s">
        <v>364</v>
      </c>
      <c r="B686" s="252" t="s">
        <v>278</v>
      </c>
      <c r="C686" s="301">
        <f>B683</f>
        <v>15906.675840000002</v>
      </c>
      <c r="D686" s="302">
        <v>6.2</v>
      </c>
      <c r="E686" s="250"/>
      <c r="F686" s="17"/>
      <c r="G686" s="17"/>
      <c r="H686" s="15"/>
      <c r="I686" s="290"/>
      <c r="J686" s="290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2.75" customHeight="1" x14ac:dyDescent="0.2">
      <c r="A687" s="299" t="s">
        <v>279</v>
      </c>
      <c r="B687" s="252" t="s">
        <v>280</v>
      </c>
      <c r="C687" s="253">
        <f>C686</f>
        <v>15906.675840000002</v>
      </c>
      <c r="D687" s="303"/>
      <c r="E687" s="253">
        <f>C687*D686</f>
        <v>98621.390208000012</v>
      </c>
      <c r="F687" s="17"/>
      <c r="G687" s="17"/>
      <c r="H687" s="15"/>
      <c r="I687" s="290"/>
      <c r="J687" s="290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1.25" customHeight="1" x14ac:dyDescent="0.2">
      <c r="A688" s="15"/>
      <c r="B688" s="15"/>
      <c r="C688" s="15"/>
      <c r="D688" s="17"/>
      <c r="E688" s="17"/>
      <c r="F688" s="287">
        <f>SUM(E686:E687)</f>
        <v>98621.390208000012</v>
      </c>
      <c r="G688" s="17"/>
      <c r="H688" s="15"/>
      <c r="I688" s="290"/>
      <c r="J688" s="290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1.25" customHeight="1" x14ac:dyDescent="0.2">
      <c r="A689" s="15"/>
      <c r="B689" s="15"/>
      <c r="C689" s="15"/>
      <c r="D689" s="17"/>
      <c r="E689" s="17"/>
      <c r="F689" s="17"/>
      <c r="G689" s="17"/>
      <c r="H689" s="15"/>
      <c r="I689" s="290"/>
      <c r="J689" s="290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1.25" customHeight="1" x14ac:dyDescent="0.2">
      <c r="A690" s="333" t="s">
        <v>365</v>
      </c>
      <c r="B690" s="334"/>
      <c r="C690" s="334"/>
      <c r="D690" s="335"/>
      <c r="E690" s="17"/>
      <c r="F690" s="17"/>
      <c r="G690" s="17"/>
      <c r="H690" s="15"/>
      <c r="I690" s="290"/>
      <c r="J690" s="290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1.25" customHeight="1" x14ac:dyDescent="0.2">
      <c r="A691" s="15"/>
      <c r="B691" s="15"/>
      <c r="C691" s="15"/>
      <c r="D691" s="17"/>
      <c r="E691" s="17"/>
      <c r="F691" s="17"/>
      <c r="G691" s="17"/>
      <c r="H691" s="15"/>
      <c r="I691" s="290"/>
      <c r="J691" s="290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1.25" customHeight="1" x14ac:dyDescent="0.2">
      <c r="A692" s="288" t="s">
        <v>366</v>
      </c>
      <c r="B692" s="15"/>
      <c r="C692" s="15"/>
      <c r="D692" s="17"/>
      <c r="E692" s="17"/>
      <c r="F692" s="17"/>
      <c r="G692" s="17"/>
      <c r="H692" s="15"/>
      <c r="I692" s="290"/>
      <c r="J692" s="290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1.25" customHeight="1" x14ac:dyDescent="0.2">
      <c r="A693" s="243" t="s">
        <v>202</v>
      </c>
      <c r="B693" s="244" t="s">
        <v>95</v>
      </c>
      <c r="C693" s="244" t="s">
        <v>50</v>
      </c>
      <c r="D693" s="245" t="s">
        <v>203</v>
      </c>
      <c r="E693" s="245" t="s">
        <v>204</v>
      </c>
      <c r="F693" s="246" t="s">
        <v>205</v>
      </c>
      <c r="G693" s="17"/>
      <c r="H693" s="15"/>
      <c r="I693" s="290"/>
      <c r="J693" s="290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1.25" customHeight="1" x14ac:dyDescent="0.2">
      <c r="A694" s="247" t="s">
        <v>254</v>
      </c>
      <c r="B694" s="248" t="s">
        <v>238</v>
      </c>
      <c r="C694" s="248">
        <v>1</v>
      </c>
      <c r="D694" s="249">
        <f>'0. Qtdades e Custos'!N59</f>
        <v>2050.9899999999998</v>
      </c>
      <c r="E694" s="250">
        <f>C694*D694</f>
        <v>2050.9899999999998</v>
      </c>
      <c r="F694" s="17"/>
      <c r="G694" s="17"/>
      <c r="H694" s="15"/>
      <c r="I694" s="290"/>
      <c r="J694" s="290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1.25" customHeight="1" x14ac:dyDescent="0.2">
      <c r="A695" s="251" t="s">
        <v>255</v>
      </c>
      <c r="B695" s="252" t="s">
        <v>256</v>
      </c>
      <c r="C695" s="281">
        <f>'0. Qtdades e Custos'!Q59</f>
        <v>5</v>
      </c>
      <c r="D695" s="253"/>
      <c r="E695" s="253"/>
      <c r="F695" s="17"/>
      <c r="G695" s="17"/>
      <c r="H695" s="15"/>
      <c r="I695" s="290"/>
      <c r="J695" s="290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1.25" customHeight="1" x14ac:dyDescent="0.2">
      <c r="A696" s="251" t="s">
        <v>257</v>
      </c>
      <c r="B696" s="252" t="s">
        <v>256</v>
      </c>
      <c r="C696" s="257">
        <v>0</v>
      </c>
      <c r="D696" s="253"/>
      <c r="E696" s="253"/>
      <c r="F696" s="134"/>
      <c r="G696" s="17"/>
      <c r="H696" s="15"/>
      <c r="I696" s="290"/>
      <c r="J696" s="290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1.25" customHeight="1" x14ac:dyDescent="0.2">
      <c r="A697" s="251" t="s">
        <v>258</v>
      </c>
      <c r="B697" s="252" t="s">
        <v>182</v>
      </c>
      <c r="C697" s="256">
        <f>IFERROR(VLOOKUP(C695,'7. Depreciação'!A3:B17,2,0),0)</f>
        <v>55.68</v>
      </c>
      <c r="D697" s="253">
        <f>E694</f>
        <v>2050.9899999999998</v>
      </c>
      <c r="E697" s="253">
        <f>C697*D697/100</f>
        <v>1141.9912319999999</v>
      </c>
      <c r="F697" s="17"/>
      <c r="G697" s="17"/>
      <c r="H697" s="15"/>
      <c r="I697" s="290"/>
      <c r="J697" s="290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1.25" customHeight="1" x14ac:dyDescent="0.2">
      <c r="A698" s="291" t="s">
        <v>352</v>
      </c>
      <c r="B698" s="292" t="s">
        <v>208</v>
      </c>
      <c r="C698" s="292">
        <f>C695*12</f>
        <v>60</v>
      </c>
      <c r="D698" s="293">
        <f>IF(C696&lt;=C695,E697,0)</f>
        <v>1141.9912319999999</v>
      </c>
      <c r="E698" s="293">
        <f>IFERROR(D698/C698,0)</f>
        <v>19.033187199999997</v>
      </c>
      <c r="F698" s="17"/>
      <c r="G698" s="17"/>
      <c r="H698" s="15"/>
      <c r="I698" s="290"/>
      <c r="J698" s="290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1.25" customHeight="1" x14ac:dyDescent="0.2">
      <c r="A699" s="254" t="s">
        <v>260</v>
      </c>
      <c r="B699" s="135"/>
      <c r="C699" s="135"/>
      <c r="D699" s="39"/>
      <c r="E699" s="255">
        <f>E698</f>
        <v>19.033187199999997</v>
      </c>
      <c r="F699" s="17"/>
      <c r="G699" s="17"/>
      <c r="H699" s="15"/>
      <c r="I699" s="290"/>
      <c r="J699" s="290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1.25" customHeight="1" x14ac:dyDescent="0.2">
      <c r="A700" s="262" t="s">
        <v>261</v>
      </c>
      <c r="B700" s="294" t="s">
        <v>238</v>
      </c>
      <c r="C700" s="281">
        <f>'0. Qtdades e Custos'!P59</f>
        <v>4</v>
      </c>
      <c r="D700" s="263">
        <f>E699</f>
        <v>19.033187199999997</v>
      </c>
      <c r="E700" s="255">
        <f>C700*D700</f>
        <v>76.132748799999987</v>
      </c>
      <c r="F700" s="17"/>
      <c r="G700" s="17"/>
      <c r="H700" s="15"/>
      <c r="I700" s="290"/>
      <c r="J700" s="290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1.25" customHeight="1" x14ac:dyDescent="0.2">
      <c r="A701" s="295"/>
      <c r="B701" s="295"/>
      <c r="C701" s="295"/>
      <c r="D701" s="258" t="s">
        <v>217</v>
      </c>
      <c r="E701" s="259">
        <f>$B$99</f>
        <v>1</v>
      </c>
      <c r="F701" s="287">
        <f>E700*E701</f>
        <v>76.132748799999987</v>
      </c>
      <c r="G701" s="17"/>
      <c r="H701" s="15"/>
      <c r="I701" s="290"/>
      <c r="J701" s="290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1.25" customHeight="1" x14ac:dyDescent="0.2">
      <c r="A702" s="15"/>
      <c r="B702" s="15"/>
      <c r="C702" s="15"/>
      <c r="D702" s="17"/>
      <c r="E702" s="17"/>
      <c r="F702" s="17"/>
      <c r="G702" s="17"/>
      <c r="H702" s="15"/>
      <c r="I702" s="290"/>
      <c r="J702" s="290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1.25" customHeight="1" x14ac:dyDescent="0.2">
      <c r="A703" s="288" t="s">
        <v>367</v>
      </c>
      <c r="B703" s="15"/>
      <c r="C703" s="15"/>
      <c r="D703" s="17"/>
      <c r="E703" s="17"/>
      <c r="F703" s="17"/>
      <c r="G703" s="17"/>
      <c r="H703" s="15"/>
      <c r="I703" s="290"/>
      <c r="J703" s="290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1.25" customHeight="1" x14ac:dyDescent="0.2">
      <c r="A704" s="243" t="s">
        <v>202</v>
      </c>
      <c r="B704" s="244" t="s">
        <v>95</v>
      </c>
      <c r="C704" s="244" t="s">
        <v>50</v>
      </c>
      <c r="D704" s="245" t="s">
        <v>203</v>
      </c>
      <c r="E704" s="245" t="s">
        <v>204</v>
      </c>
      <c r="F704" s="246" t="s">
        <v>205</v>
      </c>
      <c r="G704" s="17"/>
      <c r="H704" s="15"/>
      <c r="I704" s="290"/>
      <c r="J704" s="290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1.25" customHeight="1" x14ac:dyDescent="0.2">
      <c r="A705" s="247" t="s">
        <v>263</v>
      </c>
      <c r="B705" s="248" t="s">
        <v>238</v>
      </c>
      <c r="C705" s="248">
        <v>1</v>
      </c>
      <c r="D705" s="250">
        <f>D694</f>
        <v>2050.9899999999998</v>
      </c>
      <c r="E705" s="250">
        <f>C705*D705</f>
        <v>2050.9899999999998</v>
      </c>
      <c r="F705" s="134"/>
      <c r="G705" s="17"/>
      <c r="H705" s="15"/>
      <c r="I705" s="290"/>
      <c r="J705" s="290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1.25" customHeight="1" x14ac:dyDescent="0.2">
      <c r="A706" s="251" t="s">
        <v>264</v>
      </c>
      <c r="B706" s="252" t="s">
        <v>182</v>
      </c>
      <c r="C706" s="257">
        <v>14.75</v>
      </c>
      <c r="D706" s="253"/>
      <c r="E706" s="253"/>
      <c r="F706" s="134"/>
      <c r="G706" s="17"/>
      <c r="H706" s="15"/>
      <c r="I706" s="290"/>
      <c r="J706" s="290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1.25" customHeight="1" x14ac:dyDescent="0.2">
      <c r="A707" s="251" t="s">
        <v>265</v>
      </c>
      <c r="B707" s="252" t="s">
        <v>231</v>
      </c>
      <c r="C707" s="253">
        <f>IFERROR(IF(C696&lt;=C695,E694-(C697/(100*C695)*C696)*E694,E694-E697),0)</f>
        <v>2050.9899999999998</v>
      </c>
      <c r="D707" s="253"/>
      <c r="E707" s="253"/>
      <c r="F707" s="134"/>
      <c r="G707" s="17"/>
      <c r="H707" s="15"/>
      <c r="I707" s="290"/>
      <c r="J707" s="290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1.25" customHeight="1" x14ac:dyDescent="0.2">
      <c r="A708" s="251" t="s">
        <v>266</v>
      </c>
      <c r="B708" s="252" t="s">
        <v>231</v>
      </c>
      <c r="C708" s="253">
        <f>IFERROR(IF(C696&gt;=C695,C707,((((C707)-(E694-E697))*(((C695-C696)+1)/(2*(C695-C696))))+(E694-E697))),0)</f>
        <v>1594.1935071999997</v>
      </c>
      <c r="D708" s="253"/>
      <c r="E708" s="253"/>
      <c r="F708" s="134"/>
      <c r="G708" s="17"/>
      <c r="H708" s="15"/>
      <c r="I708" s="290"/>
      <c r="J708" s="290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1.25" customHeight="1" x14ac:dyDescent="0.2">
      <c r="A709" s="291" t="s">
        <v>267</v>
      </c>
      <c r="B709" s="292" t="s">
        <v>231</v>
      </c>
      <c r="C709" s="292"/>
      <c r="D709" s="293">
        <f>C706*C708/12/100</f>
        <v>19.595295192666661</v>
      </c>
      <c r="E709" s="293">
        <f>D709</f>
        <v>19.595295192666661</v>
      </c>
      <c r="F709" s="134"/>
      <c r="G709" s="17"/>
      <c r="H709" s="15"/>
      <c r="I709" s="290"/>
      <c r="J709" s="290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1.25" customHeight="1" x14ac:dyDescent="0.2">
      <c r="A710" s="254" t="s">
        <v>260</v>
      </c>
      <c r="B710" s="135"/>
      <c r="C710" s="135"/>
      <c r="D710" s="39"/>
      <c r="E710" s="255">
        <f>E709</f>
        <v>19.595295192666661</v>
      </c>
      <c r="F710" s="134"/>
      <c r="G710" s="17"/>
      <c r="H710" s="15"/>
      <c r="I710" s="290"/>
      <c r="J710" s="290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1.25" customHeight="1" x14ac:dyDescent="0.2">
      <c r="A711" s="262" t="s">
        <v>261</v>
      </c>
      <c r="B711" s="294" t="s">
        <v>238</v>
      </c>
      <c r="C711" s="296">
        <f>C700</f>
        <v>4</v>
      </c>
      <c r="D711" s="263">
        <f>E710</f>
        <v>19.595295192666661</v>
      </c>
      <c r="E711" s="255">
        <f>C711*D711</f>
        <v>78.381180770666646</v>
      </c>
      <c r="F711" s="134"/>
      <c r="G711" s="17"/>
      <c r="H711" s="15"/>
      <c r="I711" s="290"/>
      <c r="J711" s="290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1.25" customHeight="1" x14ac:dyDescent="0.2">
      <c r="A712" s="15"/>
      <c r="B712" s="15"/>
      <c r="C712" s="133"/>
      <c r="D712" s="258" t="s">
        <v>217</v>
      </c>
      <c r="E712" s="259">
        <f>$B$99</f>
        <v>1</v>
      </c>
      <c r="F712" s="287">
        <f>E711*E712</f>
        <v>78.381180770666646</v>
      </c>
      <c r="G712" s="17"/>
      <c r="H712" s="15"/>
      <c r="I712" s="290"/>
      <c r="J712" s="290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1.25" customHeight="1" x14ac:dyDescent="0.2">
      <c r="A713" s="15"/>
      <c r="B713" s="15"/>
      <c r="C713" s="15"/>
      <c r="D713" s="17"/>
      <c r="E713" s="17"/>
      <c r="F713" s="17"/>
      <c r="G713" s="17"/>
      <c r="H713" s="15"/>
      <c r="I713" s="290"/>
      <c r="J713" s="290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1.25" customHeight="1" x14ac:dyDescent="0.2">
      <c r="A714" s="15" t="s">
        <v>368</v>
      </c>
      <c r="B714" s="297"/>
      <c r="C714" s="15"/>
      <c r="D714" s="17"/>
      <c r="E714" s="17"/>
      <c r="F714" s="17"/>
      <c r="G714" s="17"/>
      <c r="H714" s="15"/>
      <c r="I714" s="290"/>
      <c r="J714" s="290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1.25" customHeight="1" x14ac:dyDescent="0.2">
      <c r="A715" s="15"/>
      <c r="B715" s="297"/>
      <c r="C715" s="15"/>
      <c r="D715" s="17"/>
      <c r="E715" s="17"/>
      <c r="F715" s="17"/>
      <c r="G715" s="17"/>
      <c r="H715" s="15"/>
      <c r="I715" s="290"/>
      <c r="J715" s="290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2.75" customHeight="1" x14ac:dyDescent="0.2">
      <c r="A716" s="299" t="s">
        <v>275</v>
      </c>
      <c r="B716" s="300">
        <f>'0. Qtdades e Custos'!Y59</f>
        <v>550.40713559999995</v>
      </c>
      <c r="C716" s="15"/>
      <c r="D716" s="17"/>
      <c r="E716" s="17"/>
      <c r="F716" s="17"/>
      <c r="G716" s="17"/>
      <c r="H716" s="15"/>
      <c r="I716" s="290"/>
      <c r="J716" s="290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1.25" customHeight="1" x14ac:dyDescent="0.2">
      <c r="A717" s="15"/>
      <c r="B717" s="297"/>
      <c r="C717" s="15"/>
      <c r="D717" s="17"/>
      <c r="E717" s="17"/>
      <c r="F717" s="17"/>
      <c r="G717" s="17"/>
      <c r="H717" s="15"/>
      <c r="I717" s="290"/>
      <c r="J717" s="290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1.25" customHeight="1" x14ac:dyDescent="0.2">
      <c r="A718" s="243" t="s">
        <v>202</v>
      </c>
      <c r="B718" s="244" t="s">
        <v>95</v>
      </c>
      <c r="C718" s="244" t="s">
        <v>276</v>
      </c>
      <c r="D718" s="245" t="s">
        <v>203</v>
      </c>
      <c r="E718" s="245" t="s">
        <v>204</v>
      </c>
      <c r="F718" s="246" t="s">
        <v>205</v>
      </c>
      <c r="G718" s="17"/>
      <c r="H718" s="15"/>
      <c r="I718" s="290"/>
      <c r="J718" s="290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1.25" customHeight="1" x14ac:dyDescent="0.2">
      <c r="A719" s="251" t="s">
        <v>364</v>
      </c>
      <c r="B719" s="252" t="s">
        <v>278</v>
      </c>
      <c r="C719" s="301">
        <f>B716</f>
        <v>550.40713559999995</v>
      </c>
      <c r="D719" s="302">
        <v>6.2</v>
      </c>
      <c r="E719" s="250"/>
      <c r="F719" s="17"/>
      <c r="G719" s="17"/>
      <c r="H719" s="15"/>
      <c r="I719" s="290"/>
      <c r="J719" s="290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2.75" customHeight="1" x14ac:dyDescent="0.2">
      <c r="A720" s="299" t="s">
        <v>279</v>
      </c>
      <c r="B720" s="252" t="s">
        <v>280</v>
      </c>
      <c r="C720" s="253">
        <f>C719</f>
        <v>550.40713559999995</v>
      </c>
      <c r="D720" s="303"/>
      <c r="E720" s="253">
        <f>C720*D719</f>
        <v>3412.5242407199999</v>
      </c>
      <c r="F720" s="17"/>
      <c r="G720" s="17"/>
      <c r="H720" s="15"/>
      <c r="I720" s="290"/>
      <c r="J720" s="290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1.25" customHeight="1" x14ac:dyDescent="0.2">
      <c r="A721" s="15"/>
      <c r="B721" s="15"/>
      <c r="C721" s="15"/>
      <c r="D721" s="17"/>
      <c r="E721" s="17"/>
      <c r="F721" s="287">
        <f>SUM(E719:E720)</f>
        <v>3412.5242407199999</v>
      </c>
      <c r="G721" s="17"/>
      <c r="H721" s="15"/>
      <c r="I721" s="290"/>
      <c r="J721" s="290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1.25" customHeight="1" x14ac:dyDescent="0.2">
      <c r="A722" s="15"/>
      <c r="B722" s="15"/>
      <c r="C722" s="15"/>
      <c r="D722" s="17"/>
      <c r="E722" s="17"/>
      <c r="F722" s="17"/>
      <c r="G722" s="17"/>
      <c r="H722" s="15"/>
      <c r="I722" s="290"/>
      <c r="J722" s="290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1.25" customHeight="1" x14ac:dyDescent="0.2">
      <c r="A723" s="15"/>
      <c r="B723" s="15"/>
      <c r="C723" s="15"/>
      <c r="D723" s="17"/>
      <c r="E723" s="17"/>
      <c r="F723" s="17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2.75" customHeight="1" x14ac:dyDescent="0.2">
      <c r="A724" s="276" t="s">
        <v>369</v>
      </c>
      <c r="B724" s="277"/>
      <c r="C724" s="277"/>
      <c r="D724" s="215"/>
      <c r="E724" s="278"/>
      <c r="F724" s="287">
        <f>+SUM(F284:F723)</f>
        <v>371249.50216332602</v>
      </c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1.25" customHeight="1" x14ac:dyDescent="0.2">
      <c r="A725" s="15"/>
      <c r="B725" s="15"/>
      <c r="C725" s="15"/>
      <c r="D725" s="17"/>
      <c r="E725" s="17"/>
      <c r="F725" s="17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2.75" customHeight="1" x14ac:dyDescent="0.2">
      <c r="A726" s="40" t="s">
        <v>370</v>
      </c>
      <c r="B726" s="40"/>
      <c r="C726" s="40"/>
      <c r="D726" s="45"/>
      <c r="E726" s="45"/>
      <c r="F726" s="39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1.25" customHeight="1" x14ac:dyDescent="0.2">
      <c r="A727" s="15"/>
      <c r="B727" s="15"/>
      <c r="C727" s="15"/>
      <c r="D727" s="17"/>
      <c r="E727" s="17"/>
      <c r="F727" s="17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2.75" customHeight="1" x14ac:dyDescent="0.2">
      <c r="A728" s="243" t="s">
        <v>202</v>
      </c>
      <c r="B728" s="244" t="s">
        <v>95</v>
      </c>
      <c r="C728" s="244" t="s">
        <v>50</v>
      </c>
      <c r="D728" s="245" t="s">
        <v>203</v>
      </c>
      <c r="E728" s="245" t="s">
        <v>204</v>
      </c>
      <c r="F728" s="246" t="s">
        <v>205</v>
      </c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2.75" customHeight="1" x14ac:dyDescent="0.2">
      <c r="A729" s="251" t="s">
        <v>99</v>
      </c>
      <c r="B729" s="252" t="s">
        <v>238</v>
      </c>
      <c r="C729" s="348">
        <f>'0. Qtdades e Custos'!H78</f>
        <v>22</v>
      </c>
      <c r="D729" s="249">
        <f>VLOOKUP(A729,'0. Qtdades e Custos'!$C$78:$J$81,8,0)</f>
        <v>69.989999999999995</v>
      </c>
      <c r="E729" s="253">
        <f t="shared" ref="E729:E735" si="7">C729*D729</f>
        <v>1539.78</v>
      </c>
      <c r="F729" s="134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2.75" customHeight="1" x14ac:dyDescent="0.2">
      <c r="A730" s="251" t="s">
        <v>103</v>
      </c>
      <c r="B730" s="252" t="s">
        <v>238</v>
      </c>
      <c r="C730" s="348">
        <f>'0. Qtdades e Custos'!H79</f>
        <v>22</v>
      </c>
      <c r="D730" s="249">
        <f>VLOOKUP(A730,'0. Qtdades e Custos'!$C$78:$J$81,8,0)</f>
        <v>40</v>
      </c>
      <c r="E730" s="253">
        <f t="shared" si="7"/>
        <v>880</v>
      </c>
      <c r="F730" s="134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2.75" customHeight="1" x14ac:dyDescent="0.2">
      <c r="A731" s="251" t="s">
        <v>104</v>
      </c>
      <c r="B731" s="252" t="s">
        <v>238</v>
      </c>
      <c r="C731" s="348">
        <f>'0. Qtdades e Custos'!H80</f>
        <v>22</v>
      </c>
      <c r="D731" s="249">
        <f>VLOOKUP(A731,'0. Qtdades e Custos'!$C$78:$J$81,8,0)</f>
        <v>40.9</v>
      </c>
      <c r="E731" s="253">
        <f t="shared" si="7"/>
        <v>899.8</v>
      </c>
      <c r="F731" s="134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2.75" customHeight="1" x14ac:dyDescent="0.2">
      <c r="A732" s="274" t="s">
        <v>105</v>
      </c>
      <c r="B732" s="252" t="s">
        <v>238</v>
      </c>
      <c r="C732" s="348">
        <f>'0. Qtdades e Custos'!H81</f>
        <v>3.6666666666666665</v>
      </c>
      <c r="D732" s="249">
        <f>VLOOKUP(A732,'0. Qtdades e Custos'!$C$78:$J$81,8,0)</f>
        <v>40.49</v>
      </c>
      <c r="E732" s="253">
        <f t="shared" si="7"/>
        <v>148.46333333333334</v>
      </c>
      <c r="F732" s="134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2.75" customHeight="1" x14ac:dyDescent="0.2">
      <c r="A733" s="274" t="s">
        <v>141</v>
      </c>
      <c r="B733" s="252" t="s">
        <v>238</v>
      </c>
      <c r="C733" s="348">
        <f>'0. Qtdades e Custos'!P111</f>
        <v>5</v>
      </c>
      <c r="D733" s="249">
        <f>'0. Qtdades e Custos'!E167</f>
        <v>35.1</v>
      </c>
      <c r="E733" s="253">
        <f t="shared" si="7"/>
        <v>175.5</v>
      </c>
      <c r="F733" s="134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2.75" customHeight="1" x14ac:dyDescent="0.2">
      <c r="A734" s="251" t="s">
        <v>143</v>
      </c>
      <c r="B734" s="252" t="s">
        <v>238</v>
      </c>
      <c r="C734" s="348">
        <f>'0. Qtdades e Custos'!P112</f>
        <v>2.0833333333333335</v>
      </c>
      <c r="D734" s="249">
        <f>'0. Qtdades e Custos'!E168</f>
        <v>1640.84</v>
      </c>
      <c r="E734" s="253">
        <f t="shared" si="7"/>
        <v>3418.4166666666665</v>
      </c>
      <c r="F734" s="134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2.75" customHeight="1" x14ac:dyDescent="0.2">
      <c r="A735" s="251" t="s">
        <v>371</v>
      </c>
      <c r="B735" s="252" t="s">
        <v>238</v>
      </c>
      <c r="C735" s="348">
        <f>'0. Qtdades e Custos'!H82</f>
        <v>23040</v>
      </c>
      <c r="D735" s="249">
        <f>'0. Qtdades e Custos'!J82</f>
        <v>1.25</v>
      </c>
      <c r="E735" s="253">
        <f t="shared" si="7"/>
        <v>28800</v>
      </c>
      <c r="F735" s="134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2.75" customHeight="1" x14ac:dyDescent="0.2">
      <c r="A736" s="40"/>
      <c r="B736" s="40"/>
      <c r="C736" s="40"/>
      <c r="D736" s="40"/>
      <c r="E736" s="45"/>
      <c r="F736" s="287">
        <f>SUM(E729:E735)</f>
        <v>35861.96</v>
      </c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1.25" customHeight="1" x14ac:dyDescent="0.2">
      <c r="A737" s="15"/>
      <c r="B737" s="15"/>
      <c r="C737" s="15"/>
      <c r="D737" s="17"/>
      <c r="E737" s="17"/>
      <c r="F737" s="17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2.75" customHeight="1" x14ac:dyDescent="0.2">
      <c r="A738" s="276" t="s">
        <v>372</v>
      </c>
      <c r="B738" s="277"/>
      <c r="C738" s="277"/>
      <c r="D738" s="215"/>
      <c r="E738" s="278"/>
      <c r="F738" s="287">
        <f>+F736</f>
        <v>35861.96</v>
      </c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1.25" customHeight="1" x14ac:dyDescent="0.2">
      <c r="A739" s="15"/>
      <c r="B739" s="15"/>
      <c r="C739" s="15"/>
      <c r="D739" s="17"/>
      <c r="E739" s="17"/>
      <c r="F739" s="17"/>
      <c r="G739" s="17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7.25" customHeight="1" x14ac:dyDescent="0.2">
      <c r="A740" s="276" t="s">
        <v>373</v>
      </c>
      <c r="B740" s="284"/>
      <c r="C740" s="284"/>
      <c r="D740" s="285"/>
      <c r="E740" s="286"/>
      <c r="F740" s="272">
        <f>+F198+F276+F724+F738</f>
        <v>930075.97187231202</v>
      </c>
      <c r="G740" s="17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1.25" customHeight="1" x14ac:dyDescent="0.2">
      <c r="A741" s="15"/>
      <c r="B741" s="15"/>
      <c r="C741" s="15"/>
      <c r="D741" s="17"/>
      <c r="E741" s="17"/>
      <c r="F741" s="17"/>
      <c r="G741" s="17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2.75" customHeight="1" x14ac:dyDescent="0.2">
      <c r="A742" s="40" t="s">
        <v>374</v>
      </c>
      <c r="B742" s="15"/>
      <c r="C742" s="15"/>
      <c r="D742" s="17"/>
      <c r="E742" s="17"/>
      <c r="F742" s="17"/>
      <c r="G742" s="17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1.25" customHeight="1" x14ac:dyDescent="0.2">
      <c r="A743" s="15"/>
      <c r="B743" s="15"/>
      <c r="C743" s="15"/>
      <c r="D743" s="17"/>
      <c r="E743" s="17"/>
      <c r="F743" s="17"/>
      <c r="G743" s="17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2.75" customHeight="1" x14ac:dyDescent="0.2">
      <c r="A744" s="243" t="s">
        <v>202</v>
      </c>
      <c r="B744" s="244" t="s">
        <v>95</v>
      </c>
      <c r="C744" s="244" t="s">
        <v>50</v>
      </c>
      <c r="D744" s="245" t="s">
        <v>203</v>
      </c>
      <c r="E744" s="245" t="s">
        <v>204</v>
      </c>
      <c r="F744" s="246" t="s">
        <v>205</v>
      </c>
      <c r="G744" s="17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2.75" customHeight="1" x14ac:dyDescent="0.2">
      <c r="A745" s="247" t="s">
        <v>375</v>
      </c>
      <c r="B745" s="248" t="s">
        <v>182</v>
      </c>
      <c r="C745" s="256">
        <f>'6. BDI'!C20*100</f>
        <v>26.19</v>
      </c>
      <c r="D745" s="250">
        <f>+F740</f>
        <v>930075.97187231202</v>
      </c>
      <c r="E745" s="250">
        <f>C745*D745/100</f>
        <v>243586.89703335852</v>
      </c>
      <c r="F745" s="17"/>
      <c r="G745" s="17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2.75" customHeight="1" x14ac:dyDescent="0.2">
      <c r="A746" s="15"/>
      <c r="B746" s="15"/>
      <c r="C746" s="15"/>
      <c r="D746" s="17"/>
      <c r="E746" s="17"/>
      <c r="F746" s="287">
        <f>+E745</f>
        <v>243586.89703335852</v>
      </c>
      <c r="G746" s="17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1.25" customHeight="1" x14ac:dyDescent="0.2">
      <c r="A747" s="15"/>
      <c r="B747" s="15"/>
      <c r="C747" s="15"/>
      <c r="D747" s="17"/>
      <c r="E747" s="17"/>
      <c r="F747" s="17"/>
      <c r="G747" s="17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2.75" customHeight="1" x14ac:dyDescent="0.2">
      <c r="A748" s="276" t="s">
        <v>376</v>
      </c>
      <c r="B748" s="284"/>
      <c r="C748" s="284"/>
      <c r="D748" s="285"/>
      <c r="E748" s="286"/>
      <c r="F748" s="272">
        <f>F746</f>
        <v>243586.89703335852</v>
      </c>
      <c r="G748" s="17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2.75" customHeight="1" x14ac:dyDescent="0.2">
      <c r="A749" s="40"/>
      <c r="B749" s="40"/>
      <c r="C749" s="40"/>
      <c r="D749" s="45"/>
      <c r="E749" s="45"/>
      <c r="F749" s="39"/>
      <c r="G749" s="17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2.75" customHeight="1" x14ac:dyDescent="0.2">
      <c r="A750" s="40" t="s">
        <v>377</v>
      </c>
      <c r="B750" s="40"/>
      <c r="C750" s="40"/>
      <c r="D750" s="45"/>
      <c r="E750" s="45"/>
      <c r="F750" s="39"/>
      <c r="G750" s="17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2.75" customHeight="1" x14ac:dyDescent="0.2">
      <c r="A751" s="40"/>
      <c r="B751" s="40"/>
      <c r="C751" s="40"/>
      <c r="D751" s="45"/>
      <c r="E751" s="45"/>
      <c r="F751" s="39"/>
      <c r="G751" s="17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2.75" customHeight="1" x14ac:dyDescent="0.2">
      <c r="A752" s="349" t="s">
        <v>378</v>
      </c>
      <c r="B752" s="241">
        <v>0.4</v>
      </c>
      <c r="C752" s="40"/>
      <c r="D752" s="45"/>
      <c r="E752" s="45"/>
      <c r="F752" s="39"/>
      <c r="G752" s="17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2.75" customHeight="1" x14ac:dyDescent="0.2">
      <c r="A753" s="350" t="s">
        <v>379</v>
      </c>
      <c r="B753" s="277"/>
      <c r="C753" s="277"/>
      <c r="D753" s="215"/>
      <c r="E753" s="278"/>
      <c r="F753" s="287">
        <f>'3. Equipe Técnica'!F328</f>
        <v>56173.421704216431</v>
      </c>
      <c r="G753" s="17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2.75" customHeight="1" x14ac:dyDescent="0.2">
      <c r="A754" s="40"/>
      <c r="B754" s="40"/>
      <c r="C754" s="40"/>
      <c r="D754" s="45"/>
      <c r="E754" s="45"/>
      <c r="F754" s="39"/>
      <c r="G754" s="17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2.75" customHeight="1" x14ac:dyDescent="0.2">
      <c r="A755" s="276" t="s">
        <v>380</v>
      </c>
      <c r="B755" s="284"/>
      <c r="C755" s="284"/>
      <c r="D755" s="285"/>
      <c r="E755" s="286"/>
      <c r="F755" s="272">
        <f>B752*F753</f>
        <v>22469.368681686574</v>
      </c>
      <c r="G755" s="17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2.75" customHeight="1" x14ac:dyDescent="0.2">
      <c r="A756" s="40"/>
      <c r="B756" s="40"/>
      <c r="C756" s="40"/>
      <c r="D756" s="45"/>
      <c r="E756" s="45"/>
      <c r="F756" s="39"/>
      <c r="G756" s="17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1.25" customHeight="1" x14ac:dyDescent="0.2">
      <c r="A757" s="15"/>
      <c r="B757" s="15"/>
      <c r="C757" s="15"/>
      <c r="D757" s="17"/>
      <c r="E757" s="17"/>
      <c r="F757" s="17"/>
      <c r="G757" s="17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24.75" customHeight="1" x14ac:dyDescent="0.2">
      <c r="A758" s="276" t="s">
        <v>381</v>
      </c>
      <c r="B758" s="284"/>
      <c r="C758" s="284"/>
      <c r="D758" s="285"/>
      <c r="E758" s="286"/>
      <c r="F758" s="272">
        <f>F740+F748+F755</f>
        <v>1196132.2375873569</v>
      </c>
      <c r="G758" s="17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2" customHeight="1" x14ac:dyDescent="0.2">
      <c r="A759" s="16"/>
      <c r="B759" s="16"/>
      <c r="C759" s="16"/>
      <c r="D759" s="351"/>
      <c r="E759" s="351"/>
      <c r="F759" s="351"/>
      <c r="G759" s="17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 customHeight="1" x14ac:dyDescent="0.2">
      <c r="A760" s="352" t="s">
        <v>382</v>
      </c>
      <c r="B760" s="353"/>
      <c r="C760" s="353"/>
      <c r="D760" s="354">
        <f>'0. Qtdades e Custos'!D5</f>
        <v>900</v>
      </c>
      <c r="E760" s="355" t="s">
        <v>6</v>
      </c>
      <c r="F760" s="17"/>
      <c r="G760" s="17" t="s">
        <v>383</v>
      </c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2.75" customHeight="1" x14ac:dyDescent="0.2">
      <c r="A761" s="15"/>
      <c r="B761" s="15"/>
      <c r="C761" s="15"/>
      <c r="D761" s="17"/>
      <c r="E761" s="17"/>
      <c r="F761" s="17"/>
      <c r="G761" s="17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25.5" customHeight="1" x14ac:dyDescent="0.2">
      <c r="A762" s="276" t="s">
        <v>384</v>
      </c>
      <c r="B762" s="277"/>
      <c r="C762" s="277"/>
      <c r="D762" s="215"/>
      <c r="E762" s="356" t="s">
        <v>385</v>
      </c>
      <c r="F762" s="357">
        <f>IFERROR(F758/D760,"-")</f>
        <v>1329.0358195415076</v>
      </c>
      <c r="G762" s="17" t="s">
        <v>383</v>
      </c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2" customHeight="1" x14ac:dyDescent="0.2"/>
    <row r="764" spans="1:26" ht="19.5" customHeight="1" x14ac:dyDescent="0.2"/>
    <row r="765" spans="1:26" ht="9.75" customHeight="1" x14ac:dyDescent="0.2"/>
    <row r="766" spans="1:26" ht="9.75" customHeight="1" x14ac:dyDescent="0.2"/>
    <row r="767" spans="1:26" ht="12.75" customHeight="1" x14ac:dyDescent="0.2"/>
    <row r="768" spans="1:26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9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  <row r="1005" ht="12.75" customHeight="1" x14ac:dyDescent="0.2"/>
    <row r="1006" ht="12.75" customHeight="1" x14ac:dyDescent="0.2"/>
    <row r="1007" ht="12.75" customHeight="1" x14ac:dyDescent="0.2"/>
    <row r="1008" ht="12.75" customHeight="1" x14ac:dyDescent="0.2"/>
    <row r="1009" ht="12.75" customHeight="1" x14ac:dyDescent="0.2"/>
    <row r="1010" ht="12.75" customHeight="1" x14ac:dyDescent="0.2"/>
    <row r="1011" ht="12.75" customHeight="1" x14ac:dyDescent="0.2"/>
    <row r="1012" ht="12.75" customHeight="1" x14ac:dyDescent="0.2"/>
    <row r="1013" ht="12.75" customHeight="1" x14ac:dyDescent="0.2"/>
    <row r="1014" ht="12.75" customHeight="1" x14ac:dyDescent="0.2"/>
    <row r="1015" ht="12.75" customHeight="1" x14ac:dyDescent="0.2"/>
    <row r="1016" ht="12.75" customHeight="1" x14ac:dyDescent="0.2"/>
    <row r="1017" ht="12.75" customHeight="1" x14ac:dyDescent="0.2"/>
    <row r="1018" ht="12.75" customHeight="1" x14ac:dyDescent="0.2"/>
    <row r="1019" ht="12.75" customHeight="1" x14ac:dyDescent="0.2"/>
    <row r="1020" ht="12.75" customHeight="1" x14ac:dyDescent="0.2"/>
    <row r="1021" ht="12.75" customHeight="1" x14ac:dyDescent="0.2"/>
    <row r="1022" ht="12.75" customHeight="1" x14ac:dyDescent="0.2"/>
    <row r="1023" ht="12.75" customHeight="1" x14ac:dyDescent="0.2"/>
    <row r="1024" ht="12.75" customHeight="1" x14ac:dyDescent="0.2"/>
    <row r="1025" ht="12.75" customHeight="1" x14ac:dyDescent="0.2"/>
    <row r="1026" ht="12.75" customHeight="1" x14ac:dyDescent="0.2"/>
    <row r="1027" ht="12.75" customHeight="1" x14ac:dyDescent="0.2"/>
    <row r="1028" ht="12.75" customHeight="1" x14ac:dyDescent="0.2"/>
    <row r="1029" ht="12.75" customHeight="1" x14ac:dyDescent="0.2"/>
    <row r="1030" ht="12.75" customHeight="1" x14ac:dyDescent="0.2"/>
    <row r="1031" ht="12.75" customHeight="1" x14ac:dyDescent="0.2"/>
    <row r="1032" ht="12.75" customHeight="1" x14ac:dyDescent="0.2"/>
    <row r="1033" ht="12.75" customHeight="1" x14ac:dyDescent="0.2"/>
    <row r="1034" ht="12.75" customHeight="1" x14ac:dyDescent="0.2"/>
    <row r="1035" ht="12.75" customHeight="1" x14ac:dyDescent="0.2"/>
    <row r="1036" ht="12.75" customHeight="1" x14ac:dyDescent="0.2"/>
    <row r="1037" ht="12.75" customHeight="1" x14ac:dyDescent="0.2"/>
    <row r="1038" ht="12.75" customHeight="1" x14ac:dyDescent="0.2"/>
    <row r="1039" ht="12.75" customHeight="1" x14ac:dyDescent="0.2"/>
    <row r="1040" ht="12.75" customHeight="1" x14ac:dyDescent="0.2"/>
    <row r="1041" ht="12.75" customHeight="1" x14ac:dyDescent="0.2"/>
    <row r="1042" ht="12.75" customHeight="1" x14ac:dyDescent="0.2"/>
    <row r="1043" ht="12.75" customHeight="1" x14ac:dyDescent="0.2"/>
    <row r="1044" ht="12.75" customHeight="1" x14ac:dyDescent="0.2"/>
    <row r="1045" ht="12.75" customHeight="1" x14ac:dyDescent="0.2"/>
    <row r="1046" ht="12.75" customHeight="1" x14ac:dyDescent="0.2"/>
    <row r="1047" ht="12.75" customHeight="1" x14ac:dyDescent="0.2"/>
    <row r="1048" ht="12.75" customHeight="1" x14ac:dyDescent="0.2"/>
    <row r="1049" ht="12.75" customHeight="1" x14ac:dyDescent="0.2"/>
    <row r="1050" ht="12.75" customHeight="1" x14ac:dyDescent="0.2"/>
    <row r="1051" ht="12.75" customHeight="1" x14ac:dyDescent="0.2"/>
    <row r="1052" ht="12.75" customHeight="1" x14ac:dyDescent="0.2"/>
    <row r="1053" ht="12.75" customHeight="1" x14ac:dyDescent="0.2"/>
    <row r="1054" ht="12.75" customHeight="1" x14ac:dyDescent="0.2"/>
    <row r="1055" ht="12.75" customHeight="1" x14ac:dyDescent="0.2"/>
    <row r="1056" ht="12.75" customHeight="1" x14ac:dyDescent="0.2"/>
    <row r="1057" ht="12.75" customHeight="1" x14ac:dyDescent="0.2"/>
    <row r="1058" ht="12.75" customHeight="1" x14ac:dyDescent="0.2"/>
    <row r="1059" ht="12.75" customHeight="1" x14ac:dyDescent="0.2"/>
    <row r="1060" ht="12.75" customHeight="1" x14ac:dyDescent="0.2"/>
    <row r="1061" ht="12.75" customHeight="1" x14ac:dyDescent="0.2"/>
    <row r="1062" ht="12.75" customHeight="1" x14ac:dyDescent="0.2"/>
    <row r="1063" ht="12.75" customHeight="1" x14ac:dyDescent="0.2"/>
    <row r="1064" ht="12.75" customHeight="1" x14ac:dyDescent="0.2"/>
    <row r="1065" ht="12.75" customHeight="1" x14ac:dyDescent="0.2"/>
    <row r="1066" ht="12.75" customHeight="1" x14ac:dyDescent="0.2"/>
    <row r="1067" ht="12.75" customHeight="1" x14ac:dyDescent="0.2"/>
    <row r="1068" ht="12.75" customHeight="1" x14ac:dyDescent="0.2"/>
    <row r="1069" ht="12.75" customHeight="1" x14ac:dyDescent="0.2"/>
    <row r="1070" ht="12.75" customHeight="1" x14ac:dyDescent="0.2"/>
    <row r="1071" ht="12.75" customHeight="1" x14ac:dyDescent="0.2"/>
    <row r="1072" ht="12.75" customHeight="1" x14ac:dyDescent="0.2"/>
    <row r="1073" ht="12.75" customHeight="1" x14ac:dyDescent="0.2"/>
    <row r="1074" ht="12.75" customHeight="1" x14ac:dyDescent="0.2"/>
    <row r="1075" ht="12.75" customHeight="1" x14ac:dyDescent="0.2"/>
    <row r="1076" ht="12.75" customHeight="1" x14ac:dyDescent="0.2"/>
    <row r="1077" ht="12.75" customHeight="1" x14ac:dyDescent="0.2"/>
    <row r="1078" ht="12.75" customHeight="1" x14ac:dyDescent="0.2"/>
    <row r="1079" ht="12.75" customHeight="1" x14ac:dyDescent="0.2"/>
  </sheetData>
  <mergeCells count="21">
    <mergeCell ref="A506:F506"/>
    <mergeCell ref="A92:D92"/>
    <mergeCell ref="A97:D97"/>
    <mergeCell ref="A280:C280"/>
    <mergeCell ref="A350:F350"/>
    <mergeCell ref="A423:F423"/>
    <mergeCell ref="A80:E80"/>
    <mergeCell ref="A81:D81"/>
    <mergeCell ref="A89:D89"/>
    <mergeCell ref="A90:D90"/>
    <mergeCell ref="A91:D91"/>
    <mergeCell ref="A35:D35"/>
    <mergeCell ref="A43:D43"/>
    <mergeCell ref="A59:D59"/>
    <mergeCell ref="A67:D67"/>
    <mergeCell ref="A71:D71"/>
    <mergeCell ref="A11:F11"/>
    <mergeCell ref="A12:F12"/>
    <mergeCell ref="A14:F14"/>
    <mergeCell ref="A25:C25"/>
    <mergeCell ref="A27:D27"/>
  </mergeCells>
  <hyperlinks>
    <hyperlink ref="A28" location="Google_Sheet_Link_1616338293" display="     3.1.1. Depreciação     "/>
    <hyperlink ref="A29" location="Google_Sheet_Link_1604018570" display="     3.1.2. Remuneração do Capital     "/>
    <hyperlink ref="A36" location="Google_Sheet_Link_1395446409" display="     3.2.1. Depreciação     "/>
    <hyperlink ref="A37" location="Google_Sheet_Link_1385402849" display="     3.2.2. Remuneração do Capital     "/>
    <hyperlink ref="A44" location="Google_Sheet_Link_2015704365" display="     3.3.1. Depreciação     "/>
    <hyperlink ref="A45" location="Google_Sheet_Link_1426506448" display="     3.3.2. Remuneração do Capital     "/>
    <hyperlink ref="A52" location="Google_Sheet_Link_1701136735" display="     3.4.1. Depreciação     "/>
    <hyperlink ref="A53" location="Google_Sheet_Link_1418664634" display="     3.4.2. Remuneração do Capital     "/>
    <hyperlink ref="G104" r:id="rId1"/>
    <hyperlink ref="G114" r:id="rId2"/>
    <hyperlink ref="G124" r:id="rId3"/>
    <hyperlink ref="G136" r:id="rId4"/>
    <hyperlink ref="G148" r:id="rId5"/>
    <hyperlink ref="G173" r:id="rId6"/>
    <hyperlink ref="G174" r:id="rId7"/>
    <hyperlink ref="G175" r:id="rId8"/>
    <hyperlink ref="G176" r:id="rId9"/>
    <hyperlink ref="G177" r:id="rId10"/>
    <hyperlink ref="G184" r:id="rId11"/>
    <hyperlink ref="G185" r:id="rId12"/>
    <hyperlink ref="G186" r:id="rId13"/>
    <hyperlink ref="G190" r:id="rId14"/>
    <hyperlink ref="A282" location="Google_Sheet_Link_1616338293" display="3.1.1. Depreciação"/>
    <hyperlink ref="A293" location="Google_Sheet_Link_1604018570" display="3.1.2. Remuneração do Capital"/>
    <hyperlink ref="A352" location="Google_Sheet_Link_1395446409" display="3.2.1. Depreciação"/>
    <hyperlink ref="A363" location="Google_Sheet_Link_1385402849" display="3.2.2. Remuneração do Capital"/>
    <hyperlink ref="A425" location="Google_Sheet_Link_2015704365" display="3.3.1. Depreciação"/>
    <hyperlink ref="A441" location="Google_Sheet_Link_1426506448" display="3.3.2. Remuneração do Capital"/>
    <hyperlink ref="A508" location="Google_Sheet_Link_1701136735" display="3.4.1. Depreciação"/>
    <hyperlink ref="A524" location="Google_Sheet_Link_1418664634" display="3.4.2. Remuneração do Capital"/>
  </hyperlinks>
  <pageMargins left="0.74791666666666701" right="0.74791666666666701" top="0.51180555555555496" bottom="0.905555555555556" header="0.51180555555555496" footer="0"/>
  <pageSetup paperSize="9" firstPageNumber="0" fitToHeight="0" orientation="landscape" horizontalDpi="300" verticalDpi="300"/>
  <headerFooter>
    <oddFooter>&amp;R&amp;P de</oddFooter>
  </headerFooter>
  <drawing r:id="rId15"/>
  <legacyDrawing r:id="rId16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20"/>
  <sheetViews>
    <sheetView zoomScaleNormal="100" workbookViewId="0"/>
  </sheetViews>
  <sheetFormatPr defaultRowHeight="12.75" x14ac:dyDescent="0.2"/>
  <cols>
    <col min="1" max="1" width="44.5703125" customWidth="1"/>
    <col min="2" max="2" width="16" customWidth="1"/>
    <col min="3" max="3" width="11.85546875" customWidth="1"/>
    <col min="4" max="4" width="14.7109375" customWidth="1"/>
    <col min="5" max="5" width="15.42578125" customWidth="1"/>
    <col min="6" max="6" width="13.28515625" customWidth="1"/>
    <col min="7" max="7" width="28.140625" customWidth="1"/>
    <col min="8" max="8" width="9.140625" customWidth="1"/>
    <col min="9" max="9" width="14.5703125" customWidth="1"/>
    <col min="10" max="10" width="13.42578125" customWidth="1"/>
    <col min="11" max="12" width="9.140625" customWidth="1"/>
    <col min="13" max="26" width="8.5703125" customWidth="1"/>
    <col min="27" max="1025" width="12.5703125" customWidth="1"/>
  </cols>
  <sheetData>
    <row r="1" spans="1:26" ht="12.75" customHeight="1" x14ac:dyDescent="0.2">
      <c r="A1" s="16" t="s">
        <v>169</v>
      </c>
      <c r="B1" s="15"/>
      <c r="C1" s="15"/>
      <c r="D1" s="17"/>
      <c r="E1" s="17"/>
      <c r="F1" s="17"/>
      <c r="G1" s="17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customHeight="1" x14ac:dyDescent="0.2">
      <c r="A2" s="18" t="s">
        <v>170</v>
      </c>
      <c r="B2" s="15"/>
      <c r="C2" s="15"/>
      <c r="D2" s="17"/>
      <c r="E2" s="17"/>
      <c r="F2" s="17"/>
      <c r="G2" s="17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customHeight="1" x14ac:dyDescent="0.2">
      <c r="A3" s="18" t="s">
        <v>171</v>
      </c>
      <c r="B3" s="15"/>
      <c r="C3" s="15"/>
      <c r="D3" s="17"/>
      <c r="E3" s="17"/>
      <c r="F3" s="17"/>
      <c r="G3" s="17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customHeight="1" x14ac:dyDescent="0.2">
      <c r="A4" s="18" t="s">
        <v>172</v>
      </c>
      <c r="B4" s="15"/>
      <c r="C4" s="15"/>
      <c r="D4" s="17"/>
      <c r="E4" s="17"/>
      <c r="F4" s="17"/>
      <c r="G4" s="17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customHeight="1" x14ac:dyDescent="0.2">
      <c r="A5" s="33" t="s">
        <v>173</v>
      </c>
      <c r="B5" s="15"/>
      <c r="C5" s="187"/>
      <c r="D5" s="187"/>
      <c r="E5" s="187"/>
      <c r="F5" s="187"/>
      <c r="G5" s="17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customHeight="1" x14ac:dyDescent="0.2">
      <c r="A6" s="188" t="s">
        <v>174</v>
      </c>
      <c r="B6" s="187"/>
      <c r="C6" s="187"/>
      <c r="D6" s="187"/>
      <c r="E6" s="187"/>
      <c r="F6" s="187"/>
      <c r="G6" s="17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customHeight="1" x14ac:dyDescent="0.2">
      <c r="A7" s="15"/>
      <c r="B7" s="187"/>
      <c r="C7" s="187"/>
      <c r="D7" s="187"/>
      <c r="E7" s="187"/>
      <c r="F7" s="187"/>
      <c r="G7" s="17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customHeight="1" x14ac:dyDescent="0.2">
      <c r="A8" s="18" t="s">
        <v>175</v>
      </c>
      <c r="B8" s="187"/>
      <c r="C8" s="187"/>
      <c r="D8" s="187"/>
      <c r="E8" s="187"/>
      <c r="F8" s="187"/>
      <c r="G8" s="17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customHeight="1" x14ac:dyDescent="0.2">
      <c r="A9" s="18" t="s">
        <v>176</v>
      </c>
      <c r="B9" s="187"/>
      <c r="C9" s="187"/>
      <c r="D9" s="187"/>
      <c r="E9" s="187"/>
      <c r="F9" s="187"/>
      <c r="G9" s="17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customHeight="1" x14ac:dyDescent="0.2">
      <c r="A10" s="15"/>
      <c r="B10" s="187"/>
      <c r="C10" s="187"/>
      <c r="D10" s="17"/>
      <c r="E10" s="17"/>
      <c r="F10" s="17"/>
      <c r="G10" s="17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4.25" customHeight="1" x14ac:dyDescent="0.2">
      <c r="A11" s="508" t="s">
        <v>386</v>
      </c>
      <c r="B11" s="508"/>
      <c r="C11" s="508"/>
      <c r="D11" s="508"/>
      <c r="E11" s="508"/>
      <c r="F11" s="508"/>
      <c r="G11" s="189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21.75" customHeight="1" x14ac:dyDescent="0.2">
      <c r="A12" s="509" t="s">
        <v>178</v>
      </c>
      <c r="B12" s="509"/>
      <c r="C12" s="509"/>
      <c r="D12" s="509"/>
      <c r="E12" s="509"/>
      <c r="F12" s="509"/>
      <c r="G12" s="189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10.5" customHeight="1" x14ac:dyDescent="0.2">
      <c r="A13" s="190"/>
      <c r="B13" s="187"/>
      <c r="C13" s="187"/>
      <c r="D13" s="17"/>
      <c r="E13" s="17"/>
      <c r="F13" s="191"/>
      <c r="G13" s="17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 x14ac:dyDescent="0.2">
      <c r="A14" s="510" t="s">
        <v>179</v>
      </c>
      <c r="B14" s="510"/>
      <c r="C14" s="510"/>
      <c r="D14" s="510"/>
      <c r="E14" s="510"/>
      <c r="F14" s="510"/>
      <c r="G14" s="17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 x14ac:dyDescent="0.2">
      <c r="A15" s="192" t="s">
        <v>180</v>
      </c>
      <c r="B15" s="193"/>
      <c r="C15" s="193"/>
      <c r="D15" s="194"/>
      <c r="E15" s="195" t="s">
        <v>181</v>
      </c>
      <c r="F15" s="196" t="s">
        <v>182</v>
      </c>
      <c r="G15" s="17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 x14ac:dyDescent="0.2">
      <c r="A16" s="197" t="str">
        <f>A51</f>
        <v>1. Mão-de-obra</v>
      </c>
      <c r="B16" s="198"/>
      <c r="C16" s="198"/>
      <c r="D16" s="198"/>
      <c r="E16" s="199">
        <f>+F122</f>
        <v>338563.36213185545</v>
      </c>
      <c r="F16" s="200">
        <f t="shared" ref="F16:F34" si="0">IFERROR(E16/$E$35,0)</f>
        <v>0.66969597056107011</v>
      </c>
      <c r="G16" s="45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26" ht="15.75" customHeight="1" x14ac:dyDescent="0.2">
      <c r="A17" s="201" t="str">
        <f>A53</f>
        <v>1.1. Operários/Agentes de Limpeza</v>
      </c>
      <c r="B17" s="202"/>
      <c r="C17" s="202"/>
      <c r="D17" s="202"/>
      <c r="E17" s="203">
        <f>F63</f>
        <v>276227.1795183933</v>
      </c>
      <c r="F17" s="204">
        <f t="shared" si="0"/>
        <v>0.54639175343158541</v>
      </c>
      <c r="G17" s="17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 x14ac:dyDescent="0.2">
      <c r="A18" s="201" t="str">
        <f>A65</f>
        <v>1.2. Encarregado de Equipe</v>
      </c>
      <c r="B18" s="202"/>
      <c r="C18" s="202"/>
      <c r="D18" s="202"/>
      <c r="E18" s="203">
        <f>F75</f>
        <v>5868.3131613693749</v>
      </c>
      <c r="F18" s="204">
        <f t="shared" si="0"/>
        <v>1.1607829191597552E-2</v>
      </c>
      <c r="G18" s="17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 x14ac:dyDescent="0.2">
      <c r="A19" s="201" t="str">
        <f>A77</f>
        <v>1.3. Motorista Caminhão</v>
      </c>
      <c r="B19" s="202"/>
      <c r="C19" s="202"/>
      <c r="D19" s="202"/>
      <c r="E19" s="203">
        <f>F89</f>
        <v>9046.9523367081983</v>
      </c>
      <c r="F19" s="204">
        <f t="shared" si="0"/>
        <v>1.7895343097969175E-2</v>
      </c>
      <c r="G19" s="17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 x14ac:dyDescent="0.2">
      <c r="A20" s="201" t="str">
        <f>A91</f>
        <v>1.4. Vale Transporte</v>
      </c>
      <c r="B20" s="202"/>
      <c r="C20" s="202"/>
      <c r="D20" s="202"/>
      <c r="E20" s="203">
        <f>F98</f>
        <v>10784.119615384616</v>
      </c>
      <c r="F20" s="204">
        <f t="shared" si="0"/>
        <v>2.1331550487317621E-2</v>
      </c>
      <c r="G20" s="17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 x14ac:dyDescent="0.2">
      <c r="A21" s="201" t="str">
        <f>A100</f>
        <v>1.5. Vale-refeição (diário)</v>
      </c>
      <c r="B21" s="202"/>
      <c r="C21" s="202"/>
      <c r="D21" s="202"/>
      <c r="E21" s="203">
        <f>F105</f>
        <v>34829.597499999996</v>
      </c>
      <c r="F21" s="204">
        <f t="shared" si="0"/>
        <v>6.8894758591538818E-2</v>
      </c>
      <c r="G21" s="17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5.75" customHeight="1" x14ac:dyDescent="0.2">
      <c r="A22" s="201" t="str">
        <f>A107</f>
        <v>1.6. Auxílio Alimentação (mensal)</v>
      </c>
      <c r="B22" s="202"/>
      <c r="C22" s="202"/>
      <c r="D22" s="202"/>
      <c r="E22" s="203">
        <f>F112</f>
        <v>276</v>
      </c>
      <c r="F22" s="204">
        <f t="shared" si="0"/>
        <v>5.4594238050740369E-4</v>
      </c>
      <c r="G22" s="17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5.75" customHeight="1" x14ac:dyDescent="0.2">
      <c r="A23" s="511" t="str">
        <f>A124</f>
        <v>2. Uniformes e Equipamentos de Proteção Individual</v>
      </c>
      <c r="B23" s="511"/>
      <c r="C23" s="511"/>
      <c r="D23" s="198"/>
      <c r="E23" s="199">
        <f>+F172</f>
        <v>9566.0341666666682</v>
      </c>
      <c r="F23" s="200">
        <f t="shared" si="0"/>
        <v>1.8922114003496953E-2</v>
      </c>
      <c r="G23" s="45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 spans="1:26" ht="15.75" customHeight="1" x14ac:dyDescent="0.2">
      <c r="A24" s="205" t="str">
        <f>A174</f>
        <v>3. Veículos e Equipamentos</v>
      </c>
      <c r="B24" s="206"/>
      <c r="C24" s="198"/>
      <c r="D24" s="198"/>
      <c r="E24" s="199">
        <f>+F254</f>
        <v>49405.618158521669</v>
      </c>
      <c r="F24" s="200">
        <f t="shared" si="0"/>
        <v>9.7726886912692504E-2</v>
      </c>
      <c r="G24" s="45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spans="1:26" ht="32.25" customHeight="1" x14ac:dyDescent="0.2">
      <c r="A25" s="512" t="str">
        <f>A46</f>
        <v>3.1. Caminhão toco, carga útil 9480 kg, potência mínima 185 CV, com carroceria fixa, aberta, de madeira, para transporte geral de carga seca, com dimensões aproximadas de 2,50 x 6,50 x 0,50 m.</v>
      </c>
      <c r="B25" s="512"/>
      <c r="C25" s="512"/>
      <c r="D25" s="512"/>
      <c r="E25" s="203">
        <f>SUM(E26:E31)</f>
        <v>49152.658158521663</v>
      </c>
      <c r="F25" s="204">
        <f t="shared" si="0"/>
        <v>9.7226518852644828E-2</v>
      </c>
      <c r="G25" s="17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 x14ac:dyDescent="0.2">
      <c r="A26" s="207" t="s">
        <v>183</v>
      </c>
      <c r="B26" s="208"/>
      <c r="C26" s="202"/>
      <c r="D26" s="202"/>
      <c r="E26" s="203">
        <f>F192</f>
        <v>8571.4712159047613</v>
      </c>
      <c r="F26" s="204">
        <f t="shared" si="0"/>
        <v>1.6954816666890346E-2</v>
      </c>
      <c r="G26" s="1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 x14ac:dyDescent="0.2">
      <c r="A27" s="207" t="s">
        <v>184</v>
      </c>
      <c r="B27" s="208"/>
      <c r="C27" s="202"/>
      <c r="D27" s="202"/>
      <c r="E27" s="203">
        <f>F208</f>
        <v>10886.248270295477</v>
      </c>
      <c r="F27" s="204">
        <f t="shared" si="0"/>
        <v>2.1533566287969996E-2</v>
      </c>
      <c r="G27" s="17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 x14ac:dyDescent="0.2">
      <c r="A28" s="209" t="str">
        <f>A210</f>
        <v>3.1.3. Impostos e Seguros - Caminhão</v>
      </c>
      <c r="B28" s="208"/>
      <c r="C28" s="202"/>
      <c r="D28" s="202"/>
      <c r="E28" s="203">
        <f>F216</f>
        <v>1092.8556000000001</v>
      </c>
      <c r="F28" s="204">
        <f t="shared" si="0"/>
        <v>2.1617253181697355E-3</v>
      </c>
      <c r="G28" s="17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customHeight="1" x14ac:dyDescent="0.2">
      <c r="A29" s="209" t="str">
        <f>A218</f>
        <v>3.1.4. Consumos</v>
      </c>
      <c r="B29" s="208"/>
      <c r="C29" s="202"/>
      <c r="D29" s="202"/>
      <c r="E29" s="203">
        <f>F226</f>
        <v>21473.15234375</v>
      </c>
      <c r="F29" s="204">
        <f t="shared" si="0"/>
        <v>4.2475014157771773E-2</v>
      </c>
      <c r="G29" s="17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customHeight="1" x14ac:dyDescent="0.2">
      <c r="A30" s="209" t="str">
        <f>A228</f>
        <v>3.1.5. Manutenção</v>
      </c>
      <c r="B30" s="208"/>
      <c r="C30" s="202"/>
      <c r="D30" s="202"/>
      <c r="E30" s="203">
        <f>F231</f>
        <v>6011.6074285714285</v>
      </c>
      <c r="F30" s="204">
        <f t="shared" si="0"/>
        <v>1.1891272718225643E-2</v>
      </c>
      <c r="G30" s="17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.75" customHeight="1" x14ac:dyDescent="0.2">
      <c r="A31" s="209" t="str">
        <f>A233</f>
        <v>3.1.6. Pneus</v>
      </c>
      <c r="B31" s="208"/>
      <c r="C31" s="202"/>
      <c r="D31" s="202"/>
      <c r="E31" s="203">
        <f>F240</f>
        <v>1117.3233</v>
      </c>
      <c r="F31" s="204">
        <f t="shared" si="0"/>
        <v>2.2101237036173476E-3</v>
      </c>
      <c r="G31" s="17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.75" customHeight="1" x14ac:dyDescent="0.2">
      <c r="A32" s="209" t="str">
        <f>A243</f>
        <v>3.1.7. Monitoramento da Frota</v>
      </c>
      <c r="B32" s="206"/>
      <c r="C32" s="198"/>
      <c r="D32" s="198"/>
      <c r="E32" s="203">
        <f>F251</f>
        <v>126.48</v>
      </c>
      <c r="F32" s="204">
        <f t="shared" si="0"/>
        <v>2.5018403002382764E-4</v>
      </c>
      <c r="G32" s="45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</row>
    <row r="33" spans="1:26" ht="15.75" customHeight="1" x14ac:dyDescent="0.2">
      <c r="A33" s="205" t="str">
        <f>A256</f>
        <v>4. Ferramentas, Materiais de Consumo e EPC</v>
      </c>
      <c r="B33" s="206"/>
      <c r="C33" s="198"/>
      <c r="D33" s="198"/>
      <c r="E33" s="199">
        <f>+F265</f>
        <v>3089.3266666666668</v>
      </c>
      <c r="F33" s="200">
        <f t="shared" si="0"/>
        <v>6.1108491107427628E-3</v>
      </c>
      <c r="G33" s="45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</row>
    <row r="34" spans="1:26" ht="15.75" customHeight="1" x14ac:dyDescent="0.2">
      <c r="A34" s="205" t="str">
        <f>A269</f>
        <v>5. Benefícios e Despesas Indiretas - BDI</v>
      </c>
      <c r="B34" s="206"/>
      <c r="C34" s="198"/>
      <c r="D34" s="198"/>
      <c r="E34" s="212">
        <f>+F275</f>
        <v>104923.51494029976</v>
      </c>
      <c r="F34" s="200">
        <f t="shared" si="0"/>
        <v>0.20754417941199779</v>
      </c>
      <c r="G34" s="45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</row>
    <row r="35" spans="1:26" ht="15.75" customHeight="1" x14ac:dyDescent="0.2">
      <c r="A35" s="213" t="s">
        <v>193</v>
      </c>
      <c r="B35" s="214"/>
      <c r="C35" s="215"/>
      <c r="D35" s="215"/>
      <c r="E35" s="216">
        <f>E16+E23+E24+E33+E34</f>
        <v>505547.85606401018</v>
      </c>
      <c r="F35" s="217">
        <f>F16+F23+F24+F33+F34</f>
        <v>1.0000000000000002</v>
      </c>
      <c r="G35" s="17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 x14ac:dyDescent="0.2">
      <c r="A36" s="15"/>
      <c r="B36" s="15"/>
      <c r="C36" s="15"/>
      <c r="D36" s="17"/>
      <c r="E36" s="17"/>
      <c r="F36" s="17"/>
      <c r="G36" s="17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2.75" customHeight="1" x14ac:dyDescent="0.2">
      <c r="A37" s="15"/>
      <c r="B37" s="15"/>
      <c r="C37" s="15"/>
      <c r="D37" s="17"/>
      <c r="E37" s="17"/>
      <c r="F37" s="17"/>
      <c r="G37" s="17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" customHeight="1" x14ac:dyDescent="0.2">
      <c r="A38" s="510" t="s">
        <v>194</v>
      </c>
      <c r="B38" s="510"/>
      <c r="C38" s="510"/>
      <c r="D38" s="510"/>
      <c r="E38" s="510"/>
      <c r="F38" s="17"/>
      <c r="G38" s="17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" customHeight="1" x14ac:dyDescent="0.2">
      <c r="A39" s="513" t="s">
        <v>195</v>
      </c>
      <c r="B39" s="513"/>
      <c r="C39" s="513"/>
      <c r="D39" s="513"/>
      <c r="E39" s="218" t="s">
        <v>50</v>
      </c>
      <c r="F39" s="17"/>
      <c r="G39" s="17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" customHeight="1" x14ac:dyDescent="0.2">
      <c r="A40" s="219" t="str">
        <f>+A53</f>
        <v>1.1. Operários/Agentes de Limpeza</v>
      </c>
      <c r="B40" s="193"/>
      <c r="C40" s="193"/>
      <c r="D40" s="220"/>
      <c r="E40" s="221">
        <f>C62</f>
        <v>60</v>
      </c>
      <c r="F40" s="17"/>
      <c r="G40" s="17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" customHeight="1" x14ac:dyDescent="0.2">
      <c r="A41" s="222" t="str">
        <f>A65</f>
        <v>1.2. Encarregado de Equipe</v>
      </c>
      <c r="B41" s="223"/>
      <c r="C41" s="223"/>
      <c r="D41" s="224"/>
      <c r="E41" s="225">
        <f>C74</f>
        <v>1</v>
      </c>
      <c r="F41" s="17"/>
      <c r="G41" s="17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" customHeight="1" x14ac:dyDescent="0.2">
      <c r="A42" s="222" t="str">
        <f>A77</f>
        <v>1.3. Motorista Caminhão</v>
      </c>
      <c r="B42" s="223"/>
      <c r="C42" s="223"/>
      <c r="D42" s="224"/>
      <c r="E42" s="225">
        <f>C88</f>
        <v>2</v>
      </c>
      <c r="F42" s="17"/>
      <c r="G42" s="17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" customHeight="1" x14ac:dyDescent="0.2">
      <c r="A43" s="226" t="s">
        <v>196</v>
      </c>
      <c r="B43" s="227"/>
      <c r="C43" s="227"/>
      <c r="D43" s="228"/>
      <c r="E43" s="229">
        <f>SUM(E40:E42)</f>
        <v>63</v>
      </c>
      <c r="F43" s="17"/>
      <c r="G43" s="17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 x14ac:dyDescent="0.2">
      <c r="A44" s="230"/>
      <c r="B44" s="113"/>
      <c r="C44" s="17"/>
      <c r="D44" s="17"/>
      <c r="E44" s="17"/>
      <c r="F44" s="17"/>
      <c r="G44" s="17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 x14ac:dyDescent="0.2">
      <c r="A45" s="514" t="s">
        <v>197</v>
      </c>
      <c r="B45" s="514"/>
      <c r="C45" s="514"/>
      <c r="D45" s="514"/>
      <c r="E45" s="218" t="s">
        <v>50</v>
      </c>
      <c r="F45" s="15"/>
      <c r="G45" s="17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44.25" customHeight="1" x14ac:dyDescent="0.2">
      <c r="A46" s="512" t="str">
        <f>A176</f>
        <v>3.1. Caminhão toco, carga útil 9480 kg, potência mínima 185 CV, com carroceria fixa, aberta, de madeira, para transporte geral de carga seca, com dimensões aproximadas de 2,50 x 6,50 x 0,50 m.</v>
      </c>
      <c r="B46" s="512"/>
      <c r="C46" s="512"/>
      <c r="D46" s="512"/>
      <c r="E46" s="231">
        <f>C191</f>
        <v>2</v>
      </c>
      <c r="F46" s="15"/>
      <c r="G46" s="17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" customHeight="1" x14ac:dyDescent="0.2">
      <c r="A47" s="515" t="s">
        <v>198</v>
      </c>
      <c r="B47" s="515"/>
      <c r="C47" s="515"/>
      <c r="D47" s="515"/>
      <c r="E47" s="239">
        <f>SUM(E46)</f>
        <v>2</v>
      </c>
      <c r="F47" s="15"/>
      <c r="G47" s="17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5" customHeight="1" x14ac:dyDescent="0.2">
      <c r="A48" s="17"/>
      <c r="B48" s="17"/>
      <c r="C48" s="17"/>
      <c r="D48" s="15"/>
      <c r="E48" s="112"/>
      <c r="F48" s="15"/>
      <c r="G48" s="17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5.75" customHeight="1" x14ac:dyDescent="0.2">
      <c r="A49" s="240" t="s">
        <v>199</v>
      </c>
      <c r="B49" s="241">
        <v>1</v>
      </c>
      <c r="C49" s="45"/>
      <c r="D49" s="40"/>
      <c r="E49" s="242"/>
      <c r="F49" s="40"/>
      <c r="G49" s="45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</row>
    <row r="50" spans="1:26" ht="15.75" customHeight="1" x14ac:dyDescent="0.2">
      <c r="A50" s="17"/>
      <c r="B50" s="17"/>
      <c r="C50" s="17"/>
      <c r="D50" s="15"/>
      <c r="E50" s="147"/>
      <c r="F50" s="15"/>
      <c r="G50" s="17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 x14ac:dyDescent="0.2">
      <c r="A51" s="40" t="s">
        <v>200</v>
      </c>
      <c r="B51" s="15"/>
      <c r="C51" s="15"/>
      <c r="D51" s="17"/>
      <c r="E51" s="17"/>
      <c r="F51" s="17"/>
      <c r="G51" s="17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1.25" customHeight="1" x14ac:dyDescent="0.2">
      <c r="A52" s="15"/>
      <c r="B52" s="15"/>
      <c r="C52" s="15"/>
      <c r="D52" s="17"/>
      <c r="E52" s="17"/>
      <c r="F52" s="17"/>
      <c r="G52" s="17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3.5" customHeight="1" x14ac:dyDescent="0.2">
      <c r="A53" s="15" t="s">
        <v>201</v>
      </c>
      <c r="B53" s="15"/>
      <c r="C53" s="15"/>
      <c r="D53" s="17"/>
      <c r="E53" s="17"/>
      <c r="F53" s="17"/>
      <c r="G53" s="17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3.5" customHeight="1" x14ac:dyDescent="0.2">
      <c r="A54" s="243" t="s">
        <v>202</v>
      </c>
      <c r="B54" s="244" t="s">
        <v>95</v>
      </c>
      <c r="C54" s="244" t="s">
        <v>50</v>
      </c>
      <c r="D54" s="245" t="s">
        <v>203</v>
      </c>
      <c r="E54" s="245" t="s">
        <v>204</v>
      </c>
      <c r="F54" s="246" t="s">
        <v>205</v>
      </c>
      <c r="G54" s="48" t="s">
        <v>206</v>
      </c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customHeight="1" x14ac:dyDescent="0.2">
      <c r="A55" s="247" t="s">
        <v>207</v>
      </c>
      <c r="B55" s="248" t="s">
        <v>208</v>
      </c>
      <c r="C55" s="248">
        <v>1</v>
      </c>
      <c r="D55" s="249">
        <v>1799.68</v>
      </c>
      <c r="E55" s="250">
        <f>C55*D55</f>
        <v>1799.68</v>
      </c>
      <c r="F55" s="17"/>
      <c r="G55" s="17" t="s">
        <v>209</v>
      </c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customHeight="1" x14ac:dyDescent="0.2">
      <c r="A56" s="251" t="s">
        <v>387</v>
      </c>
      <c r="B56" s="252" t="s">
        <v>388</v>
      </c>
      <c r="C56" s="348">
        <f>(7+20/60)*(10/12)</f>
        <v>6.1111111111111107</v>
      </c>
      <c r="D56" s="253">
        <f>D55/220*2</f>
        <v>16.360727272727274</v>
      </c>
      <c r="E56" s="253">
        <f>C56*D56</f>
        <v>99.982222222222219</v>
      </c>
      <c r="F56" s="17"/>
      <c r="G56" s="17" t="s">
        <v>211</v>
      </c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customHeight="1" x14ac:dyDescent="0.2">
      <c r="A57" s="251" t="s">
        <v>389</v>
      </c>
      <c r="B57" s="252" t="s">
        <v>231</v>
      </c>
      <c r="C57" s="15"/>
      <c r="D57" s="253">
        <f>63/302*(SUM(E56))</f>
        <v>20.857218543046358</v>
      </c>
      <c r="E57" s="253">
        <f>D57</f>
        <v>20.857218543046358</v>
      </c>
      <c r="F57" s="17"/>
      <c r="G57" s="17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 x14ac:dyDescent="0.2">
      <c r="A58" s="251" t="s">
        <v>210</v>
      </c>
      <c r="B58" s="252" t="s">
        <v>182</v>
      </c>
      <c r="C58" s="252">
        <v>40</v>
      </c>
      <c r="D58" s="253">
        <f>SUM(E55:E57)</f>
        <v>1920.5194407652687</v>
      </c>
      <c r="E58" s="253">
        <f>C58*D58/100</f>
        <v>768.20777630610746</v>
      </c>
      <c r="F58" s="17"/>
      <c r="G58" s="17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customHeight="1" x14ac:dyDescent="0.2">
      <c r="A59" s="254" t="s">
        <v>212</v>
      </c>
      <c r="B59" s="135"/>
      <c r="C59" s="135"/>
      <c r="D59" s="39"/>
      <c r="E59" s="255">
        <f>SUM(E55:E58)</f>
        <v>2688.7272170713759</v>
      </c>
      <c r="F59" s="17"/>
      <c r="G59" s="17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 x14ac:dyDescent="0.2">
      <c r="A60" s="251" t="s">
        <v>213</v>
      </c>
      <c r="B60" s="252" t="s">
        <v>182</v>
      </c>
      <c r="C60" s="256">
        <f>'4.Encargos Sociais'!$C$37*100</f>
        <v>71.22548900000001</v>
      </c>
      <c r="D60" s="253">
        <f>E59</f>
        <v>2688.7272170713759</v>
      </c>
      <c r="E60" s="253">
        <f>D60*C60/100</f>
        <v>1915.0591082351791</v>
      </c>
      <c r="F60" s="17"/>
      <c r="G60" s="17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customHeight="1" x14ac:dyDescent="0.2">
      <c r="A61" s="254" t="s">
        <v>214</v>
      </c>
      <c r="B61" s="135"/>
      <c r="C61" s="135"/>
      <c r="D61" s="39"/>
      <c r="E61" s="255">
        <f>E59+E60</f>
        <v>4603.7863253065552</v>
      </c>
      <c r="F61" s="17"/>
      <c r="G61" s="17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 x14ac:dyDescent="0.2">
      <c r="A62" s="251" t="s">
        <v>215</v>
      </c>
      <c r="B62" s="252" t="s">
        <v>216</v>
      </c>
      <c r="C62" s="257">
        <f>'0. Qtdades e Custos'!D17</f>
        <v>60</v>
      </c>
      <c r="D62" s="253">
        <f>E61</f>
        <v>4603.7863253065552</v>
      </c>
      <c r="E62" s="253">
        <f>C62*D62</f>
        <v>276227.1795183933</v>
      </c>
      <c r="F62" s="17"/>
      <c r="G62" s="17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3.5" customHeight="1" x14ac:dyDescent="0.2">
      <c r="A63" s="15"/>
      <c r="B63" s="15"/>
      <c r="C63" s="15"/>
      <c r="D63" s="258" t="s">
        <v>217</v>
      </c>
      <c r="E63" s="259">
        <f>$B$49</f>
        <v>1</v>
      </c>
      <c r="F63" s="260">
        <f>E62*E63</f>
        <v>276227.1795183933</v>
      </c>
      <c r="G63" s="17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1.25" customHeight="1" x14ac:dyDescent="0.2">
      <c r="A64" s="15"/>
      <c r="B64" s="15"/>
      <c r="C64" s="15"/>
      <c r="D64" s="17"/>
      <c r="E64" s="17"/>
      <c r="F64" s="17"/>
      <c r="G64" s="17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1.25" customHeight="1" x14ac:dyDescent="0.2">
      <c r="A65" s="15" t="s">
        <v>218</v>
      </c>
      <c r="B65" s="15"/>
      <c r="C65" s="15"/>
      <c r="D65" s="17"/>
      <c r="E65" s="17"/>
      <c r="F65" s="17"/>
      <c r="G65" s="17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1.25" customHeight="1" x14ac:dyDescent="0.2">
      <c r="A66" s="243" t="s">
        <v>202</v>
      </c>
      <c r="B66" s="244" t="s">
        <v>95</v>
      </c>
      <c r="C66" s="244" t="s">
        <v>50</v>
      </c>
      <c r="D66" s="245" t="s">
        <v>203</v>
      </c>
      <c r="E66" s="245" t="s">
        <v>204</v>
      </c>
      <c r="F66" s="246" t="s">
        <v>205</v>
      </c>
      <c r="G66" s="48" t="s">
        <v>219</v>
      </c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1.25" customHeight="1" x14ac:dyDescent="0.2">
      <c r="A67" s="247" t="s">
        <v>207</v>
      </c>
      <c r="B67" s="248" t="s">
        <v>208</v>
      </c>
      <c r="C67" s="248">
        <v>1</v>
      </c>
      <c r="D67" s="249">
        <v>2294</v>
      </c>
      <c r="E67" s="250">
        <f>C67*D67</f>
        <v>2294</v>
      </c>
      <c r="F67" s="17"/>
      <c r="G67" s="17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1.25" customHeight="1" x14ac:dyDescent="0.2">
      <c r="A68" s="251" t="s">
        <v>387</v>
      </c>
      <c r="B68" s="252" t="s">
        <v>388</v>
      </c>
      <c r="C68" s="348">
        <f>C56</f>
        <v>6.1111111111111107</v>
      </c>
      <c r="D68" s="253">
        <f>D67/220*2</f>
        <v>20.854545454545455</v>
      </c>
      <c r="E68" s="253">
        <f>C68*D68</f>
        <v>127.44444444444444</v>
      </c>
      <c r="F68" s="17"/>
      <c r="G68" s="17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1.25" customHeight="1" x14ac:dyDescent="0.2">
      <c r="A69" s="251" t="s">
        <v>389</v>
      </c>
      <c r="B69" s="252" t="s">
        <v>231</v>
      </c>
      <c r="C69" s="15"/>
      <c r="D69" s="253">
        <f>63/302*(SUM(E68))</f>
        <v>26.586092715231789</v>
      </c>
      <c r="E69" s="253">
        <f>D69</f>
        <v>26.586092715231789</v>
      </c>
      <c r="F69" s="17"/>
      <c r="G69" s="17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1.25" customHeight="1" x14ac:dyDescent="0.2">
      <c r="A70" s="251" t="s">
        <v>210</v>
      </c>
      <c r="B70" s="252" t="s">
        <v>182</v>
      </c>
      <c r="C70" s="252">
        <v>40</v>
      </c>
      <c r="D70" s="253">
        <f>SUM(E67:E69)</f>
        <v>2448.030537159676</v>
      </c>
      <c r="E70" s="253">
        <f>C70*D70/100</f>
        <v>979.21221486387049</v>
      </c>
      <c r="F70" s="17"/>
      <c r="G70" s="17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1.25" customHeight="1" x14ac:dyDescent="0.2">
      <c r="A71" s="254" t="s">
        <v>212</v>
      </c>
      <c r="B71" s="135"/>
      <c r="C71" s="135"/>
      <c r="D71" s="39"/>
      <c r="E71" s="255">
        <f>SUM(E67:E70)</f>
        <v>3427.2427520235465</v>
      </c>
      <c r="F71" s="17"/>
      <c r="G71" s="17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1.25" customHeight="1" x14ac:dyDescent="0.2">
      <c r="A72" s="251" t="s">
        <v>213</v>
      </c>
      <c r="B72" s="252" t="s">
        <v>182</v>
      </c>
      <c r="C72" s="256">
        <f>'4.Encargos Sociais'!$C$37*100</f>
        <v>71.22548900000001</v>
      </c>
      <c r="D72" s="253">
        <f>E71</f>
        <v>3427.2427520235465</v>
      </c>
      <c r="E72" s="253">
        <f>D72*C72/100</f>
        <v>2441.0704093458289</v>
      </c>
      <c r="F72" s="17"/>
      <c r="G72" s="17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1.25" customHeight="1" x14ac:dyDescent="0.2">
      <c r="A73" s="254" t="s">
        <v>214</v>
      </c>
      <c r="B73" s="135"/>
      <c r="C73" s="135"/>
      <c r="D73" s="39"/>
      <c r="E73" s="255">
        <f>E71+E72</f>
        <v>5868.3131613693749</v>
      </c>
      <c r="F73" s="17"/>
      <c r="G73" s="17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1.25" customHeight="1" x14ac:dyDescent="0.2">
      <c r="A74" s="251" t="s">
        <v>215</v>
      </c>
      <c r="B74" s="252" t="s">
        <v>216</v>
      </c>
      <c r="C74" s="257">
        <f>'0. Qtdades e Custos'!D18</f>
        <v>1</v>
      </c>
      <c r="D74" s="253">
        <f>E73</f>
        <v>5868.3131613693749</v>
      </c>
      <c r="E74" s="253">
        <f>C74*D74</f>
        <v>5868.3131613693749</v>
      </c>
      <c r="F74" s="17"/>
      <c r="G74" s="17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1.25" customHeight="1" x14ac:dyDescent="0.2">
      <c r="A75" s="15"/>
      <c r="B75" s="15"/>
      <c r="C75" s="15"/>
      <c r="D75" s="258" t="s">
        <v>217</v>
      </c>
      <c r="E75" s="259">
        <f>$B$49</f>
        <v>1</v>
      </c>
      <c r="F75" s="260">
        <f>E74*E75</f>
        <v>5868.3131613693749</v>
      </c>
      <c r="G75" s="17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1.25" customHeight="1" x14ac:dyDescent="0.2">
      <c r="A76" s="15"/>
      <c r="B76" s="15"/>
      <c r="C76" s="15"/>
      <c r="D76" s="17"/>
      <c r="E76" s="17"/>
      <c r="F76" s="17"/>
      <c r="G76" s="17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 x14ac:dyDescent="0.2">
      <c r="A77" s="15" t="s">
        <v>220</v>
      </c>
      <c r="B77" s="15"/>
      <c r="C77" s="15"/>
      <c r="D77" s="17"/>
      <c r="E77" s="17"/>
      <c r="F77" s="17"/>
      <c r="G77" s="17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 x14ac:dyDescent="0.2">
      <c r="A78" s="243" t="s">
        <v>202</v>
      </c>
      <c r="B78" s="244" t="s">
        <v>95</v>
      </c>
      <c r="C78" s="244" t="s">
        <v>50</v>
      </c>
      <c r="D78" s="245" t="s">
        <v>203</v>
      </c>
      <c r="E78" s="245" t="s">
        <v>204</v>
      </c>
      <c r="F78" s="246" t="s">
        <v>205</v>
      </c>
      <c r="G78" s="48" t="s">
        <v>221</v>
      </c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  <c r="V78" s="148"/>
      <c r="W78" s="148"/>
      <c r="X78" s="148"/>
      <c r="Y78" s="148"/>
      <c r="Z78" s="148"/>
    </row>
    <row r="79" spans="1:26" ht="12.75" customHeight="1" x14ac:dyDescent="0.2">
      <c r="A79" s="247" t="s">
        <v>222</v>
      </c>
      <c r="B79" s="248" t="s">
        <v>208</v>
      </c>
      <c r="C79" s="248">
        <v>1</v>
      </c>
      <c r="D79" s="249">
        <v>2475.6</v>
      </c>
      <c r="E79" s="250">
        <f>C79*D79</f>
        <v>2475.6</v>
      </c>
      <c r="F79" s="17"/>
      <c r="G79" s="17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 x14ac:dyDescent="0.2">
      <c r="A80" s="247" t="s">
        <v>223</v>
      </c>
      <c r="B80" s="248" t="s">
        <v>208</v>
      </c>
      <c r="C80" s="252">
        <v>1</v>
      </c>
      <c r="D80" s="249">
        <v>1518</v>
      </c>
      <c r="E80" s="250"/>
      <c r="F80" s="17"/>
      <c r="G80" s="17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 x14ac:dyDescent="0.2">
      <c r="A81" s="251" t="s">
        <v>387</v>
      </c>
      <c r="B81" s="252" t="s">
        <v>388</v>
      </c>
      <c r="C81" s="348">
        <f>C56</f>
        <v>6.1111111111111107</v>
      </c>
      <c r="D81" s="253">
        <f>D79/220*2</f>
        <v>22.505454545454544</v>
      </c>
      <c r="E81" s="253">
        <f>C81*D81</f>
        <v>137.5333333333333</v>
      </c>
      <c r="F81" s="17"/>
      <c r="G81" s="17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customHeight="1" x14ac:dyDescent="0.2">
      <c r="A82" s="251" t="s">
        <v>389</v>
      </c>
      <c r="B82" s="252" t="s">
        <v>231</v>
      </c>
      <c r="C82" s="15"/>
      <c r="D82" s="253">
        <f>63/302*(SUM(E81))</f>
        <v>28.690728476821189</v>
      </c>
      <c r="E82" s="253">
        <f>D82</f>
        <v>28.690728476821189</v>
      </c>
      <c r="F82" s="17"/>
      <c r="G82" s="17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 x14ac:dyDescent="0.2">
      <c r="A83" s="251" t="s">
        <v>224</v>
      </c>
      <c r="B83" s="252"/>
      <c r="C83" s="261"/>
      <c r="D83" s="253"/>
      <c r="E83" s="253"/>
      <c r="F83" s="17"/>
      <c r="G83" s="17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 x14ac:dyDescent="0.2">
      <c r="A84" s="251" t="s">
        <v>210</v>
      </c>
      <c r="B84" s="252" t="s">
        <v>182</v>
      </c>
      <c r="C84" s="257">
        <v>0</v>
      </c>
      <c r="D84" s="253">
        <f>IF(C83=2,SUM(E79:E82),IF(C83=1,(SUM(E79:E80))*D80/D79,0))</f>
        <v>0</v>
      </c>
      <c r="E84" s="253">
        <f>C84*D84/100</f>
        <v>0</v>
      </c>
      <c r="F84" s="17"/>
      <c r="G84" s="17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 x14ac:dyDescent="0.2">
      <c r="A85" s="262" t="s">
        <v>212</v>
      </c>
      <c r="B85" s="135"/>
      <c r="C85" s="135"/>
      <c r="D85" s="39"/>
      <c r="E85" s="263">
        <f>SUM(E79:E84)</f>
        <v>2641.8240618101545</v>
      </c>
      <c r="F85" s="45"/>
      <c r="G85" s="45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 spans="1:26" ht="12.75" customHeight="1" x14ac:dyDescent="0.2">
      <c r="A86" s="251" t="s">
        <v>213</v>
      </c>
      <c r="B86" s="252" t="s">
        <v>182</v>
      </c>
      <c r="C86" s="256">
        <f>'4.Encargos Sociais'!$C$37*100</f>
        <v>71.22548900000001</v>
      </c>
      <c r="D86" s="253">
        <f>E85</f>
        <v>2641.8240618101545</v>
      </c>
      <c r="E86" s="253">
        <f>D86*C86/100</f>
        <v>1881.6521065439449</v>
      </c>
      <c r="F86" s="17"/>
      <c r="G86" s="17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 x14ac:dyDescent="0.2">
      <c r="A87" s="262" t="s">
        <v>225</v>
      </c>
      <c r="B87" s="264"/>
      <c r="C87" s="264"/>
      <c r="D87" s="265"/>
      <c r="E87" s="263">
        <f>E85+E86</f>
        <v>4523.4761683540992</v>
      </c>
      <c r="F87" s="45"/>
      <c r="G87" s="45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spans="1:26" ht="12.75" customHeight="1" x14ac:dyDescent="0.2">
      <c r="A88" s="251" t="s">
        <v>215</v>
      </c>
      <c r="B88" s="252" t="s">
        <v>216</v>
      </c>
      <c r="C88" s="257">
        <f>'0. Qtdades e Custos'!D19</f>
        <v>2</v>
      </c>
      <c r="D88" s="253">
        <f>E87</f>
        <v>4523.4761683540992</v>
      </c>
      <c r="E88" s="253">
        <f>C88*D88</f>
        <v>9046.9523367081983</v>
      </c>
      <c r="F88" s="17"/>
      <c r="G88" s="17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 x14ac:dyDescent="0.2">
      <c r="A89" s="15"/>
      <c r="B89" s="15"/>
      <c r="C89" s="15"/>
      <c r="D89" s="258" t="s">
        <v>217</v>
      </c>
      <c r="E89" s="259">
        <f>$B$49</f>
        <v>1</v>
      </c>
      <c r="F89" s="260">
        <f>E88*E89</f>
        <v>9046.9523367081983</v>
      </c>
      <c r="G89" s="17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1.25" customHeight="1" x14ac:dyDescent="0.2">
      <c r="A90" s="15"/>
      <c r="B90" s="15"/>
      <c r="C90" s="15"/>
      <c r="D90" s="17"/>
      <c r="E90" s="17"/>
      <c r="F90" s="17"/>
      <c r="G90" s="17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 x14ac:dyDescent="0.2">
      <c r="A91" s="15" t="s">
        <v>390</v>
      </c>
      <c r="B91" s="266"/>
      <c r="C91" s="15"/>
      <c r="D91" s="15"/>
      <c r="E91" s="15"/>
      <c r="F91" s="17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 x14ac:dyDescent="0.2">
      <c r="A92" s="243" t="s">
        <v>202</v>
      </c>
      <c r="B92" s="244" t="s">
        <v>95</v>
      </c>
      <c r="C92" s="244" t="s">
        <v>50</v>
      </c>
      <c r="D92" s="245" t="s">
        <v>203</v>
      </c>
      <c r="E92" s="245" t="s">
        <v>204</v>
      </c>
      <c r="F92" s="246" t="s">
        <v>205</v>
      </c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 x14ac:dyDescent="0.2">
      <c r="A93" s="251" t="s">
        <v>230</v>
      </c>
      <c r="B93" s="252" t="s">
        <v>231</v>
      </c>
      <c r="C93" s="267">
        <v>1</v>
      </c>
      <c r="D93" s="268">
        <v>5.5</v>
      </c>
      <c r="E93" s="253"/>
      <c r="F93" s="17"/>
      <c r="G93" s="15" t="s">
        <v>232</v>
      </c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 x14ac:dyDescent="0.2">
      <c r="A94" s="251" t="s">
        <v>233</v>
      </c>
      <c r="B94" s="252" t="s">
        <v>234</v>
      </c>
      <c r="C94" s="269">
        <v>25.25</v>
      </c>
      <c r="D94" s="253"/>
      <c r="E94" s="253"/>
      <c r="F94" s="17"/>
      <c r="G94" s="15" t="s">
        <v>235</v>
      </c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 x14ac:dyDescent="0.2">
      <c r="A95" s="251" t="str">
        <f>A53</f>
        <v>1.1. Operários/Agentes de Limpeza</v>
      </c>
      <c r="B95" s="252" t="s">
        <v>236</v>
      </c>
      <c r="C95" s="270">
        <f>$C$94*2*(C62)</f>
        <v>3030</v>
      </c>
      <c r="D95" s="250">
        <f>IFERROR((($C$94*2*$D$93)-(E55*0.06*$C$94/26))/($C$94*2),"-")</f>
        <v>3.4234461538461538</v>
      </c>
      <c r="E95" s="253">
        <f>IFERROR(C95*D95,"-")</f>
        <v>10373.041846153847</v>
      </c>
      <c r="F95" s="17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2.75" customHeight="1" x14ac:dyDescent="0.2">
      <c r="A96" s="251" t="str">
        <f>A65</f>
        <v>1.2. Encarregado de Equipe</v>
      </c>
      <c r="B96" s="252" t="s">
        <v>236</v>
      </c>
      <c r="C96" s="270">
        <f>$C$94*2*(C74)</f>
        <v>50.5</v>
      </c>
      <c r="D96" s="250">
        <f>IFERROR((($C$94*2*$D$93)-(E67*0.06*$C$94/26))/($C$94*2),"-")</f>
        <v>2.8530769230769231</v>
      </c>
      <c r="E96" s="253">
        <f>IFERROR(C96*D96,"-")</f>
        <v>144.08038461538462</v>
      </c>
      <c r="F96" s="17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2.75" customHeight="1" x14ac:dyDescent="0.2">
      <c r="A97" s="251" t="str">
        <f>A77</f>
        <v>1.3. Motorista Caminhão</v>
      </c>
      <c r="B97" s="252" t="s">
        <v>236</v>
      </c>
      <c r="C97" s="270">
        <f>$C$94*2*(C88)</f>
        <v>101</v>
      </c>
      <c r="D97" s="250">
        <f>IFERROR((($C$94*2*$D$93)-(E79*0.06*$C$94/26))/($C$94*2),"-")</f>
        <v>2.6435384615384612</v>
      </c>
      <c r="E97" s="253">
        <f>IFERROR(C97*D97,"-")</f>
        <v>266.99738461538459</v>
      </c>
      <c r="F97" s="17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2.75" customHeight="1" x14ac:dyDescent="0.2">
      <c r="A98" s="15"/>
      <c r="B98" s="15"/>
      <c r="C98" s="15"/>
      <c r="D98" s="17"/>
      <c r="E98" s="17"/>
      <c r="F98" s="272">
        <f>SUM(E95:E97)</f>
        <v>10784.119615384616</v>
      </c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1.25" customHeight="1" x14ac:dyDescent="0.2">
      <c r="A99" s="15"/>
      <c r="B99" s="15"/>
      <c r="C99" s="15"/>
      <c r="D99" s="17"/>
      <c r="E99" s="17"/>
      <c r="F99" s="17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 x14ac:dyDescent="0.2">
      <c r="A100" s="15" t="s">
        <v>391</v>
      </c>
      <c r="B100" s="15"/>
      <c r="C100" s="15"/>
      <c r="D100" s="17"/>
      <c r="E100" s="17"/>
      <c r="F100" s="4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 x14ac:dyDescent="0.2">
      <c r="A101" s="243" t="s">
        <v>202</v>
      </c>
      <c r="B101" s="244" t="s">
        <v>95</v>
      </c>
      <c r="C101" s="244" t="s">
        <v>50</v>
      </c>
      <c r="D101" s="245" t="s">
        <v>203</v>
      </c>
      <c r="E101" s="245" t="s">
        <v>204</v>
      </c>
      <c r="F101" s="246" t="s">
        <v>205</v>
      </c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 x14ac:dyDescent="0.2">
      <c r="A102" s="251" t="str">
        <f>+A95</f>
        <v>1.1. Operários/Agentes de Limpeza</v>
      </c>
      <c r="B102" s="252" t="s">
        <v>238</v>
      </c>
      <c r="C102" s="270">
        <f>$C$94*(E40)</f>
        <v>1515</v>
      </c>
      <c r="D102" s="273">
        <v>21.99</v>
      </c>
      <c r="E102" s="259">
        <f>C102*D102</f>
        <v>33314.85</v>
      </c>
      <c r="F102" s="45"/>
      <c r="G102" s="48" t="s">
        <v>206</v>
      </c>
      <c r="H102" s="15"/>
      <c r="I102" s="15" t="s">
        <v>239</v>
      </c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 x14ac:dyDescent="0.2">
      <c r="A103" s="251" t="str">
        <f>+A96</f>
        <v>1.2. Encarregado de Equipe</v>
      </c>
      <c r="B103" s="252" t="s">
        <v>238</v>
      </c>
      <c r="C103" s="270">
        <f>$C$94*(E41)</f>
        <v>25.25</v>
      </c>
      <c r="D103" s="273">
        <v>21.99</v>
      </c>
      <c r="E103" s="259">
        <f>C103*D103</f>
        <v>555.24749999999995</v>
      </c>
      <c r="F103" s="45"/>
      <c r="G103" s="48" t="s">
        <v>206</v>
      </c>
      <c r="H103" s="15"/>
      <c r="I103" s="15" t="s">
        <v>239</v>
      </c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 x14ac:dyDescent="0.2">
      <c r="A104" s="251" t="str">
        <f>+A97</f>
        <v>1.3. Motorista Caminhão</v>
      </c>
      <c r="B104" s="252" t="s">
        <v>238</v>
      </c>
      <c r="C104" s="270">
        <f>$C$94*(E42)</f>
        <v>50.5</v>
      </c>
      <c r="D104" s="273">
        <v>19</v>
      </c>
      <c r="E104" s="259">
        <f>C104*D104</f>
        <v>959.5</v>
      </c>
      <c r="F104" s="45"/>
      <c r="G104" s="48" t="s">
        <v>221</v>
      </c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 x14ac:dyDescent="0.2">
      <c r="A105" s="15"/>
      <c r="B105" s="15"/>
      <c r="C105" s="15"/>
      <c r="D105" s="17"/>
      <c r="E105" s="17"/>
      <c r="F105" s="272">
        <f>SUM(E102:E104)</f>
        <v>34829.597499999996</v>
      </c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 x14ac:dyDescent="0.2">
      <c r="A106" s="15"/>
      <c r="B106" s="15"/>
      <c r="C106" s="15"/>
      <c r="D106" s="17"/>
      <c r="E106" s="17"/>
      <c r="F106" s="17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 x14ac:dyDescent="0.2">
      <c r="A107" s="15" t="s">
        <v>392</v>
      </c>
      <c r="B107" s="15"/>
      <c r="C107" s="15"/>
      <c r="D107" s="17"/>
      <c r="E107" s="17"/>
      <c r="F107" s="4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 x14ac:dyDescent="0.2">
      <c r="A108" s="243" t="s">
        <v>202</v>
      </c>
      <c r="B108" s="244" t="s">
        <v>95</v>
      </c>
      <c r="C108" s="244" t="s">
        <v>50</v>
      </c>
      <c r="D108" s="245" t="s">
        <v>203</v>
      </c>
      <c r="E108" s="245" t="s">
        <v>204</v>
      </c>
      <c r="F108" s="246" t="s">
        <v>205</v>
      </c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 x14ac:dyDescent="0.2">
      <c r="A109" s="251" t="str">
        <f>+A102</f>
        <v>1.1. Operários/Agentes de Limpeza</v>
      </c>
      <c r="B109" s="252" t="s">
        <v>238</v>
      </c>
      <c r="C109" s="270">
        <f>E40</f>
        <v>60</v>
      </c>
      <c r="D109" s="273">
        <v>0</v>
      </c>
      <c r="E109" s="259">
        <f>C109*D109</f>
        <v>0</v>
      </c>
      <c r="F109" s="4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 x14ac:dyDescent="0.2">
      <c r="A110" s="251" t="str">
        <f>+A103</f>
        <v>1.2. Encarregado de Equipe</v>
      </c>
      <c r="B110" s="252" t="s">
        <v>238</v>
      </c>
      <c r="C110" s="270">
        <f>E41</f>
        <v>1</v>
      </c>
      <c r="D110" s="273">
        <v>0</v>
      </c>
      <c r="E110" s="259">
        <f>C110*D110</f>
        <v>0</v>
      </c>
      <c r="F110" s="4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 x14ac:dyDescent="0.2">
      <c r="A111" s="251" t="str">
        <f>+A104</f>
        <v>1.3. Motorista Caminhão</v>
      </c>
      <c r="B111" s="252" t="s">
        <v>238</v>
      </c>
      <c r="C111" s="270">
        <f>E42</f>
        <v>2</v>
      </c>
      <c r="D111" s="273">
        <v>138</v>
      </c>
      <c r="E111" s="259">
        <f>C111*D111</f>
        <v>276</v>
      </c>
      <c r="F111" s="45"/>
      <c r="G111" s="48" t="s">
        <v>221</v>
      </c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 x14ac:dyDescent="0.2">
      <c r="A112" s="15"/>
      <c r="B112" s="15"/>
      <c r="C112" s="15"/>
      <c r="D112" s="258" t="s">
        <v>217</v>
      </c>
      <c r="E112" s="259">
        <f>$B$49</f>
        <v>1</v>
      </c>
      <c r="F112" s="272">
        <f>SUM(E109:E111)*E112</f>
        <v>276</v>
      </c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 x14ac:dyDescent="0.2">
      <c r="A113" s="15"/>
      <c r="B113" s="15"/>
      <c r="C113" s="15"/>
      <c r="D113" s="17"/>
      <c r="E113" s="17"/>
      <c r="F113" s="17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 x14ac:dyDescent="0.2">
      <c r="A114" s="275" t="s">
        <v>393</v>
      </c>
      <c r="B114" s="15"/>
      <c r="C114" s="15"/>
      <c r="D114" s="17"/>
      <c r="E114" s="17"/>
      <c r="F114" s="17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 x14ac:dyDescent="0.2">
      <c r="A115" s="243" t="s">
        <v>202</v>
      </c>
      <c r="B115" s="244" t="s">
        <v>95</v>
      </c>
      <c r="C115" s="244" t="s">
        <v>50</v>
      </c>
      <c r="D115" s="245" t="s">
        <v>203</v>
      </c>
      <c r="E115" s="245" t="s">
        <v>204</v>
      </c>
      <c r="F115" s="246" t="s">
        <v>205</v>
      </c>
      <c r="G115" s="48" t="s">
        <v>206</v>
      </c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 x14ac:dyDescent="0.2">
      <c r="A116" s="251" t="str">
        <f>+A109</f>
        <v>1.1. Operários/Agentes de Limpeza</v>
      </c>
      <c r="B116" s="252" t="s">
        <v>238</v>
      </c>
      <c r="C116" s="270">
        <f>E40</f>
        <v>60</v>
      </c>
      <c r="D116" s="273">
        <v>25.52</v>
      </c>
      <c r="E116" s="259">
        <f>C116*D116</f>
        <v>1531.2</v>
      </c>
      <c r="F116" s="45"/>
      <c r="G116" s="17" t="s">
        <v>209</v>
      </c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customHeight="1" x14ac:dyDescent="0.2">
      <c r="A117" s="251" t="str">
        <f>+A110</f>
        <v>1.2. Encarregado de Equipe</v>
      </c>
      <c r="B117" s="252" t="s">
        <v>238</v>
      </c>
      <c r="C117" s="270">
        <f>E41</f>
        <v>1</v>
      </c>
      <c r="D117" s="273">
        <v>0</v>
      </c>
      <c r="E117" s="259">
        <f>C117*D117</f>
        <v>0</v>
      </c>
      <c r="F117" s="45"/>
      <c r="G117" s="17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 x14ac:dyDescent="0.2">
      <c r="A118" s="274" t="str">
        <f>+A111</f>
        <v>1.3. Motorista Caminhão</v>
      </c>
      <c r="B118" s="252" t="s">
        <v>238</v>
      </c>
      <c r="C118" s="270">
        <f>E42</f>
        <v>2</v>
      </c>
      <c r="D118" s="273">
        <v>0</v>
      </c>
      <c r="E118" s="259">
        <f>C118*D118</f>
        <v>0</v>
      </c>
      <c r="F118" s="45"/>
      <c r="G118" s="17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customHeight="1" x14ac:dyDescent="0.2">
      <c r="A119" s="15"/>
      <c r="B119" s="15"/>
      <c r="C119" s="15"/>
      <c r="D119" s="258" t="s">
        <v>217</v>
      </c>
      <c r="E119" s="259">
        <f>$B$49</f>
        <v>1</v>
      </c>
      <c r="F119" s="272">
        <f>SUM(E116:E118)*E119</f>
        <v>1531.2</v>
      </c>
      <c r="G119" s="17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 x14ac:dyDescent="0.2">
      <c r="A120" s="15"/>
      <c r="B120" s="15"/>
      <c r="C120" s="15"/>
      <c r="D120" s="17"/>
      <c r="E120" s="17"/>
      <c r="F120" s="17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 x14ac:dyDescent="0.2">
      <c r="A121" s="15"/>
      <c r="B121" s="15"/>
      <c r="C121" s="15"/>
      <c r="D121" s="17"/>
      <c r="E121" s="17"/>
      <c r="F121" s="17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 x14ac:dyDescent="0.2">
      <c r="A122" s="276" t="s">
        <v>242</v>
      </c>
      <c r="B122" s="277"/>
      <c r="C122" s="277"/>
      <c r="D122" s="215"/>
      <c r="E122" s="278"/>
      <c r="F122" s="272">
        <f>F63+F75+F89+F98+F105+F112+F119</f>
        <v>338563.36213185545</v>
      </c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 x14ac:dyDescent="0.2">
      <c r="A123" s="15"/>
      <c r="B123" s="15"/>
      <c r="C123" s="15"/>
      <c r="D123" s="17"/>
      <c r="E123" s="17"/>
      <c r="F123" s="17"/>
      <c r="G123" s="17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 x14ac:dyDescent="0.2">
      <c r="A124" s="40" t="s">
        <v>243</v>
      </c>
      <c r="B124" s="15"/>
      <c r="C124" s="15"/>
      <c r="D124" s="17"/>
      <c r="E124" s="17"/>
      <c r="F124" s="17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1.25" customHeight="1" x14ac:dyDescent="0.2">
      <c r="A125" s="15"/>
      <c r="B125" s="15"/>
      <c r="C125" s="15"/>
      <c r="D125" s="17"/>
      <c r="E125" s="17"/>
      <c r="F125" s="17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3.5" customHeight="1" x14ac:dyDescent="0.2">
      <c r="A126" s="15" t="s">
        <v>244</v>
      </c>
      <c r="B126" s="15"/>
      <c r="C126" s="15"/>
      <c r="D126" s="17"/>
      <c r="E126" s="17"/>
      <c r="F126" s="17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1.25" customHeight="1" x14ac:dyDescent="0.2">
      <c r="A127" s="15"/>
      <c r="B127" s="15"/>
      <c r="C127" s="15"/>
      <c r="D127" s="17"/>
      <c r="E127" s="17"/>
      <c r="F127" s="17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27.75" customHeight="1" x14ac:dyDescent="0.2">
      <c r="A128" s="243" t="s">
        <v>202</v>
      </c>
      <c r="B128" s="244" t="s">
        <v>95</v>
      </c>
      <c r="C128" s="279" t="s">
        <v>245</v>
      </c>
      <c r="D128" s="245" t="s">
        <v>203</v>
      </c>
      <c r="E128" s="245" t="s">
        <v>204</v>
      </c>
      <c r="F128" s="246" t="s">
        <v>205</v>
      </c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 x14ac:dyDescent="0.2">
      <c r="A129" s="280" t="s">
        <v>128</v>
      </c>
      <c r="B129" s="248" t="s">
        <v>238</v>
      </c>
      <c r="C129" s="281">
        <f>12/'0. Qtdades e Custos'!C119</f>
        <v>12</v>
      </c>
      <c r="D129" s="249">
        <f>VLOOKUP(A129,'0. Qtdades e Custos'!$B$154:$F$168,4,0)</f>
        <v>155.66</v>
      </c>
      <c r="E129" s="250">
        <f t="shared" ref="E129:E140" si="1">IFERROR(D129/C129,0)</f>
        <v>12.971666666666666</v>
      </c>
      <c r="F129" s="17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 x14ac:dyDescent="0.2">
      <c r="A130" s="247" t="s">
        <v>129</v>
      </c>
      <c r="B130" s="252" t="s">
        <v>238</v>
      </c>
      <c r="C130" s="281">
        <f>12/'0. Qtdades e Custos'!C120</f>
        <v>2</v>
      </c>
      <c r="D130" s="249">
        <f>VLOOKUP(A130,'0. Qtdades e Custos'!$B$154:$F$168,4,0)</f>
        <v>60.73</v>
      </c>
      <c r="E130" s="250">
        <f t="shared" si="1"/>
        <v>30.364999999999998</v>
      </c>
      <c r="F130" s="17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 x14ac:dyDescent="0.2">
      <c r="A131" s="280" t="s">
        <v>130</v>
      </c>
      <c r="B131" s="252" t="s">
        <v>238</v>
      </c>
      <c r="C131" s="281">
        <f>12/'0. Qtdades e Custos'!C121</f>
        <v>2</v>
      </c>
      <c r="D131" s="249">
        <f>VLOOKUP(A131,'0. Qtdades e Custos'!$B$154:$F$168,4,0)</f>
        <v>36.630000000000003</v>
      </c>
      <c r="E131" s="250">
        <f t="shared" si="1"/>
        <v>18.315000000000001</v>
      </c>
      <c r="F131" s="17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 x14ac:dyDescent="0.2">
      <c r="A132" s="280" t="s">
        <v>131</v>
      </c>
      <c r="B132" s="252" t="s">
        <v>238</v>
      </c>
      <c r="C132" s="281">
        <f>12/'0. Qtdades e Custos'!C122</f>
        <v>2</v>
      </c>
      <c r="D132" s="249">
        <f>VLOOKUP(A132,'0. Qtdades e Custos'!$B$154:$F$168,4,0)</f>
        <v>34.630000000000003</v>
      </c>
      <c r="E132" s="250">
        <f t="shared" si="1"/>
        <v>17.315000000000001</v>
      </c>
      <c r="F132" s="17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 x14ac:dyDescent="0.2">
      <c r="A133" s="247" t="s">
        <v>132</v>
      </c>
      <c r="B133" s="252" t="s">
        <v>238</v>
      </c>
      <c r="C133" s="281">
        <f>12/'0. Qtdades e Custos'!C123</f>
        <v>4</v>
      </c>
      <c r="D133" s="249">
        <f>VLOOKUP(A133,'0. Qtdades e Custos'!$B$154:$F$168,4,0)</f>
        <v>25.1</v>
      </c>
      <c r="E133" s="250">
        <f t="shared" si="1"/>
        <v>6.2750000000000004</v>
      </c>
      <c r="F133" s="17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 x14ac:dyDescent="0.2">
      <c r="A134" s="247" t="s">
        <v>133</v>
      </c>
      <c r="B134" s="252" t="s">
        <v>238</v>
      </c>
      <c r="C134" s="281">
        <f>12/'0. Qtdades e Custos'!C124</f>
        <v>4</v>
      </c>
      <c r="D134" s="249">
        <f>VLOOKUP(A134,'0. Qtdades e Custos'!$B$154:$F$168,4,0)</f>
        <v>4.28</v>
      </c>
      <c r="E134" s="250">
        <f t="shared" si="1"/>
        <v>1.07</v>
      </c>
      <c r="F134" s="17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customHeight="1" x14ac:dyDescent="0.2">
      <c r="A135" s="251" t="s">
        <v>134</v>
      </c>
      <c r="B135" s="252" t="s">
        <v>238</v>
      </c>
      <c r="C135" s="281">
        <f>12/'0. Qtdades e Custos'!C125</f>
        <v>12</v>
      </c>
      <c r="D135" s="249">
        <f>VLOOKUP(A135,'0. Qtdades e Custos'!$B$154:$F$168,4,0)</f>
        <v>1.1499999999999999</v>
      </c>
      <c r="E135" s="250">
        <f t="shared" si="1"/>
        <v>9.5833333333333326E-2</v>
      </c>
      <c r="F135" s="17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 x14ac:dyDescent="0.2">
      <c r="A136" s="251" t="s">
        <v>135</v>
      </c>
      <c r="B136" s="252" t="s">
        <v>238</v>
      </c>
      <c r="C136" s="281">
        <f>12/'0. Qtdades e Custos'!C126</f>
        <v>4</v>
      </c>
      <c r="D136" s="249">
        <f>VLOOKUP(A136,'0. Qtdades e Custos'!$B$154:$F$168,4,0)</f>
        <v>18</v>
      </c>
      <c r="E136" s="250">
        <f t="shared" si="1"/>
        <v>4.5</v>
      </c>
      <c r="F136" s="17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 x14ac:dyDescent="0.2">
      <c r="A137" s="251" t="s">
        <v>136</v>
      </c>
      <c r="B137" s="252" t="s">
        <v>238</v>
      </c>
      <c r="C137" s="281">
        <f>12/'0. Qtdades e Custos'!C127</f>
        <v>4</v>
      </c>
      <c r="D137" s="249">
        <f>VLOOKUP(A137,'0. Qtdades e Custos'!$B$154:$F$168,4,0)</f>
        <v>13.18</v>
      </c>
      <c r="E137" s="250">
        <f t="shared" si="1"/>
        <v>3.2949999999999999</v>
      </c>
      <c r="F137" s="17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3.5" customHeight="1" x14ac:dyDescent="0.2">
      <c r="A138" s="251" t="s">
        <v>137</v>
      </c>
      <c r="B138" s="252" t="s">
        <v>159</v>
      </c>
      <c r="C138" s="281">
        <f>12/'0. Qtdades e Custos'!C128</f>
        <v>0.5</v>
      </c>
      <c r="D138" s="249">
        <f>VLOOKUP(A138,'0. Qtdades e Custos'!$B$154:$F$168,4,0)</f>
        <v>2.58</v>
      </c>
      <c r="E138" s="250">
        <f t="shared" si="1"/>
        <v>5.16</v>
      </c>
      <c r="F138" s="17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 x14ac:dyDescent="0.2">
      <c r="A139" s="251" t="s">
        <v>138</v>
      </c>
      <c r="B139" s="252" t="s">
        <v>238</v>
      </c>
      <c r="C139" s="281">
        <f>12/'0. Qtdades e Custos'!C129</f>
        <v>1</v>
      </c>
      <c r="D139" s="249">
        <f>VLOOKUP(A139,'0. Qtdades e Custos'!$B$154:$F$168,4,0)</f>
        <v>33.130000000000003</v>
      </c>
      <c r="E139" s="250">
        <f t="shared" si="1"/>
        <v>33.130000000000003</v>
      </c>
      <c r="F139" s="17"/>
      <c r="G139" s="17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 x14ac:dyDescent="0.2">
      <c r="A140" s="251" t="s">
        <v>139</v>
      </c>
      <c r="B140" s="252" t="s">
        <v>159</v>
      </c>
      <c r="C140" s="281">
        <f>12/'0. Qtdades e Custos'!C130</f>
        <v>2</v>
      </c>
      <c r="D140" s="249">
        <f>VLOOKUP(A140,'0. Qtdades e Custos'!$B$154:$F$168,4,0)</f>
        <v>43.29</v>
      </c>
      <c r="E140" s="250">
        <f t="shared" si="1"/>
        <v>21.645</v>
      </c>
      <c r="F140" s="17"/>
      <c r="G140" s="17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 x14ac:dyDescent="0.2">
      <c r="A141" s="251" t="s">
        <v>215</v>
      </c>
      <c r="B141" s="252" t="s">
        <v>216</v>
      </c>
      <c r="C141" s="283">
        <f>E40</f>
        <v>60</v>
      </c>
      <c r="D141" s="253">
        <f>+SUM(E129:E140)</f>
        <v>154.13750000000002</v>
      </c>
      <c r="E141" s="253">
        <f>C141*D141</f>
        <v>9248.2500000000018</v>
      </c>
      <c r="F141" s="17"/>
      <c r="G141" s="17"/>
      <c r="H141" s="15"/>
      <c r="I141" s="15"/>
      <c r="J141" s="15"/>
      <c r="K141" s="15"/>
      <c r="L141" s="15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2.75" customHeight="1" x14ac:dyDescent="0.2">
      <c r="A142" s="15"/>
      <c r="B142" s="15"/>
      <c r="C142" s="15"/>
      <c r="D142" s="258" t="s">
        <v>217</v>
      </c>
      <c r="E142" s="259">
        <f>$B$49</f>
        <v>1</v>
      </c>
      <c r="F142" s="260">
        <f>E141*E142</f>
        <v>9248.2500000000018</v>
      </c>
      <c r="G142" s="17"/>
      <c r="H142" s="15"/>
      <c r="I142" s="15"/>
      <c r="J142" s="15"/>
      <c r="K142" s="15"/>
      <c r="L142" s="15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1.25" customHeight="1" x14ac:dyDescent="0.2">
      <c r="A143" s="15"/>
      <c r="B143" s="15"/>
      <c r="C143" s="15"/>
      <c r="D143" s="17"/>
      <c r="E143" s="17"/>
      <c r="F143" s="17"/>
      <c r="G143" s="17"/>
      <c r="H143" s="15"/>
      <c r="I143" s="15"/>
      <c r="J143" s="15"/>
      <c r="K143" s="15"/>
      <c r="L143" s="15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1.25" customHeight="1" x14ac:dyDescent="0.2">
      <c r="A144" s="15" t="s">
        <v>246</v>
      </c>
      <c r="B144" s="15"/>
      <c r="C144" s="15"/>
      <c r="D144" s="17"/>
      <c r="E144" s="17"/>
      <c r="F144" s="17"/>
      <c r="G144" s="17"/>
      <c r="H144" s="15"/>
      <c r="I144" s="15"/>
      <c r="J144" s="15"/>
      <c r="K144" s="15"/>
      <c r="L144" s="15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1.25" customHeight="1" x14ac:dyDescent="0.2">
      <c r="A145" s="15"/>
      <c r="B145" s="15"/>
      <c r="C145" s="15"/>
      <c r="D145" s="17"/>
      <c r="E145" s="17"/>
      <c r="F145" s="17"/>
      <c r="G145" s="17"/>
      <c r="H145" s="15"/>
      <c r="I145" s="15"/>
      <c r="J145" s="15"/>
      <c r="K145" s="15"/>
      <c r="L145" s="15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1.25" customHeight="1" x14ac:dyDescent="0.2">
      <c r="A146" s="243" t="s">
        <v>202</v>
      </c>
      <c r="B146" s="244" t="s">
        <v>95</v>
      </c>
      <c r="C146" s="279" t="s">
        <v>245</v>
      </c>
      <c r="D146" s="245" t="s">
        <v>203</v>
      </c>
      <c r="E146" s="245" t="s">
        <v>204</v>
      </c>
      <c r="F146" s="246" t="s">
        <v>205</v>
      </c>
      <c r="G146" s="17"/>
      <c r="H146" s="15"/>
      <c r="I146" s="15"/>
      <c r="J146" s="15"/>
      <c r="K146" s="15"/>
      <c r="L146" s="15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1.25" customHeight="1" x14ac:dyDescent="0.2">
      <c r="A147" s="280" t="s">
        <v>128</v>
      </c>
      <c r="B147" s="248" t="s">
        <v>238</v>
      </c>
      <c r="C147" s="281">
        <f>12/'0. Qtdades e Custos'!H119</f>
        <v>12</v>
      </c>
      <c r="D147" s="249">
        <f>VLOOKUP(A147,'0. Qtdades e Custos'!$B$154:$F$168,4,0)</f>
        <v>155.66</v>
      </c>
      <c r="E147" s="250">
        <f t="shared" ref="E147:E156" si="2">IFERROR(D147/C147,0)</f>
        <v>12.971666666666666</v>
      </c>
      <c r="F147" s="17"/>
      <c r="G147" s="17"/>
      <c r="H147" s="15"/>
      <c r="I147" s="15"/>
      <c r="J147" s="15"/>
      <c r="K147" s="15"/>
      <c r="L147" s="15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1.25" customHeight="1" x14ac:dyDescent="0.2">
      <c r="A148" s="247" t="s">
        <v>129</v>
      </c>
      <c r="B148" s="252" t="s">
        <v>238</v>
      </c>
      <c r="C148" s="281">
        <f>12/'0. Qtdades e Custos'!H120</f>
        <v>2</v>
      </c>
      <c r="D148" s="249">
        <f>VLOOKUP(A148,'0. Qtdades e Custos'!$B$154:$F$168,4,0)</f>
        <v>60.73</v>
      </c>
      <c r="E148" s="250">
        <f t="shared" si="2"/>
        <v>30.364999999999998</v>
      </c>
      <c r="F148" s="17"/>
      <c r="G148" s="17"/>
      <c r="H148" s="15"/>
      <c r="I148" s="15"/>
      <c r="J148" s="15"/>
      <c r="K148" s="15"/>
      <c r="L148" s="15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26.25" customHeight="1" x14ac:dyDescent="0.2">
      <c r="A149" s="280" t="s">
        <v>130</v>
      </c>
      <c r="B149" s="252" t="s">
        <v>238</v>
      </c>
      <c r="C149" s="281">
        <f>12/'0. Qtdades e Custos'!H121</f>
        <v>2</v>
      </c>
      <c r="D149" s="249">
        <f>VLOOKUP(A149,'0. Qtdades e Custos'!$B$154:$F$168,4,0)</f>
        <v>36.630000000000003</v>
      </c>
      <c r="E149" s="250">
        <f t="shared" si="2"/>
        <v>18.315000000000001</v>
      </c>
      <c r="F149" s="17"/>
      <c r="G149" s="17"/>
      <c r="H149" s="15"/>
      <c r="I149" s="15"/>
      <c r="J149" s="15"/>
      <c r="K149" s="15"/>
      <c r="L149" s="15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25.5" customHeight="1" x14ac:dyDescent="0.2">
      <c r="A150" s="280" t="s">
        <v>131</v>
      </c>
      <c r="B150" s="252" t="s">
        <v>238</v>
      </c>
      <c r="C150" s="281">
        <f>12/'0. Qtdades e Custos'!H122</f>
        <v>2</v>
      </c>
      <c r="D150" s="249">
        <f>VLOOKUP(A150,'0. Qtdades e Custos'!$B$154:$F$168,4,0)</f>
        <v>34.630000000000003</v>
      </c>
      <c r="E150" s="250">
        <f t="shared" si="2"/>
        <v>17.315000000000001</v>
      </c>
      <c r="F150" s="17"/>
      <c r="G150" s="17"/>
      <c r="H150" s="15"/>
      <c r="I150" s="15"/>
      <c r="J150" s="15"/>
      <c r="K150" s="15"/>
      <c r="L150" s="15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1.25" customHeight="1" x14ac:dyDescent="0.2">
      <c r="A151" s="247" t="s">
        <v>132</v>
      </c>
      <c r="B151" s="252" t="s">
        <v>238</v>
      </c>
      <c r="C151" s="281">
        <f>12/'0. Qtdades e Custos'!H123</f>
        <v>4</v>
      </c>
      <c r="D151" s="249">
        <f>VLOOKUP(A151,'0. Qtdades e Custos'!$B$154:$F$168,4,0)</f>
        <v>25.1</v>
      </c>
      <c r="E151" s="250">
        <f t="shared" si="2"/>
        <v>6.2750000000000004</v>
      </c>
      <c r="F151" s="17"/>
      <c r="G151" s="17"/>
      <c r="H151" s="15"/>
      <c r="I151" s="15"/>
      <c r="J151" s="15"/>
      <c r="K151" s="15"/>
      <c r="L151" s="15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1.25" customHeight="1" x14ac:dyDescent="0.2">
      <c r="A152" s="247" t="s">
        <v>133</v>
      </c>
      <c r="B152" s="252" t="s">
        <v>238</v>
      </c>
      <c r="C152" s="281">
        <f>12/'0. Qtdades e Custos'!H124</f>
        <v>4</v>
      </c>
      <c r="D152" s="249">
        <f>VLOOKUP(A152,'0. Qtdades e Custos'!$B$154:$F$168,4,0)</f>
        <v>4.28</v>
      </c>
      <c r="E152" s="250">
        <f t="shared" si="2"/>
        <v>1.07</v>
      </c>
      <c r="F152" s="17"/>
      <c r="G152" s="17"/>
      <c r="H152" s="15"/>
      <c r="I152" s="15"/>
      <c r="J152" s="15"/>
      <c r="K152" s="15"/>
      <c r="L152" s="15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1.25" customHeight="1" x14ac:dyDescent="0.2">
      <c r="A153" s="251" t="s">
        <v>134</v>
      </c>
      <c r="B153" s="252" t="s">
        <v>238</v>
      </c>
      <c r="C153" s="281">
        <f>12/'0. Qtdades e Custos'!H125</f>
        <v>12</v>
      </c>
      <c r="D153" s="249">
        <f>VLOOKUP(A153,'0. Qtdades e Custos'!$B$154:$F$168,4,0)</f>
        <v>1.1499999999999999</v>
      </c>
      <c r="E153" s="250">
        <f t="shared" si="2"/>
        <v>9.5833333333333326E-2</v>
      </c>
      <c r="F153" s="17"/>
      <c r="G153" s="17"/>
      <c r="H153" s="15"/>
      <c r="I153" s="15"/>
      <c r="J153" s="15"/>
      <c r="K153" s="15"/>
      <c r="L153" s="15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1.25" customHeight="1" x14ac:dyDescent="0.2">
      <c r="A154" s="251" t="s">
        <v>135</v>
      </c>
      <c r="B154" s="252" t="s">
        <v>238</v>
      </c>
      <c r="C154" s="281">
        <f>12/'0. Qtdades e Custos'!H126</f>
        <v>4</v>
      </c>
      <c r="D154" s="249">
        <f>VLOOKUP(A154,'0. Qtdades e Custos'!$B$154:$F$168,4,0)</f>
        <v>18</v>
      </c>
      <c r="E154" s="250">
        <f t="shared" si="2"/>
        <v>4.5</v>
      </c>
      <c r="F154" s="17"/>
      <c r="G154" s="17"/>
      <c r="H154" s="15"/>
      <c r="I154" s="15"/>
      <c r="J154" s="15"/>
      <c r="K154" s="15"/>
      <c r="L154" s="15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1.25" customHeight="1" x14ac:dyDescent="0.2">
      <c r="A155" s="251" t="s">
        <v>136</v>
      </c>
      <c r="B155" s="252" t="s">
        <v>238</v>
      </c>
      <c r="C155" s="281">
        <f>12/'0. Qtdades e Custos'!H127</f>
        <v>4</v>
      </c>
      <c r="D155" s="249">
        <f>VLOOKUP(A155,'0. Qtdades e Custos'!$B$154:$F$168,4,0)</f>
        <v>13.18</v>
      </c>
      <c r="E155" s="250">
        <f t="shared" si="2"/>
        <v>3.2949999999999999</v>
      </c>
      <c r="F155" s="17"/>
      <c r="G155" s="17"/>
      <c r="H155" s="15"/>
      <c r="I155" s="15"/>
      <c r="J155" s="15"/>
      <c r="K155" s="15"/>
      <c r="L155" s="15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1.25" customHeight="1" x14ac:dyDescent="0.2">
      <c r="A156" s="251" t="s">
        <v>139</v>
      </c>
      <c r="B156" s="252" t="s">
        <v>159</v>
      </c>
      <c r="C156" s="281">
        <f>12/'0. Qtdades e Custos'!H130</f>
        <v>2</v>
      </c>
      <c r="D156" s="249">
        <f>VLOOKUP(A156,'0. Qtdades e Custos'!$B$154:$F$168,4,0)</f>
        <v>43.29</v>
      </c>
      <c r="E156" s="250">
        <f t="shared" si="2"/>
        <v>21.645</v>
      </c>
      <c r="F156" s="17"/>
      <c r="G156" s="17"/>
      <c r="H156" s="15"/>
      <c r="I156" s="15"/>
      <c r="J156" s="15"/>
      <c r="K156" s="15"/>
      <c r="L156" s="15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1.25" customHeight="1" x14ac:dyDescent="0.2">
      <c r="A157" s="251" t="s">
        <v>215</v>
      </c>
      <c r="B157" s="252" t="s">
        <v>216</v>
      </c>
      <c r="C157" s="283">
        <f>E41</f>
        <v>1</v>
      </c>
      <c r="D157" s="253">
        <f>+SUM(E147:E156)</f>
        <v>115.8475</v>
      </c>
      <c r="E157" s="253">
        <f>C157*D157</f>
        <v>115.8475</v>
      </c>
      <c r="F157" s="17"/>
      <c r="G157" s="17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1.25" customHeight="1" x14ac:dyDescent="0.2">
      <c r="A158" s="15"/>
      <c r="B158" s="15"/>
      <c r="C158" s="15"/>
      <c r="D158" s="258" t="s">
        <v>217</v>
      </c>
      <c r="E158" s="259">
        <f>$B$49</f>
        <v>1</v>
      </c>
      <c r="F158" s="260">
        <f>E157*E158</f>
        <v>115.8475</v>
      </c>
      <c r="G158" s="17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1.25" customHeight="1" x14ac:dyDescent="0.2">
      <c r="A159" s="15"/>
      <c r="B159" s="15"/>
      <c r="C159" s="15"/>
      <c r="D159" s="17"/>
      <c r="E159" s="17"/>
      <c r="F159" s="17"/>
      <c r="G159" s="17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3.5" customHeight="1" x14ac:dyDescent="0.2">
      <c r="A160" s="15" t="s">
        <v>247</v>
      </c>
      <c r="B160" s="15"/>
      <c r="C160" s="15"/>
      <c r="D160" s="17"/>
      <c r="E160" s="17"/>
      <c r="F160" s="17"/>
      <c r="G160" s="17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1.25" customHeight="1" x14ac:dyDescent="0.2">
      <c r="A161" s="15"/>
      <c r="B161" s="15"/>
      <c r="C161" s="15"/>
      <c r="D161" s="17"/>
      <c r="E161" s="17"/>
      <c r="F161" s="17"/>
      <c r="G161" s="17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 x14ac:dyDescent="0.2">
      <c r="A162" s="243" t="s">
        <v>202</v>
      </c>
      <c r="B162" s="244" t="s">
        <v>95</v>
      </c>
      <c r="C162" s="279" t="s">
        <v>245</v>
      </c>
      <c r="D162" s="245" t="s">
        <v>203</v>
      </c>
      <c r="E162" s="245" t="s">
        <v>204</v>
      </c>
      <c r="F162" s="246" t="s">
        <v>205</v>
      </c>
      <c r="G162" s="17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 x14ac:dyDescent="0.2">
      <c r="A163" s="280" t="s">
        <v>128</v>
      </c>
      <c r="B163" s="248" t="s">
        <v>238</v>
      </c>
      <c r="C163" s="281">
        <f>12/'0. Qtdades e Custos'!F119</f>
        <v>12</v>
      </c>
      <c r="D163" s="249">
        <f>VLOOKUP(A163,'0. Qtdades e Custos'!$B$154:$F$168,4,0)</f>
        <v>155.66</v>
      </c>
      <c r="E163" s="250">
        <f t="shared" ref="E163:E168" si="3">IFERROR(D163/C163,0)</f>
        <v>12.971666666666666</v>
      </c>
      <c r="F163" s="17"/>
      <c r="G163" s="17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 x14ac:dyDescent="0.2">
      <c r="A164" s="251" t="s">
        <v>129</v>
      </c>
      <c r="B164" s="252" t="s">
        <v>238</v>
      </c>
      <c r="C164" s="281">
        <f>12/'0. Qtdades e Custos'!F120</f>
        <v>2</v>
      </c>
      <c r="D164" s="249">
        <f>VLOOKUP(A164,'0. Qtdades e Custos'!$B$154:$F$168,4,0)</f>
        <v>60.73</v>
      </c>
      <c r="E164" s="250">
        <f t="shared" si="3"/>
        <v>30.364999999999998</v>
      </c>
      <c r="F164" s="17"/>
      <c r="G164" s="17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 x14ac:dyDescent="0.2">
      <c r="A165" s="274" t="s">
        <v>130</v>
      </c>
      <c r="B165" s="252" t="s">
        <v>238</v>
      </c>
      <c r="C165" s="281">
        <f>12/'0. Qtdades e Custos'!F121</f>
        <v>2</v>
      </c>
      <c r="D165" s="249">
        <f>VLOOKUP(A165,'0. Qtdades e Custos'!$B$154:$F$168,4,0)</f>
        <v>36.630000000000003</v>
      </c>
      <c r="E165" s="250">
        <f t="shared" si="3"/>
        <v>18.315000000000001</v>
      </c>
      <c r="F165" s="17"/>
      <c r="G165" s="17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 x14ac:dyDescent="0.2">
      <c r="A166" s="274" t="s">
        <v>131</v>
      </c>
      <c r="B166" s="252" t="s">
        <v>238</v>
      </c>
      <c r="C166" s="281">
        <f>12/'0. Qtdades e Custos'!F122</f>
        <v>2</v>
      </c>
      <c r="D166" s="249">
        <f>VLOOKUP(A166,'0. Qtdades e Custos'!$B$154:$F$168,4,0)</f>
        <v>34.630000000000003</v>
      </c>
      <c r="E166" s="250">
        <f t="shared" si="3"/>
        <v>17.315000000000001</v>
      </c>
      <c r="F166" s="17"/>
      <c r="G166" s="17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 x14ac:dyDescent="0.2">
      <c r="A167" s="251" t="s">
        <v>133</v>
      </c>
      <c r="B167" s="252" t="s">
        <v>238</v>
      </c>
      <c r="C167" s="281">
        <f>12/'0. Qtdades e Custos'!F124</f>
        <v>12</v>
      </c>
      <c r="D167" s="249">
        <f>VLOOKUP(A167,'0. Qtdades e Custos'!$B$154:$F$168,4,0)</f>
        <v>4.28</v>
      </c>
      <c r="E167" s="250">
        <f t="shared" si="3"/>
        <v>0.35666666666666669</v>
      </c>
      <c r="F167" s="17"/>
      <c r="G167" s="17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 x14ac:dyDescent="0.2">
      <c r="A168" s="251" t="s">
        <v>139</v>
      </c>
      <c r="B168" s="252" t="s">
        <v>159</v>
      </c>
      <c r="C168" s="281">
        <f>12/'0. Qtdades e Custos'!F130</f>
        <v>2</v>
      </c>
      <c r="D168" s="249">
        <f>VLOOKUP(A168,'0. Qtdades e Custos'!$B$154:$F$168,4,0)</f>
        <v>43.29</v>
      </c>
      <c r="E168" s="250">
        <f t="shared" si="3"/>
        <v>21.645</v>
      </c>
      <c r="F168" s="17"/>
      <c r="G168" s="17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 x14ac:dyDescent="0.2">
      <c r="A169" s="251" t="s">
        <v>215</v>
      </c>
      <c r="B169" s="252" t="s">
        <v>216</v>
      </c>
      <c r="C169" s="283">
        <f>E42</f>
        <v>2</v>
      </c>
      <c r="D169" s="253">
        <f>+SUM(E163:E168)</f>
        <v>100.96833333333333</v>
      </c>
      <c r="E169" s="253">
        <f>C169*D169</f>
        <v>201.93666666666667</v>
      </c>
      <c r="F169" s="17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 x14ac:dyDescent="0.2">
      <c r="A170" s="15"/>
      <c r="B170" s="15"/>
      <c r="C170" s="15"/>
      <c r="D170" s="258" t="s">
        <v>217</v>
      </c>
      <c r="E170" s="259">
        <f>$B$49</f>
        <v>1</v>
      </c>
      <c r="F170" s="260">
        <f>E169*E170</f>
        <v>201.93666666666667</v>
      </c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1.25" customHeight="1" x14ac:dyDescent="0.2">
      <c r="A171" s="15"/>
      <c r="B171" s="15"/>
      <c r="C171" s="15"/>
      <c r="D171" s="17"/>
      <c r="E171" s="17"/>
      <c r="F171" s="17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 x14ac:dyDescent="0.2">
      <c r="A172" s="276" t="s">
        <v>250</v>
      </c>
      <c r="B172" s="284"/>
      <c r="C172" s="284"/>
      <c r="D172" s="285"/>
      <c r="E172" s="286"/>
      <c r="F172" s="287">
        <f>+F142+F158+F170</f>
        <v>9566.0341666666682</v>
      </c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1.25" customHeight="1" x14ac:dyDescent="0.2">
      <c r="A173" s="15"/>
      <c r="B173" s="15"/>
      <c r="C173" s="15"/>
      <c r="D173" s="17"/>
      <c r="E173" s="17"/>
      <c r="F173" s="17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 x14ac:dyDescent="0.2">
      <c r="A174" s="40" t="s">
        <v>251</v>
      </c>
      <c r="B174" s="15"/>
      <c r="C174" s="15"/>
      <c r="D174" s="17"/>
      <c r="E174" s="17"/>
      <c r="F174" s="17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1.25" customHeight="1" x14ac:dyDescent="0.2">
      <c r="A175" s="15"/>
      <c r="B175" s="288"/>
      <c r="C175" s="15"/>
      <c r="D175" s="17"/>
      <c r="E175" s="17"/>
      <c r="F175" s="17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37.5" customHeight="1" x14ac:dyDescent="0.2">
      <c r="A176" s="517" t="s">
        <v>394</v>
      </c>
      <c r="B176" s="517"/>
      <c r="C176" s="517"/>
      <c r="D176" s="517"/>
      <c r="E176" s="517"/>
      <c r="F176" s="517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1.25" customHeight="1" x14ac:dyDescent="0.2">
      <c r="A177" s="15"/>
      <c r="B177" s="15"/>
      <c r="C177" s="15"/>
      <c r="D177" s="17"/>
      <c r="E177" s="17"/>
      <c r="F177" s="17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customHeight="1" x14ac:dyDescent="0.2">
      <c r="A178" s="288" t="s">
        <v>253</v>
      </c>
      <c r="B178" s="15"/>
      <c r="C178" s="15"/>
      <c r="D178" s="17"/>
      <c r="E178" s="17"/>
      <c r="F178" s="17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customHeight="1" x14ac:dyDescent="0.2">
      <c r="A179" s="243" t="s">
        <v>202</v>
      </c>
      <c r="B179" s="244" t="s">
        <v>95</v>
      </c>
      <c r="C179" s="244" t="s">
        <v>50</v>
      </c>
      <c r="D179" s="245" t="s">
        <v>203</v>
      </c>
      <c r="E179" s="245" t="s">
        <v>204</v>
      </c>
      <c r="F179" s="246" t="s">
        <v>205</v>
      </c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customHeight="1" x14ac:dyDescent="0.2">
      <c r="A180" s="247" t="s">
        <v>254</v>
      </c>
      <c r="B180" s="248" t="s">
        <v>238</v>
      </c>
      <c r="C180" s="248">
        <v>1</v>
      </c>
      <c r="D180" s="249">
        <f>'0. Qtdades e Custos'!N64</f>
        <v>561083.36</v>
      </c>
      <c r="E180" s="250">
        <f>C180*D180</f>
        <v>561083.36</v>
      </c>
      <c r="F180" s="17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customHeight="1" x14ac:dyDescent="0.2">
      <c r="A181" s="251" t="s">
        <v>255</v>
      </c>
      <c r="B181" s="252" t="s">
        <v>256</v>
      </c>
      <c r="C181" s="281">
        <f>'0. Qtdades e Custos'!Q64</f>
        <v>7</v>
      </c>
      <c r="D181" s="253"/>
      <c r="E181" s="253"/>
      <c r="F181" s="17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customHeight="1" x14ac:dyDescent="0.2">
      <c r="A182" s="251" t="s">
        <v>257</v>
      </c>
      <c r="B182" s="252" t="s">
        <v>256</v>
      </c>
      <c r="C182" s="257">
        <v>0</v>
      </c>
      <c r="D182" s="253"/>
      <c r="E182" s="253"/>
      <c r="F182" s="134"/>
      <c r="G182" s="17"/>
      <c r="H182" s="15"/>
      <c r="I182" s="290"/>
      <c r="J182" s="290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customHeight="1" x14ac:dyDescent="0.2">
      <c r="A183" s="251" t="s">
        <v>258</v>
      </c>
      <c r="B183" s="252" t="s">
        <v>182</v>
      </c>
      <c r="C183" s="256">
        <f>IFERROR(VLOOKUP(C181,'7. Depreciação'!A3:B17,2,0),0)</f>
        <v>60.29</v>
      </c>
      <c r="D183" s="253">
        <f>E180</f>
        <v>561083.36</v>
      </c>
      <c r="E183" s="253">
        <f>C183*D183/100</f>
        <v>338277.15774399997</v>
      </c>
      <c r="F183" s="17"/>
      <c r="G183" s="17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customHeight="1" x14ac:dyDescent="0.2">
      <c r="A184" s="291" t="s">
        <v>259</v>
      </c>
      <c r="B184" s="292" t="s">
        <v>208</v>
      </c>
      <c r="C184" s="292">
        <f>C181*12</f>
        <v>84</v>
      </c>
      <c r="D184" s="293">
        <f>IF(C182&lt;=C181,E183,0)</f>
        <v>338277.15774399997</v>
      </c>
      <c r="E184" s="293">
        <f>IFERROR(D184/C184,0)</f>
        <v>4027.1090207619045</v>
      </c>
      <c r="F184" s="17"/>
      <c r="G184" s="17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customHeight="1" x14ac:dyDescent="0.2">
      <c r="A185" s="247" t="s">
        <v>395</v>
      </c>
      <c r="B185" s="248" t="s">
        <v>238</v>
      </c>
      <c r="C185" s="248">
        <f>C180</f>
        <v>1</v>
      </c>
      <c r="D185" s="249">
        <f>'0. Qtdades e Custos'!N65</f>
        <v>36033.56</v>
      </c>
      <c r="E185" s="250">
        <f>C185*D185</f>
        <v>36033.56</v>
      </c>
      <c r="F185" s="17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2.75" customHeight="1" x14ac:dyDescent="0.2">
      <c r="A186" s="251" t="s">
        <v>51</v>
      </c>
      <c r="B186" s="252" t="s">
        <v>256</v>
      </c>
      <c r="C186" s="281">
        <f>C181</f>
        <v>7</v>
      </c>
      <c r="D186" s="253"/>
      <c r="E186" s="253"/>
      <c r="F186" s="17"/>
      <c r="G186" s="17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 x14ac:dyDescent="0.2">
      <c r="A187" s="251" t="s">
        <v>396</v>
      </c>
      <c r="B187" s="252" t="s">
        <v>256</v>
      </c>
      <c r="C187" s="257">
        <v>0</v>
      </c>
      <c r="D187" s="253"/>
      <c r="E187" s="253"/>
      <c r="F187" s="134"/>
      <c r="G187" s="17"/>
      <c r="H187" s="15"/>
      <c r="I187" s="290"/>
      <c r="J187" s="290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2.75" customHeight="1" x14ac:dyDescent="0.2">
      <c r="A188" s="251" t="s">
        <v>397</v>
      </c>
      <c r="B188" s="252" t="s">
        <v>182</v>
      </c>
      <c r="C188" s="332">
        <f>IFERROR(VLOOKUP(C186,'7. Depreciação'!A3:B17,2,0),0)</f>
        <v>60.29</v>
      </c>
      <c r="D188" s="253">
        <f>E185</f>
        <v>36033.56</v>
      </c>
      <c r="E188" s="253">
        <f>C188*D188/100</f>
        <v>21724.633323999999</v>
      </c>
      <c r="F188" s="17"/>
      <c r="G188" s="17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customHeight="1" x14ac:dyDescent="0.2">
      <c r="A189" s="262" t="s">
        <v>398</v>
      </c>
      <c r="B189" s="294" t="s">
        <v>208</v>
      </c>
      <c r="C189" s="294">
        <f>C186*12</f>
        <v>84</v>
      </c>
      <c r="D189" s="263">
        <f>IF(C187&lt;=C186,E188,0)</f>
        <v>21724.633323999999</v>
      </c>
      <c r="E189" s="263">
        <f>IFERROR(D189/C189,0)</f>
        <v>258.62658719047619</v>
      </c>
      <c r="F189" s="17"/>
      <c r="G189" s="17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2.75" customHeight="1" x14ac:dyDescent="0.2">
      <c r="A190" s="254" t="s">
        <v>260</v>
      </c>
      <c r="B190" s="135"/>
      <c r="C190" s="135"/>
      <c r="D190" s="39"/>
      <c r="E190" s="255">
        <f>E184+E189</f>
        <v>4285.7356079523806</v>
      </c>
      <c r="F190" s="17"/>
      <c r="G190" s="17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customHeight="1" x14ac:dyDescent="0.2">
      <c r="A191" s="262" t="s">
        <v>261</v>
      </c>
      <c r="B191" s="294" t="s">
        <v>238</v>
      </c>
      <c r="C191" s="281">
        <f>'0. Qtdades e Custos'!P64</f>
        <v>2</v>
      </c>
      <c r="D191" s="263">
        <f>E190</f>
        <v>4285.7356079523806</v>
      </c>
      <c r="E191" s="255">
        <f>C191*D191</f>
        <v>8571.4712159047613</v>
      </c>
      <c r="F191" s="17"/>
      <c r="G191" s="17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customHeight="1" x14ac:dyDescent="0.2">
      <c r="A192" s="295"/>
      <c r="B192" s="295"/>
      <c r="C192" s="295"/>
      <c r="D192" s="258" t="s">
        <v>217</v>
      </c>
      <c r="E192" s="259">
        <f>$B$49</f>
        <v>1</v>
      </c>
      <c r="F192" s="287">
        <f>E191*E192</f>
        <v>8571.4712159047613</v>
      </c>
      <c r="G192" s="17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1.25" customHeight="1" x14ac:dyDescent="0.2">
      <c r="A193" s="15"/>
      <c r="B193" s="15"/>
      <c r="C193" s="15"/>
      <c r="D193" s="17"/>
      <c r="E193" s="17"/>
      <c r="F193" s="17"/>
      <c r="G193" s="17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customHeight="1" x14ac:dyDescent="0.2">
      <c r="A194" s="288" t="s">
        <v>262</v>
      </c>
      <c r="B194" s="15"/>
      <c r="C194" s="15"/>
      <c r="D194" s="17"/>
      <c r="E194" s="17"/>
      <c r="F194" s="17"/>
      <c r="G194" s="17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customHeight="1" x14ac:dyDescent="0.2">
      <c r="A195" s="243" t="s">
        <v>202</v>
      </c>
      <c r="B195" s="244" t="s">
        <v>95</v>
      </c>
      <c r="C195" s="244" t="s">
        <v>50</v>
      </c>
      <c r="D195" s="245" t="s">
        <v>203</v>
      </c>
      <c r="E195" s="245" t="s">
        <v>204</v>
      </c>
      <c r="F195" s="246" t="s">
        <v>205</v>
      </c>
      <c r="G195" s="17"/>
      <c r="H195" s="15"/>
      <c r="I195" s="290"/>
      <c r="J195" s="290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customHeight="1" x14ac:dyDescent="0.2">
      <c r="A196" s="247" t="s">
        <v>263</v>
      </c>
      <c r="B196" s="248" t="s">
        <v>238</v>
      </c>
      <c r="C196" s="248">
        <v>1</v>
      </c>
      <c r="D196" s="250">
        <f>D180</f>
        <v>561083.36</v>
      </c>
      <c r="E196" s="250">
        <f>C196*D196</f>
        <v>561083.36</v>
      </c>
      <c r="F196" s="134"/>
      <c r="G196" s="17"/>
      <c r="H196" s="15"/>
      <c r="I196" s="290"/>
      <c r="J196" s="290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customHeight="1" x14ac:dyDescent="0.2">
      <c r="A197" s="251" t="s">
        <v>264</v>
      </c>
      <c r="B197" s="252" t="s">
        <v>182</v>
      </c>
      <c r="C197" s="257">
        <v>14.75</v>
      </c>
      <c r="D197" s="253"/>
      <c r="E197" s="253"/>
      <c r="F197" s="134"/>
      <c r="G197" s="17"/>
      <c r="H197" s="15"/>
      <c r="I197" s="290"/>
      <c r="J197" s="290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customHeight="1" x14ac:dyDescent="0.2">
      <c r="A198" s="251" t="s">
        <v>265</v>
      </c>
      <c r="B198" s="252" t="s">
        <v>231</v>
      </c>
      <c r="C198" s="253">
        <f>IFERROR(IF(C182&lt;=C181,E180-(C183/(100*C181)*C182)*E180,E180-E183),0)</f>
        <v>561083.36</v>
      </c>
      <c r="D198" s="253"/>
      <c r="E198" s="253"/>
      <c r="F198" s="134"/>
      <c r="G198" s="17"/>
      <c r="H198" s="15"/>
      <c r="I198" s="290"/>
      <c r="J198" s="290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customHeight="1" x14ac:dyDescent="0.2">
      <c r="A199" s="251" t="s">
        <v>266</v>
      </c>
      <c r="B199" s="252" t="s">
        <v>231</v>
      </c>
      <c r="C199" s="253">
        <f>IFERROR(IF(C182&gt;=C181,C198,((((C198)-(E180-E183))*(((C181-C182)+1)/(2*(C181-C182))))+(E180-E183))),0)</f>
        <v>416107.43525257142</v>
      </c>
      <c r="D199" s="253"/>
      <c r="E199" s="253"/>
      <c r="F199" s="134"/>
      <c r="G199" s="17"/>
      <c r="H199" s="15"/>
      <c r="I199" s="290"/>
      <c r="J199" s="290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customHeight="1" x14ac:dyDescent="0.2">
      <c r="A200" s="291" t="s">
        <v>267</v>
      </c>
      <c r="B200" s="292" t="s">
        <v>231</v>
      </c>
      <c r="C200" s="292"/>
      <c r="D200" s="293">
        <f>C197*C199/12/100</f>
        <v>5114.6538916461905</v>
      </c>
      <c r="E200" s="293">
        <f>D200</f>
        <v>5114.6538916461905</v>
      </c>
      <c r="F200" s="134"/>
      <c r="G200" s="17"/>
      <c r="H200" s="15"/>
      <c r="I200" s="290"/>
      <c r="J200" s="290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2.75" customHeight="1" x14ac:dyDescent="0.2">
      <c r="A201" s="247" t="s">
        <v>399</v>
      </c>
      <c r="B201" s="248" t="s">
        <v>238</v>
      </c>
      <c r="C201" s="248">
        <f>C185</f>
        <v>1</v>
      </c>
      <c r="D201" s="250">
        <f>D185</f>
        <v>36033.56</v>
      </c>
      <c r="E201" s="250">
        <f>C201*D201</f>
        <v>36033.56</v>
      </c>
      <c r="F201" s="134"/>
      <c r="G201" s="17"/>
      <c r="H201" s="15"/>
      <c r="I201" s="290"/>
      <c r="J201" s="290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 x14ac:dyDescent="0.2">
      <c r="A202" s="251" t="s">
        <v>264</v>
      </c>
      <c r="B202" s="252" t="s">
        <v>182</v>
      </c>
      <c r="C202" s="252">
        <f>C197</f>
        <v>14.75</v>
      </c>
      <c r="D202" s="253"/>
      <c r="E202" s="253"/>
      <c r="F202" s="134"/>
      <c r="G202" s="17"/>
      <c r="H202" s="15"/>
      <c r="I202" s="290"/>
      <c r="J202" s="290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2.75" customHeight="1" x14ac:dyDescent="0.2">
      <c r="A203" s="251" t="s">
        <v>400</v>
      </c>
      <c r="B203" s="252" t="s">
        <v>231</v>
      </c>
      <c r="C203" s="253">
        <f>IFERROR(IF(C187&lt;=C186,E185-(C188/(100*C186)*C187)*E185,E185-E188),0)</f>
        <v>36033.56</v>
      </c>
      <c r="D203" s="253"/>
      <c r="E203" s="253"/>
      <c r="F203" s="134"/>
      <c r="G203" s="17"/>
      <c r="H203" s="15"/>
      <c r="I203" s="290"/>
      <c r="J203" s="290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 x14ac:dyDescent="0.2">
      <c r="A204" s="251" t="s">
        <v>308</v>
      </c>
      <c r="B204" s="252" t="s">
        <v>231</v>
      </c>
      <c r="C204" s="253">
        <f>IFERROR(IF(C187&gt;=C186,C203,((((C203)-(E185-E188))*(((C186-C187)+1)/(2*(C186-C187))))+(E185-E188))),0)</f>
        <v>26723.002861142857</v>
      </c>
      <c r="D204" s="253"/>
      <c r="E204" s="253"/>
      <c r="F204" s="134"/>
      <c r="G204" s="17"/>
      <c r="H204" s="15"/>
      <c r="I204" s="290"/>
      <c r="J204" s="290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 x14ac:dyDescent="0.2">
      <c r="A205" s="262" t="s">
        <v>401</v>
      </c>
      <c r="B205" s="294" t="s">
        <v>231</v>
      </c>
      <c r="C205" s="294"/>
      <c r="D205" s="263">
        <f>C202*C204/12/100</f>
        <v>328.4702435015476</v>
      </c>
      <c r="E205" s="263">
        <f>D205</f>
        <v>328.4702435015476</v>
      </c>
      <c r="F205" s="134"/>
      <c r="G205" s="17"/>
      <c r="H205" s="15"/>
      <c r="I205" s="290"/>
      <c r="J205" s="290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 x14ac:dyDescent="0.2">
      <c r="A206" s="254" t="s">
        <v>260</v>
      </c>
      <c r="B206" s="135"/>
      <c r="C206" s="135"/>
      <c r="D206" s="39"/>
      <c r="E206" s="255">
        <f>E200+E205</f>
        <v>5443.1241351477383</v>
      </c>
      <c r="F206" s="134"/>
      <c r="G206" s="17"/>
      <c r="H206" s="15"/>
      <c r="I206" s="290"/>
      <c r="J206" s="290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customHeight="1" x14ac:dyDescent="0.2">
      <c r="A207" s="262" t="s">
        <v>261</v>
      </c>
      <c r="B207" s="294" t="s">
        <v>238</v>
      </c>
      <c r="C207" s="296">
        <f>C191</f>
        <v>2</v>
      </c>
      <c r="D207" s="263">
        <f>E206</f>
        <v>5443.1241351477383</v>
      </c>
      <c r="E207" s="255">
        <f>C207*D207</f>
        <v>10886.248270295477</v>
      </c>
      <c r="F207" s="134"/>
      <c r="G207" s="17"/>
      <c r="H207" s="15"/>
      <c r="I207" s="290"/>
      <c r="J207" s="290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 x14ac:dyDescent="0.2">
      <c r="A208" s="15"/>
      <c r="B208" s="15"/>
      <c r="C208" s="133"/>
      <c r="D208" s="258" t="s">
        <v>217</v>
      </c>
      <c r="E208" s="259">
        <f>$B$49</f>
        <v>1</v>
      </c>
      <c r="F208" s="287">
        <f>E207*E208</f>
        <v>10886.248270295477</v>
      </c>
      <c r="G208" s="17"/>
      <c r="H208" s="15"/>
      <c r="I208" s="290"/>
      <c r="J208" s="290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1.25" customHeight="1" x14ac:dyDescent="0.2">
      <c r="A209" s="15"/>
      <c r="B209" s="15"/>
      <c r="C209" s="15"/>
      <c r="D209" s="17"/>
      <c r="E209" s="17"/>
      <c r="F209" s="17"/>
      <c r="G209" s="17"/>
      <c r="H209" s="15"/>
      <c r="I209" s="290"/>
      <c r="J209" s="290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2.75" customHeight="1" x14ac:dyDescent="0.2">
      <c r="A210" s="15" t="s">
        <v>268</v>
      </c>
      <c r="B210" s="15"/>
      <c r="C210" s="15"/>
      <c r="D210" s="17"/>
      <c r="E210" s="17"/>
      <c r="F210" s="17"/>
      <c r="G210" s="17"/>
      <c r="H210" s="15"/>
      <c r="I210" s="290"/>
      <c r="J210" s="290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2.75" customHeight="1" x14ac:dyDescent="0.2">
      <c r="A211" s="243" t="s">
        <v>202</v>
      </c>
      <c r="B211" s="244" t="s">
        <v>95</v>
      </c>
      <c r="C211" s="244" t="s">
        <v>50</v>
      </c>
      <c r="D211" s="245" t="s">
        <v>203</v>
      </c>
      <c r="E211" s="245" t="s">
        <v>204</v>
      </c>
      <c r="F211" s="246" t="s">
        <v>205</v>
      </c>
      <c r="G211" s="17"/>
      <c r="H211" s="15"/>
      <c r="I211" s="290"/>
      <c r="J211" s="290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.75" customHeight="1" x14ac:dyDescent="0.2">
      <c r="A212" s="247" t="s">
        <v>269</v>
      </c>
      <c r="B212" s="248" t="s">
        <v>238</v>
      </c>
      <c r="C212" s="250">
        <f>C191</f>
        <v>2</v>
      </c>
      <c r="D212" s="250">
        <f>0.01*($E$180)</f>
        <v>5610.8335999999999</v>
      </c>
      <c r="E212" s="250">
        <f>C212*D212</f>
        <v>11221.6672</v>
      </c>
      <c r="F212" s="17"/>
      <c r="G212" s="17"/>
      <c r="H212" s="15"/>
      <c r="I212" s="290"/>
      <c r="J212" s="290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 x14ac:dyDescent="0.2">
      <c r="A213" s="251" t="s">
        <v>270</v>
      </c>
      <c r="B213" s="252" t="s">
        <v>238</v>
      </c>
      <c r="C213" s="250">
        <f>C191</f>
        <v>2</v>
      </c>
      <c r="D213" s="273">
        <v>273.20999999999998</v>
      </c>
      <c r="E213" s="253">
        <f>C213*D213</f>
        <v>546.41999999999996</v>
      </c>
      <c r="F213" s="17"/>
      <c r="G213" s="17"/>
      <c r="H213" s="15"/>
      <c r="I213" s="290"/>
      <c r="J213" s="290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2.75" customHeight="1" x14ac:dyDescent="0.2">
      <c r="A214" s="251" t="s">
        <v>271</v>
      </c>
      <c r="B214" s="252" t="s">
        <v>238</v>
      </c>
      <c r="C214" s="250">
        <f>C191</f>
        <v>2</v>
      </c>
      <c r="D214" s="273">
        <v>673.09</v>
      </c>
      <c r="E214" s="253">
        <f>C214*D214</f>
        <v>1346.18</v>
      </c>
      <c r="F214" s="39"/>
      <c r="G214" s="17"/>
      <c r="H214" s="15"/>
      <c r="I214" s="290"/>
      <c r="J214" s="290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 x14ac:dyDescent="0.2">
      <c r="A215" s="262" t="s">
        <v>272</v>
      </c>
      <c r="B215" s="294" t="s">
        <v>208</v>
      </c>
      <c r="C215" s="294">
        <v>12</v>
      </c>
      <c r="D215" s="263">
        <f>SUM(E212:E214)</f>
        <v>13114.2672</v>
      </c>
      <c r="E215" s="263">
        <f>D215/C215</f>
        <v>1092.8556000000001</v>
      </c>
      <c r="F215" s="17"/>
      <c r="G215" s="17"/>
      <c r="H215" s="15"/>
      <c r="I215" s="290"/>
      <c r="J215" s="290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 x14ac:dyDescent="0.2">
      <c r="A216" s="15"/>
      <c r="B216" s="15"/>
      <c r="C216" s="15"/>
      <c r="D216" s="258" t="s">
        <v>217</v>
      </c>
      <c r="E216" s="259">
        <f>$B$49</f>
        <v>1</v>
      </c>
      <c r="F216" s="260">
        <f>E215*E216</f>
        <v>1092.8556000000001</v>
      </c>
      <c r="G216" s="17"/>
      <c r="H216" s="15"/>
      <c r="I216" s="290"/>
      <c r="J216" s="290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1.25" customHeight="1" x14ac:dyDescent="0.2">
      <c r="A217" s="15"/>
      <c r="B217" s="15"/>
      <c r="C217" s="15"/>
      <c r="D217" s="17"/>
      <c r="E217" s="17"/>
      <c r="F217" s="17"/>
      <c r="G217" s="17"/>
      <c r="H217" s="15"/>
      <c r="I217" s="290"/>
      <c r="J217" s="290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 x14ac:dyDescent="0.2">
      <c r="A218" s="15" t="s">
        <v>273</v>
      </c>
      <c r="B218" s="297"/>
      <c r="C218" s="15"/>
      <c r="D218" s="17"/>
      <c r="E218" s="17"/>
      <c r="F218" s="17"/>
      <c r="G218" s="17"/>
      <c r="H218" s="15"/>
      <c r="I218" s="290"/>
      <c r="J218" s="290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 x14ac:dyDescent="0.2">
      <c r="A219" s="15"/>
      <c r="B219" s="297"/>
      <c r="C219" s="15"/>
      <c r="D219" s="17"/>
      <c r="E219" s="17"/>
      <c r="F219" s="17"/>
      <c r="G219" s="17"/>
      <c r="H219" s="15"/>
      <c r="I219" s="290"/>
      <c r="J219" s="290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 x14ac:dyDescent="0.2">
      <c r="A220" s="262" t="s">
        <v>274</v>
      </c>
      <c r="B220" s="298">
        <f>'0. Qtdades e Custos'!D6</f>
        <v>5100</v>
      </c>
      <c r="C220" s="15"/>
      <c r="D220" s="17"/>
      <c r="E220" s="17"/>
      <c r="F220" s="17"/>
      <c r="G220" s="17"/>
      <c r="H220" s="15"/>
      <c r="I220" s="290"/>
      <c r="J220" s="290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 x14ac:dyDescent="0.2">
      <c r="A221" s="299" t="s">
        <v>275</v>
      </c>
      <c r="B221" s="300">
        <f>'0. Qtdades e Custos'!Y64</f>
        <v>3435.7043749999998</v>
      </c>
      <c r="C221" s="15"/>
      <c r="D221" s="17"/>
      <c r="E221" s="17"/>
      <c r="F221" s="17"/>
      <c r="G221" s="17"/>
      <c r="H221" s="15"/>
      <c r="I221" s="290"/>
      <c r="J221" s="290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 x14ac:dyDescent="0.2">
      <c r="A222" s="15"/>
      <c r="B222" s="297"/>
      <c r="C222" s="15"/>
      <c r="D222" s="17"/>
      <c r="E222" s="17"/>
      <c r="F222" s="17"/>
      <c r="G222" s="17"/>
      <c r="H222" s="15"/>
      <c r="I222" s="290"/>
      <c r="J222" s="290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2.75" customHeight="1" x14ac:dyDescent="0.2">
      <c r="A223" s="243" t="s">
        <v>202</v>
      </c>
      <c r="B223" s="244" t="s">
        <v>95</v>
      </c>
      <c r="C223" s="244" t="s">
        <v>276</v>
      </c>
      <c r="D223" s="245" t="s">
        <v>203</v>
      </c>
      <c r="E223" s="245" t="s">
        <v>204</v>
      </c>
      <c r="F223" s="246" t="s">
        <v>205</v>
      </c>
      <c r="G223" s="17"/>
      <c r="H223" s="15"/>
      <c r="I223" s="290"/>
      <c r="J223" s="290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2.75" customHeight="1" x14ac:dyDescent="0.2">
      <c r="A224" s="251" t="s">
        <v>277</v>
      </c>
      <c r="B224" s="248" t="s">
        <v>278</v>
      </c>
      <c r="C224" s="301">
        <f>B221</f>
        <v>3435.7043749999998</v>
      </c>
      <c r="D224" s="302">
        <v>6.25</v>
      </c>
      <c r="E224" s="250"/>
      <c r="F224" s="17"/>
      <c r="G224" s="17"/>
      <c r="H224" s="15"/>
      <c r="I224" s="290"/>
      <c r="J224" s="290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.75" customHeight="1" x14ac:dyDescent="0.2">
      <c r="A225" s="299" t="s">
        <v>279</v>
      </c>
      <c r="B225" s="248" t="s">
        <v>280</v>
      </c>
      <c r="C225" s="267">
        <f>C224</f>
        <v>3435.7043749999998</v>
      </c>
      <c r="D225" s="303"/>
      <c r="E225" s="253">
        <f>C225*D224</f>
        <v>21473.15234375</v>
      </c>
      <c r="F225" s="17"/>
      <c r="G225" s="17"/>
      <c r="H225" s="15"/>
      <c r="I225" s="290"/>
      <c r="J225" s="290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 x14ac:dyDescent="0.2">
      <c r="A226" s="15"/>
      <c r="B226" s="15"/>
      <c r="C226" s="15"/>
      <c r="D226" s="17"/>
      <c r="E226" s="17"/>
      <c r="F226" s="287">
        <f>SUM(E224:E225)</f>
        <v>21473.15234375</v>
      </c>
      <c r="G226" s="17"/>
      <c r="H226" s="15"/>
      <c r="I226" s="290"/>
      <c r="J226" s="290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1.25" customHeight="1" x14ac:dyDescent="0.2">
      <c r="A227" s="15"/>
      <c r="B227" s="15"/>
      <c r="C227" s="15"/>
      <c r="D227" s="17"/>
      <c r="E227" s="17"/>
      <c r="F227" s="17"/>
      <c r="G227" s="17"/>
      <c r="H227" s="15"/>
      <c r="I227" s="290"/>
      <c r="J227" s="290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 x14ac:dyDescent="0.2">
      <c r="A228" s="15" t="s">
        <v>281</v>
      </c>
      <c r="B228" s="15"/>
      <c r="C228" s="15"/>
      <c r="D228" s="17"/>
      <c r="E228" s="17"/>
      <c r="F228" s="17"/>
      <c r="G228" s="17"/>
      <c r="H228" s="15"/>
      <c r="I228" s="290"/>
      <c r="J228" s="290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2.75" customHeight="1" x14ac:dyDescent="0.2">
      <c r="A229" s="243" t="s">
        <v>202</v>
      </c>
      <c r="B229" s="244" t="s">
        <v>95</v>
      </c>
      <c r="C229" s="244" t="s">
        <v>50</v>
      </c>
      <c r="D229" s="245" t="s">
        <v>203</v>
      </c>
      <c r="E229" s="245" t="s">
        <v>204</v>
      </c>
      <c r="F229" s="246" t="s">
        <v>205</v>
      </c>
      <c r="G229" s="17"/>
      <c r="H229" s="15"/>
      <c r="I229" s="290"/>
      <c r="J229" s="290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.75" customHeight="1" x14ac:dyDescent="0.2">
      <c r="A230" s="247" t="s">
        <v>357</v>
      </c>
      <c r="B230" s="248" t="s">
        <v>316</v>
      </c>
      <c r="C230" s="296">
        <f>'0. Qtdades e Custos'!S64/('0. Qtdades e Custos'!Q64*12)</f>
        <v>1.0714285714285714E-2</v>
      </c>
      <c r="D230" s="249">
        <f>'0. Qtdades e Custos'!N64</f>
        <v>561083.36</v>
      </c>
      <c r="E230" s="250">
        <f>C230*D230</f>
        <v>6011.6074285714285</v>
      </c>
      <c r="F230" s="17"/>
      <c r="G230" s="17"/>
      <c r="H230" s="15"/>
      <c r="I230" s="290"/>
      <c r="J230" s="290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2.75" customHeight="1" x14ac:dyDescent="0.2">
      <c r="A231" s="15"/>
      <c r="B231" s="15"/>
      <c r="C231" s="15"/>
      <c r="D231" s="17"/>
      <c r="E231" s="17"/>
      <c r="F231" s="287">
        <f>E230</f>
        <v>6011.6074285714285</v>
      </c>
      <c r="G231" s="17"/>
      <c r="H231" s="15"/>
      <c r="I231" s="290"/>
      <c r="J231" s="290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1.25" customHeight="1" x14ac:dyDescent="0.2">
      <c r="A232" s="15"/>
      <c r="B232" s="15"/>
      <c r="C232" s="15"/>
      <c r="D232" s="17"/>
      <c r="E232" s="17"/>
      <c r="F232" s="17"/>
      <c r="G232" s="17"/>
      <c r="H232" s="15"/>
      <c r="I232" s="290"/>
      <c r="J232" s="290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2.75" customHeight="1" x14ac:dyDescent="0.2">
      <c r="A233" s="15" t="s">
        <v>285</v>
      </c>
      <c r="B233" s="15"/>
      <c r="C233" s="15"/>
      <c r="D233" s="17"/>
      <c r="E233" s="17"/>
      <c r="F233" s="17"/>
      <c r="G233" s="17"/>
      <c r="H233" s="15"/>
      <c r="I233" s="290"/>
      <c r="J233" s="290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2.75" customHeight="1" x14ac:dyDescent="0.2">
      <c r="A234" s="243" t="s">
        <v>202</v>
      </c>
      <c r="B234" s="244" t="s">
        <v>95</v>
      </c>
      <c r="C234" s="244" t="s">
        <v>50</v>
      </c>
      <c r="D234" s="245" t="s">
        <v>203</v>
      </c>
      <c r="E234" s="245" t="s">
        <v>204</v>
      </c>
      <c r="F234" s="246" t="s">
        <v>205</v>
      </c>
      <c r="G234" s="17"/>
      <c r="H234" s="15"/>
      <c r="I234" s="290"/>
      <c r="J234" s="290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2.75" customHeight="1" x14ac:dyDescent="0.2">
      <c r="A235" s="247" t="s">
        <v>286</v>
      </c>
      <c r="B235" s="248" t="s">
        <v>238</v>
      </c>
      <c r="C235" s="306">
        <v>6</v>
      </c>
      <c r="D235" s="249">
        <v>1723</v>
      </c>
      <c r="E235" s="250">
        <f>C235*D235</f>
        <v>10338</v>
      </c>
      <c r="F235" s="17"/>
      <c r="G235" s="17"/>
      <c r="H235" s="15"/>
      <c r="I235" s="290"/>
      <c r="J235" s="290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2.75" customHeight="1" x14ac:dyDescent="0.2">
      <c r="A236" s="247" t="s">
        <v>287</v>
      </c>
      <c r="B236" s="248" t="s">
        <v>238</v>
      </c>
      <c r="C236" s="306">
        <v>1</v>
      </c>
      <c r="D236" s="250"/>
      <c r="E236" s="250"/>
      <c r="F236" s="17"/>
      <c r="G236" s="17"/>
      <c r="H236" s="15"/>
      <c r="I236" s="290"/>
      <c r="J236" s="290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2.75" customHeight="1" x14ac:dyDescent="0.2">
      <c r="A237" s="247" t="s">
        <v>288</v>
      </c>
      <c r="B237" s="248" t="s">
        <v>238</v>
      </c>
      <c r="C237" s="250">
        <f>C235*C236</f>
        <v>6</v>
      </c>
      <c r="D237" s="249">
        <v>467.83</v>
      </c>
      <c r="E237" s="250">
        <f>C237*D237</f>
        <v>2806.98</v>
      </c>
      <c r="F237" s="17"/>
      <c r="G237" s="17"/>
      <c r="H237" s="15"/>
      <c r="I237" s="290"/>
      <c r="J237" s="290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2.75" customHeight="1" x14ac:dyDescent="0.2">
      <c r="A238" s="251" t="s">
        <v>289</v>
      </c>
      <c r="B238" s="252" t="s">
        <v>290</v>
      </c>
      <c r="C238" s="307">
        <v>60000</v>
      </c>
      <c r="D238" s="253">
        <f>E235+E237</f>
        <v>13144.98</v>
      </c>
      <c r="E238" s="253">
        <f>IFERROR(D238/C238,"-")</f>
        <v>0.219083</v>
      </c>
      <c r="F238" s="17"/>
      <c r="G238" s="17"/>
      <c r="H238" s="15"/>
      <c r="I238" s="290"/>
      <c r="J238" s="290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2.75" customHeight="1" x14ac:dyDescent="0.2">
      <c r="A239" s="251" t="s">
        <v>291</v>
      </c>
      <c r="B239" s="252" t="s">
        <v>292</v>
      </c>
      <c r="C239" s="267">
        <f>B220</f>
        <v>5100</v>
      </c>
      <c r="D239" s="253">
        <f>E238</f>
        <v>0.219083</v>
      </c>
      <c r="E239" s="253">
        <f>IFERROR(C239*D239,0)</f>
        <v>1117.3233</v>
      </c>
      <c r="F239" s="17"/>
      <c r="G239" s="17"/>
      <c r="H239" s="15"/>
      <c r="I239" s="290"/>
      <c r="J239" s="290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2.75" customHeight="1" x14ac:dyDescent="0.2">
      <c r="A240" s="15"/>
      <c r="B240" s="15"/>
      <c r="C240" s="15"/>
      <c r="D240" s="17"/>
      <c r="E240" s="17"/>
      <c r="F240" s="287">
        <f>E239</f>
        <v>1117.3233</v>
      </c>
      <c r="G240" s="17"/>
      <c r="H240" s="15"/>
      <c r="I240" s="290"/>
      <c r="J240" s="290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1.25" customHeight="1" x14ac:dyDescent="0.2">
      <c r="A241" s="15"/>
      <c r="B241" s="15"/>
      <c r="C241" s="15"/>
      <c r="D241" s="17"/>
      <c r="E241" s="17"/>
      <c r="F241" s="17"/>
      <c r="G241" s="17"/>
      <c r="H241" s="15"/>
      <c r="I241" s="290"/>
      <c r="J241" s="290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1.25" customHeight="1" x14ac:dyDescent="0.2">
      <c r="A242" s="15"/>
      <c r="B242" s="15"/>
      <c r="C242" s="15"/>
      <c r="D242" s="17"/>
      <c r="E242" s="17"/>
      <c r="F242" s="17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1.25" customHeight="1" x14ac:dyDescent="0.2">
      <c r="A243" s="171" t="s">
        <v>293</v>
      </c>
      <c r="B243" s="171"/>
      <c r="C243" s="171"/>
      <c r="D243" s="308"/>
      <c r="E243" s="308"/>
      <c r="F243" s="308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1.25" customHeight="1" x14ac:dyDescent="0.25">
      <c r="A244" s="309" t="s">
        <v>202</v>
      </c>
      <c r="B244" s="310" t="s">
        <v>95</v>
      </c>
      <c r="C244" s="310" t="s">
        <v>50</v>
      </c>
      <c r="D244" s="311" t="s">
        <v>203</v>
      </c>
      <c r="E244" s="311" t="s">
        <v>204</v>
      </c>
      <c r="F244" s="312" t="s">
        <v>294</v>
      </c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1.25" customHeight="1" x14ac:dyDescent="0.2">
      <c r="A245" s="313" t="s">
        <v>295</v>
      </c>
      <c r="B245" s="177" t="s">
        <v>296</v>
      </c>
      <c r="C245" s="177">
        <v>2</v>
      </c>
      <c r="D245" s="315">
        <f>'0. Qtdades e Custos'!D173</f>
        <v>150</v>
      </c>
      <c r="E245" s="316">
        <f>D245*C245</f>
        <v>300</v>
      </c>
      <c r="F245" s="170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1.25" customHeight="1" x14ac:dyDescent="0.2">
      <c r="A246" s="313" t="s">
        <v>297</v>
      </c>
      <c r="B246" s="177" t="s">
        <v>208</v>
      </c>
      <c r="C246" s="177">
        <v>12</v>
      </c>
      <c r="D246" s="316">
        <f>D245</f>
        <v>150</v>
      </c>
      <c r="E246" s="316">
        <f>D246/C246</f>
        <v>12.5</v>
      </c>
      <c r="F246" s="170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1.25" customHeight="1" x14ac:dyDescent="0.2">
      <c r="A247" s="313" t="s">
        <v>298</v>
      </c>
      <c r="B247" s="177" t="s">
        <v>299</v>
      </c>
      <c r="C247" s="177">
        <v>2</v>
      </c>
      <c r="D247" s="315">
        <f>'0. Qtdades e Custos'!D174</f>
        <v>56.99</v>
      </c>
      <c r="E247" s="316">
        <f>D247*C247</f>
        <v>113.98</v>
      </c>
      <c r="F247" s="170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1.25" customHeight="1" x14ac:dyDescent="0.25">
      <c r="A248" s="317" t="s">
        <v>300</v>
      </c>
      <c r="B248" s="318"/>
      <c r="C248" s="319"/>
      <c r="D248" s="320"/>
      <c r="E248" s="321">
        <f>E247+E246</f>
        <v>126.48</v>
      </c>
      <c r="F248" s="170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1.25" customHeight="1" x14ac:dyDescent="0.25">
      <c r="A249" s="171"/>
      <c r="B249" s="171"/>
      <c r="C249" s="171"/>
      <c r="D249" s="322" t="s">
        <v>217</v>
      </c>
      <c r="E249" s="323">
        <v>1</v>
      </c>
      <c r="F249" s="324">
        <f>(E248)*E249</f>
        <v>126.48</v>
      </c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1.25" customHeight="1" x14ac:dyDescent="0.2">
      <c r="A250" s="171"/>
      <c r="B250" s="171"/>
      <c r="C250" s="171"/>
      <c r="D250" s="308"/>
      <c r="E250" s="308"/>
      <c r="F250" s="308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1.25" customHeight="1" x14ac:dyDescent="0.25">
      <c r="A251" s="325" t="s">
        <v>301</v>
      </c>
      <c r="B251" s="326"/>
      <c r="C251" s="326"/>
      <c r="D251" s="327"/>
      <c r="E251" s="328"/>
      <c r="F251" s="329">
        <f>F249</f>
        <v>126.48</v>
      </c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1.25" customHeight="1" x14ac:dyDescent="0.2">
      <c r="A252" s="15"/>
      <c r="B252" s="15"/>
      <c r="C252" s="15"/>
      <c r="D252" s="17"/>
      <c r="E252" s="17"/>
      <c r="F252" s="17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1.25" customHeight="1" x14ac:dyDescent="0.2">
      <c r="A253" s="15"/>
      <c r="B253" s="15"/>
      <c r="C253" s="15"/>
      <c r="D253" s="17"/>
      <c r="E253" s="17"/>
      <c r="F253" s="17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2.75" customHeight="1" x14ac:dyDescent="0.2">
      <c r="A254" s="276" t="s">
        <v>369</v>
      </c>
      <c r="B254" s="277"/>
      <c r="C254" s="277"/>
      <c r="D254" s="215"/>
      <c r="E254" s="278"/>
      <c r="F254" s="287">
        <f>+SUM(F180:F253)</f>
        <v>49405.618158521669</v>
      </c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1.25" customHeight="1" x14ac:dyDescent="0.2">
      <c r="A255" s="15"/>
      <c r="B255" s="15"/>
      <c r="C255" s="15"/>
      <c r="D255" s="17"/>
      <c r="E255" s="17"/>
      <c r="F255" s="17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2.75" customHeight="1" x14ac:dyDescent="0.2">
      <c r="A256" s="40" t="s">
        <v>370</v>
      </c>
      <c r="B256" s="40"/>
      <c r="C256" s="40"/>
      <c r="D256" s="45"/>
      <c r="E256" s="45"/>
      <c r="F256" s="39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1.25" customHeight="1" x14ac:dyDescent="0.2">
      <c r="A257" s="15"/>
      <c r="B257" s="15"/>
      <c r="C257" s="15"/>
      <c r="D257" s="17"/>
      <c r="E257" s="17"/>
      <c r="F257" s="17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2.75" customHeight="1" x14ac:dyDescent="0.2">
      <c r="A258" s="243" t="s">
        <v>202</v>
      </c>
      <c r="B258" s="244" t="s">
        <v>95</v>
      </c>
      <c r="C258" s="244" t="s">
        <v>50</v>
      </c>
      <c r="D258" s="245" t="s">
        <v>203</v>
      </c>
      <c r="E258" s="245" t="s">
        <v>204</v>
      </c>
      <c r="F258" s="246" t="s">
        <v>205</v>
      </c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25.5" customHeight="1" x14ac:dyDescent="0.2">
      <c r="A259" s="274" t="s">
        <v>110</v>
      </c>
      <c r="B259" s="252" t="s">
        <v>238</v>
      </c>
      <c r="C259" s="348">
        <f>'0. Qtdades e Custos'!H83</f>
        <v>39.333333333333336</v>
      </c>
      <c r="D259" s="249">
        <f>VLOOKUP(A259,'0. Qtdades e Custos'!$C$83:$J$86,8,0)</f>
        <v>19.07</v>
      </c>
      <c r="E259" s="253">
        <f>C259*D259</f>
        <v>750.0866666666667</v>
      </c>
      <c r="F259" s="134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2.75" customHeight="1" x14ac:dyDescent="0.2">
      <c r="A260" s="251" t="s">
        <v>111</v>
      </c>
      <c r="B260" s="252" t="s">
        <v>238</v>
      </c>
      <c r="C260" s="348">
        <f>'0. Qtdades e Custos'!H84</f>
        <v>14</v>
      </c>
      <c r="D260" s="249">
        <f>VLOOKUP(A260,'0. Qtdades e Custos'!$C$83:$J$86,8,0)</f>
        <v>9.23</v>
      </c>
      <c r="E260" s="253">
        <f>C260*D260</f>
        <v>129.22</v>
      </c>
      <c r="F260" s="134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2.75" customHeight="1" x14ac:dyDescent="0.2">
      <c r="A261" s="251" t="s">
        <v>112</v>
      </c>
      <c r="B261" s="252" t="s">
        <v>238</v>
      </c>
      <c r="C261" s="348">
        <f>'0. Qtdades e Custos'!H85</f>
        <v>7250</v>
      </c>
      <c r="D261" s="249">
        <f>VLOOKUP(A261,'0. Qtdades e Custos'!$C$83:$J$86,8,0)</f>
        <v>0.22</v>
      </c>
      <c r="E261" s="253">
        <f>C261*D261</f>
        <v>1595</v>
      </c>
      <c r="F261" s="134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2.75" customHeight="1" x14ac:dyDescent="0.2">
      <c r="A262" s="251" t="s">
        <v>113</v>
      </c>
      <c r="B262" s="252" t="s">
        <v>238</v>
      </c>
      <c r="C262" s="348">
        <f>'0. Qtdades e Custos'!H86</f>
        <v>2.3333333333333335</v>
      </c>
      <c r="D262" s="249">
        <f>VLOOKUP(A262,'0. Qtdades e Custos'!$C$83:$J$86,8,0)</f>
        <v>263.58</v>
      </c>
      <c r="E262" s="253">
        <f>C262*D262</f>
        <v>615.02</v>
      </c>
      <c r="F262" s="134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2.75" customHeight="1" x14ac:dyDescent="0.2">
      <c r="A263" s="40"/>
      <c r="B263" s="40"/>
      <c r="C263" s="40"/>
      <c r="D263" s="40"/>
      <c r="E263" s="45"/>
      <c r="F263" s="287">
        <f>SUM(E259:E262)</f>
        <v>3089.3266666666668</v>
      </c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1.25" customHeight="1" x14ac:dyDescent="0.2">
      <c r="A264" s="15"/>
      <c r="B264" s="15"/>
      <c r="C264" s="15"/>
      <c r="D264" s="17"/>
      <c r="E264" s="17"/>
      <c r="F264" s="17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2.75" customHeight="1" x14ac:dyDescent="0.2">
      <c r="A265" s="276" t="s">
        <v>372</v>
      </c>
      <c r="B265" s="277"/>
      <c r="C265" s="277"/>
      <c r="D265" s="215"/>
      <c r="E265" s="278"/>
      <c r="F265" s="287">
        <f>+F263</f>
        <v>3089.3266666666668</v>
      </c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1.25" customHeight="1" x14ac:dyDescent="0.2">
      <c r="A266" s="15"/>
      <c r="B266" s="15"/>
      <c r="C266" s="15"/>
      <c r="D266" s="17"/>
      <c r="E266" s="17"/>
      <c r="F266" s="17"/>
      <c r="G266" s="17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7.25" customHeight="1" x14ac:dyDescent="0.2">
      <c r="A267" s="276" t="s">
        <v>373</v>
      </c>
      <c r="B267" s="284"/>
      <c r="C267" s="284"/>
      <c r="D267" s="285"/>
      <c r="E267" s="286"/>
      <c r="F267" s="272">
        <f>+F122+F172+F254+F265</f>
        <v>400624.34112371044</v>
      </c>
      <c r="G267" s="17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1.25" customHeight="1" x14ac:dyDescent="0.2">
      <c r="A268" s="15"/>
      <c r="B268" s="15"/>
      <c r="C268" s="15"/>
      <c r="D268" s="17"/>
      <c r="E268" s="17"/>
      <c r="F268" s="17"/>
      <c r="G268" s="17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2.75" customHeight="1" x14ac:dyDescent="0.2">
      <c r="A269" s="40" t="s">
        <v>374</v>
      </c>
      <c r="B269" s="15"/>
      <c r="C269" s="15"/>
      <c r="D269" s="17"/>
      <c r="E269" s="17"/>
      <c r="F269" s="17"/>
      <c r="G269" s="17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1.25" customHeight="1" x14ac:dyDescent="0.2">
      <c r="A270" s="15"/>
      <c r="B270" s="15"/>
      <c r="C270" s="15"/>
      <c r="D270" s="17"/>
      <c r="E270" s="17"/>
      <c r="F270" s="17"/>
      <c r="G270" s="17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2.75" customHeight="1" x14ac:dyDescent="0.2">
      <c r="A271" s="243" t="s">
        <v>202</v>
      </c>
      <c r="B271" s="244" t="s">
        <v>95</v>
      </c>
      <c r="C271" s="244" t="s">
        <v>50</v>
      </c>
      <c r="D271" s="245" t="s">
        <v>203</v>
      </c>
      <c r="E271" s="245" t="s">
        <v>204</v>
      </c>
      <c r="F271" s="246" t="s">
        <v>205</v>
      </c>
      <c r="G271" s="17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2.75" customHeight="1" x14ac:dyDescent="0.2">
      <c r="A272" s="247" t="s">
        <v>375</v>
      </c>
      <c r="B272" s="248" t="s">
        <v>182</v>
      </c>
      <c r="C272" s="256">
        <f>'6. BDI'!C20*100</f>
        <v>26.19</v>
      </c>
      <c r="D272" s="250">
        <f>+F267</f>
        <v>400624.34112371044</v>
      </c>
      <c r="E272" s="250">
        <f>C272*D272/100</f>
        <v>104923.51494029976</v>
      </c>
      <c r="F272" s="17"/>
      <c r="G272" s="17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2.75" customHeight="1" x14ac:dyDescent="0.2">
      <c r="A273" s="15"/>
      <c r="B273" s="15"/>
      <c r="C273" s="15"/>
      <c r="D273" s="17"/>
      <c r="E273" s="17"/>
      <c r="F273" s="287">
        <f>+E272</f>
        <v>104923.51494029976</v>
      </c>
      <c r="G273" s="17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1.25" customHeight="1" x14ac:dyDescent="0.2">
      <c r="A274" s="15"/>
      <c r="B274" s="15"/>
      <c r="C274" s="15"/>
      <c r="D274" s="17"/>
      <c r="E274" s="17"/>
      <c r="F274" s="17"/>
      <c r="G274" s="17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2.75" customHeight="1" x14ac:dyDescent="0.2">
      <c r="A275" s="276" t="s">
        <v>376</v>
      </c>
      <c r="B275" s="284"/>
      <c r="C275" s="284"/>
      <c r="D275" s="285"/>
      <c r="E275" s="286"/>
      <c r="F275" s="272">
        <f>F273</f>
        <v>104923.51494029976</v>
      </c>
      <c r="G275" s="17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2.75" customHeight="1" x14ac:dyDescent="0.2">
      <c r="A276" s="40"/>
      <c r="B276" s="40"/>
      <c r="C276" s="40"/>
      <c r="D276" s="45"/>
      <c r="E276" s="45"/>
      <c r="F276" s="39"/>
      <c r="G276" s="17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2.75" customHeight="1" x14ac:dyDescent="0.2">
      <c r="A277" s="40" t="s">
        <v>377</v>
      </c>
      <c r="B277" s="40"/>
      <c r="C277" s="40"/>
      <c r="D277" s="45"/>
      <c r="E277" s="45"/>
      <c r="F277" s="39"/>
      <c r="G277" s="17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2.75" customHeight="1" x14ac:dyDescent="0.2">
      <c r="A278" s="40"/>
      <c r="B278" s="40"/>
      <c r="C278" s="40"/>
      <c r="D278" s="45"/>
      <c r="E278" s="45"/>
      <c r="F278" s="39"/>
      <c r="G278" s="17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2.75" customHeight="1" x14ac:dyDescent="0.2">
      <c r="A279" s="349" t="s">
        <v>378</v>
      </c>
      <c r="B279" s="241">
        <v>0.2</v>
      </c>
      <c r="C279" s="40"/>
      <c r="D279" s="45"/>
      <c r="E279" s="45"/>
      <c r="F279" s="39"/>
      <c r="G279" s="17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2.75" customHeight="1" x14ac:dyDescent="0.2">
      <c r="A280" s="350" t="s">
        <v>379</v>
      </c>
      <c r="B280" s="277"/>
      <c r="C280" s="277"/>
      <c r="D280" s="215"/>
      <c r="E280" s="278"/>
      <c r="F280" s="287">
        <f>'3. Equipe Técnica'!F328</f>
        <v>56173.421704216431</v>
      </c>
      <c r="G280" s="17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2.75" customHeight="1" x14ac:dyDescent="0.2">
      <c r="A281" s="40"/>
      <c r="B281" s="40"/>
      <c r="C281" s="40"/>
      <c r="D281" s="45"/>
      <c r="E281" s="45"/>
      <c r="F281" s="39"/>
      <c r="G281" s="17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2.75" customHeight="1" x14ac:dyDescent="0.2">
      <c r="A282" s="276" t="s">
        <v>380</v>
      </c>
      <c r="B282" s="284"/>
      <c r="C282" s="284"/>
      <c r="D282" s="285"/>
      <c r="E282" s="286"/>
      <c r="F282" s="272">
        <f>B279*F280</f>
        <v>11234.684340843287</v>
      </c>
      <c r="G282" s="17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2.75" customHeight="1" x14ac:dyDescent="0.2">
      <c r="A283" s="40"/>
      <c r="B283" s="15"/>
      <c r="C283" s="15"/>
      <c r="D283" s="17"/>
      <c r="E283" s="17"/>
      <c r="F283" s="39"/>
      <c r="G283" s="17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1.25" customHeight="1" x14ac:dyDescent="0.2">
      <c r="A284" s="15"/>
      <c r="B284" s="15"/>
      <c r="C284" s="15"/>
      <c r="D284" s="17"/>
      <c r="E284" s="17"/>
      <c r="F284" s="17"/>
      <c r="G284" s="17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24.75" customHeight="1" x14ac:dyDescent="0.2">
      <c r="A285" s="276" t="s">
        <v>381</v>
      </c>
      <c r="B285" s="284"/>
      <c r="C285" s="284"/>
      <c r="D285" s="285"/>
      <c r="E285" s="286"/>
      <c r="F285" s="272">
        <f>F267+F275+F282</f>
        <v>516782.54040485347</v>
      </c>
      <c r="G285" s="17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2" customHeight="1" x14ac:dyDescent="0.2">
      <c r="A286" s="16"/>
      <c r="B286" s="16"/>
      <c r="C286" s="16"/>
      <c r="D286" s="351"/>
      <c r="E286" s="351"/>
      <c r="F286" s="351"/>
      <c r="G286" s="17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 customHeight="1" x14ac:dyDescent="0.2">
      <c r="A287" s="352" t="s">
        <v>402</v>
      </c>
      <c r="B287" s="353"/>
      <c r="C287" s="353"/>
      <c r="D287" s="354">
        <f>'0. Qtdades e Custos'!D6</f>
        <v>5100</v>
      </c>
      <c r="E287" s="355" t="s">
        <v>6</v>
      </c>
      <c r="F287" s="17"/>
      <c r="G287" s="17" t="s">
        <v>383</v>
      </c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2.75" customHeight="1" x14ac:dyDescent="0.2">
      <c r="A288" s="15"/>
      <c r="B288" s="15"/>
      <c r="C288" s="15"/>
      <c r="D288" s="17"/>
      <c r="E288" s="17"/>
      <c r="F288" s="17"/>
      <c r="G288" s="17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25.5" customHeight="1" x14ac:dyDescent="0.2">
      <c r="A289" s="276" t="s">
        <v>384</v>
      </c>
      <c r="B289" s="277"/>
      <c r="C289" s="277"/>
      <c r="D289" s="215"/>
      <c r="E289" s="356" t="s">
        <v>385</v>
      </c>
      <c r="F289" s="358">
        <f>IFERROR(F285/D287,"-")</f>
        <v>101.32990988330461</v>
      </c>
      <c r="G289" s="17" t="s">
        <v>383</v>
      </c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2" customHeight="1" x14ac:dyDescent="0.2"/>
    <row r="291" spans="1:26" ht="9.75" customHeight="1" x14ac:dyDescent="0.2"/>
    <row r="292" spans="1:26" ht="9.75" customHeight="1" x14ac:dyDescent="0.2"/>
    <row r="293" spans="1:26" ht="9.75" customHeight="1" x14ac:dyDescent="0.2"/>
    <row r="294" spans="1:26" ht="12.75" customHeight="1" x14ac:dyDescent="0.2"/>
    <row r="295" spans="1:26" ht="12.75" customHeight="1" x14ac:dyDescent="0.2"/>
    <row r="296" spans="1:26" ht="12.75" customHeight="1" x14ac:dyDescent="0.2"/>
    <row r="297" spans="1:26" ht="12.75" customHeight="1" x14ac:dyDescent="0.2"/>
    <row r="298" spans="1:26" ht="12.75" customHeight="1" x14ac:dyDescent="0.2"/>
    <row r="299" spans="1:26" ht="12.75" customHeight="1" x14ac:dyDescent="0.2"/>
    <row r="300" spans="1:26" ht="12.75" customHeight="1" x14ac:dyDescent="0.2"/>
    <row r="301" spans="1:26" ht="12.75" customHeight="1" x14ac:dyDescent="0.2"/>
    <row r="302" spans="1:26" ht="12.75" customHeight="1" x14ac:dyDescent="0.2"/>
    <row r="303" spans="1:26" ht="12.75" customHeight="1" x14ac:dyDescent="0.2"/>
    <row r="304" spans="1:26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9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  <row r="1005" ht="12.75" customHeight="1" x14ac:dyDescent="0.2"/>
    <row r="1006" ht="12.75" customHeight="1" x14ac:dyDescent="0.2"/>
    <row r="1007" ht="12.75" customHeight="1" x14ac:dyDescent="0.2"/>
    <row r="1008" ht="12.75" customHeight="1" x14ac:dyDescent="0.2"/>
    <row r="1009" ht="12.75" customHeight="1" x14ac:dyDescent="0.2"/>
    <row r="1010" ht="12.75" customHeight="1" x14ac:dyDescent="0.2"/>
    <row r="1011" ht="12.75" customHeight="1" x14ac:dyDescent="0.2"/>
    <row r="1012" ht="12.75" customHeight="1" x14ac:dyDescent="0.2"/>
    <row r="1013" ht="12.75" customHeight="1" x14ac:dyDescent="0.2"/>
    <row r="1014" ht="12.75" customHeight="1" x14ac:dyDescent="0.2"/>
    <row r="1015" ht="12.75" customHeight="1" x14ac:dyDescent="0.2"/>
    <row r="1016" ht="12.75" customHeight="1" x14ac:dyDescent="0.2"/>
    <row r="1017" ht="12.75" customHeight="1" x14ac:dyDescent="0.2"/>
    <row r="1018" ht="12.75" customHeight="1" x14ac:dyDescent="0.2"/>
    <row r="1019" ht="12.75" customHeight="1" x14ac:dyDescent="0.2"/>
    <row r="1020" ht="12.75" customHeight="1" x14ac:dyDescent="0.2"/>
  </sheetData>
  <mergeCells count="11">
    <mergeCell ref="A176:F176"/>
    <mergeCell ref="A38:E38"/>
    <mergeCell ref="A39:D39"/>
    <mergeCell ref="A45:D45"/>
    <mergeCell ref="A46:D46"/>
    <mergeCell ref="A47:D47"/>
    <mergeCell ref="A11:F11"/>
    <mergeCell ref="A12:F12"/>
    <mergeCell ref="A14:F14"/>
    <mergeCell ref="A23:C23"/>
    <mergeCell ref="A25:D25"/>
  </mergeCells>
  <hyperlinks>
    <hyperlink ref="A26" location="Google_Sheet_Link_242342722" display="     3.1.1. Depreciação     "/>
    <hyperlink ref="A27" location="Google_Sheet_Link_639513693" display="     3.1.2. Remuneração do Capital     "/>
    <hyperlink ref="G54" r:id="rId1"/>
    <hyperlink ref="G66" r:id="rId2"/>
    <hyperlink ref="G78" r:id="rId3"/>
    <hyperlink ref="G102" r:id="rId4"/>
    <hyperlink ref="G103" r:id="rId5"/>
    <hyperlink ref="G104" r:id="rId6"/>
    <hyperlink ref="G111" r:id="rId7"/>
    <hyperlink ref="G115" r:id="rId8"/>
    <hyperlink ref="A178" location="Google_Sheet_Link_242342722" display="3.1.1. Depreciação"/>
    <hyperlink ref="A194" location="Google_Sheet_Link_639513693" display="3.1.2. Remuneração do Capital"/>
  </hyperlinks>
  <pageMargins left="0.74791666666666701" right="0.74791666666666701" top="0.51180555555555496" bottom="0.905555555555556" header="0.51180555555555496" footer="0"/>
  <pageSetup paperSize="9" firstPageNumber="0" fitToHeight="0" orientation="landscape" horizontalDpi="300" verticalDpi="300"/>
  <headerFooter>
    <oddFooter>&amp;R&amp;P de</oddFooter>
  </headerFooter>
  <drawing r:id="rId9"/>
  <legacyDrawing r:id="rId1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5"/>
  <sheetViews>
    <sheetView zoomScaleNormal="100" workbookViewId="0"/>
  </sheetViews>
  <sheetFormatPr defaultRowHeight="12.75" x14ac:dyDescent="0.2"/>
  <cols>
    <col min="1" max="1" width="46.140625" customWidth="1"/>
    <col min="2" max="2" width="16" customWidth="1"/>
    <col min="3" max="3" width="11.85546875" customWidth="1"/>
    <col min="4" max="4" width="14.7109375" customWidth="1"/>
    <col min="5" max="5" width="15.42578125" customWidth="1"/>
    <col min="6" max="6" width="13.28515625" customWidth="1"/>
    <col min="7" max="7" width="28.140625" customWidth="1"/>
    <col min="8" max="8" width="9.140625" customWidth="1"/>
    <col min="9" max="9" width="14.5703125" customWidth="1"/>
    <col min="10" max="10" width="13.42578125" customWidth="1"/>
    <col min="11" max="12" width="9.140625" customWidth="1"/>
    <col min="13" max="26" width="8.5703125" customWidth="1"/>
    <col min="27" max="1025" width="12.5703125" customWidth="1"/>
  </cols>
  <sheetData>
    <row r="1" spans="1:26" ht="12.75" customHeight="1" x14ac:dyDescent="0.2">
      <c r="A1" s="16" t="s">
        <v>169</v>
      </c>
      <c r="B1" s="15"/>
      <c r="C1" s="15"/>
      <c r="D1" s="17"/>
      <c r="E1" s="17"/>
      <c r="F1" s="17"/>
      <c r="G1" s="17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customHeight="1" x14ac:dyDescent="0.2">
      <c r="A2" s="18" t="s">
        <v>170</v>
      </c>
      <c r="B2" s="15"/>
      <c r="C2" s="15"/>
      <c r="D2" s="17"/>
      <c r="E2" s="17"/>
      <c r="F2" s="17"/>
      <c r="G2" s="17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customHeight="1" x14ac:dyDescent="0.2">
      <c r="A3" s="18" t="s">
        <v>171</v>
      </c>
      <c r="B3" s="15"/>
      <c r="C3" s="15"/>
      <c r="D3" s="17"/>
      <c r="E3" s="17"/>
      <c r="F3" s="17"/>
      <c r="G3" s="17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customHeight="1" x14ac:dyDescent="0.2">
      <c r="A4" s="18" t="s">
        <v>172</v>
      </c>
      <c r="B4" s="15"/>
      <c r="C4" s="15"/>
      <c r="D4" s="17"/>
      <c r="E4" s="17"/>
      <c r="F4" s="17"/>
      <c r="G4" s="17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5" customHeight="1" x14ac:dyDescent="0.2">
      <c r="A5" s="33" t="s">
        <v>173</v>
      </c>
      <c r="B5" s="15"/>
      <c r="C5" s="187"/>
      <c r="D5" s="187"/>
      <c r="E5" s="187"/>
      <c r="F5" s="187"/>
      <c r="G5" s="17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" customHeight="1" x14ac:dyDescent="0.2">
      <c r="A6" s="188" t="s">
        <v>174</v>
      </c>
      <c r="B6" s="187"/>
      <c r="C6" s="187"/>
      <c r="D6" s="187"/>
      <c r="E6" s="187"/>
      <c r="F6" s="187"/>
      <c r="G6" s="17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" customHeight="1" x14ac:dyDescent="0.2">
      <c r="A7" s="15"/>
      <c r="B7" s="187"/>
      <c r="C7" s="187"/>
      <c r="D7" s="187"/>
      <c r="E7" s="187"/>
      <c r="F7" s="187"/>
      <c r="G7" s="17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customHeight="1" x14ac:dyDescent="0.2">
      <c r="A8" s="18" t="s">
        <v>175</v>
      </c>
      <c r="B8" s="187"/>
      <c r="C8" s="187"/>
      <c r="D8" s="187"/>
      <c r="E8" s="187"/>
      <c r="F8" s="187"/>
      <c r="G8" s="17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5" customHeight="1" x14ac:dyDescent="0.2">
      <c r="A9" s="18" t="s">
        <v>176</v>
      </c>
      <c r="B9" s="187"/>
      <c r="C9" s="187"/>
      <c r="D9" s="187"/>
      <c r="E9" s="187"/>
      <c r="F9" s="187"/>
      <c r="G9" s="17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customHeight="1" x14ac:dyDescent="0.2">
      <c r="A10" s="15"/>
      <c r="B10" s="187"/>
      <c r="C10" s="187"/>
      <c r="D10" s="17"/>
      <c r="E10" s="17"/>
      <c r="F10" s="17"/>
      <c r="G10" s="17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 x14ac:dyDescent="0.2">
      <c r="A11" s="508" t="s">
        <v>403</v>
      </c>
      <c r="B11" s="508"/>
      <c r="C11" s="508"/>
      <c r="D11" s="508"/>
      <c r="E11" s="508"/>
      <c r="F11" s="508"/>
      <c r="G11" s="189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21.75" customHeight="1" x14ac:dyDescent="0.2">
      <c r="A12" s="509" t="s">
        <v>178</v>
      </c>
      <c r="B12" s="509"/>
      <c r="C12" s="509"/>
      <c r="D12" s="509"/>
      <c r="E12" s="509"/>
      <c r="F12" s="509"/>
      <c r="G12" s="189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10.5" customHeight="1" x14ac:dyDescent="0.2">
      <c r="A13" s="190"/>
      <c r="B13" s="187"/>
      <c r="C13" s="187"/>
      <c r="D13" s="17"/>
      <c r="E13" s="17"/>
      <c r="F13" s="191"/>
      <c r="G13" s="17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75" customHeight="1" x14ac:dyDescent="0.2">
      <c r="A14" s="510" t="s">
        <v>179</v>
      </c>
      <c r="B14" s="510"/>
      <c r="C14" s="510"/>
      <c r="D14" s="510"/>
      <c r="E14" s="510"/>
      <c r="F14" s="510"/>
      <c r="G14" s="17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75" customHeight="1" x14ac:dyDescent="0.2">
      <c r="A15" s="192" t="s">
        <v>180</v>
      </c>
      <c r="B15" s="193"/>
      <c r="C15" s="193"/>
      <c r="D15" s="194"/>
      <c r="E15" s="195" t="s">
        <v>181</v>
      </c>
      <c r="F15" s="196" t="s">
        <v>182</v>
      </c>
      <c r="G15" s="17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75" customHeight="1" x14ac:dyDescent="0.2">
      <c r="A16" s="197" t="str">
        <f>A61</f>
        <v>1. Mão-de-obra</v>
      </c>
      <c r="B16" s="198"/>
      <c r="C16" s="198"/>
      <c r="D16" s="198"/>
      <c r="E16" s="199">
        <f>+F137</f>
        <v>34104.450207240421</v>
      </c>
      <c r="F16" s="200">
        <f t="shared" ref="F16:F40" si="0">IFERROR(E16/$E$41,0)</f>
        <v>0.6071278760054688</v>
      </c>
      <c r="G16" s="45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26" ht="15.75" customHeight="1" x14ac:dyDescent="0.2">
      <c r="A17" s="201" t="str">
        <f>A63</f>
        <v>1.1. Encarregado Geral</v>
      </c>
      <c r="B17" s="202"/>
      <c r="C17" s="202"/>
      <c r="D17" s="202"/>
      <c r="E17" s="203">
        <f>F71</f>
        <v>9567.1557076794015</v>
      </c>
      <c r="F17" s="204">
        <f t="shared" si="0"/>
        <v>0.17031463310274514</v>
      </c>
      <c r="G17" s="17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5.75" customHeight="1" x14ac:dyDescent="0.2">
      <c r="A18" s="201" t="str">
        <f>A73</f>
        <v>1.2. Gerente Geral</v>
      </c>
      <c r="B18" s="202"/>
      <c r="C18" s="202"/>
      <c r="D18" s="202"/>
      <c r="E18" s="203">
        <f>F81</f>
        <v>10789.3290030636</v>
      </c>
      <c r="F18" s="204">
        <f t="shared" si="0"/>
        <v>0.19207177835587932</v>
      </c>
      <c r="G18" s="17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5.75" customHeight="1" x14ac:dyDescent="0.2">
      <c r="A19" s="201" t="str">
        <f>A83</f>
        <v>1.3. Técnico de Segurança do Trabalho</v>
      </c>
      <c r="B19" s="202"/>
      <c r="C19" s="202"/>
      <c r="D19" s="202"/>
      <c r="E19" s="203">
        <f>F91</f>
        <v>6577.1134834679997</v>
      </c>
      <c r="F19" s="204">
        <f t="shared" si="0"/>
        <v>0.11708586167494076</v>
      </c>
      <c r="G19" s="17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5.75" customHeight="1" x14ac:dyDescent="0.2">
      <c r="A20" s="201" t="str">
        <f>A93</f>
        <v>1.4. Responsável Técnico (Engenheiro/ 20 horas semanais)</v>
      </c>
      <c r="B20" s="202"/>
      <c r="C20" s="202"/>
      <c r="D20" s="202"/>
      <c r="E20" s="203">
        <f>F101</f>
        <v>4296.9970421762737</v>
      </c>
      <c r="F20" s="204">
        <f t="shared" si="0"/>
        <v>7.6495198473083878E-2</v>
      </c>
      <c r="G20" s="17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customHeight="1" x14ac:dyDescent="0.2">
      <c r="A21" s="201" t="str">
        <f>A103</f>
        <v>1.5. Vale Transporte Gerente Geral, Técnico de Segurança do Trabalho e Engenheiro</v>
      </c>
      <c r="B21" s="202"/>
      <c r="C21" s="202"/>
      <c r="D21" s="202"/>
      <c r="E21" s="203">
        <f>F110</f>
        <v>322.34230162237759</v>
      </c>
      <c r="F21" s="204">
        <f t="shared" si="0"/>
        <v>5.7383419389989247E-3</v>
      </c>
      <c r="G21" s="17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5.75" customHeight="1" x14ac:dyDescent="0.2">
      <c r="A22" s="201" t="str">
        <f>A119</f>
        <v>1.7. Vale-refeição (diário)</v>
      </c>
      <c r="B22" s="202"/>
      <c r="C22" s="202"/>
      <c r="D22" s="202"/>
      <c r="E22" s="203">
        <f>F123</f>
        <v>1253.2439999999999</v>
      </c>
      <c r="F22" s="204">
        <f t="shared" si="0"/>
        <v>2.2310266349787451E-2</v>
      </c>
      <c r="G22" s="17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5.75" customHeight="1" x14ac:dyDescent="0.2">
      <c r="A23" s="201" t="str">
        <f>A130</f>
        <v>1.9. Plano de Benefício Familiar (mensal)</v>
      </c>
      <c r="B23" s="202"/>
      <c r="C23" s="202"/>
      <c r="D23" s="202"/>
      <c r="E23" s="203">
        <f>F135</f>
        <v>0</v>
      </c>
      <c r="F23" s="204">
        <f t="shared" si="0"/>
        <v>0</v>
      </c>
      <c r="G23" s="17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 x14ac:dyDescent="0.2">
      <c r="A24" s="511" t="str">
        <f>A139</f>
        <v>2. Uniformes e Equipamentos de Proteção Individual</v>
      </c>
      <c r="B24" s="511"/>
      <c r="C24" s="511"/>
      <c r="D24" s="198"/>
      <c r="E24" s="199">
        <f>+F197</f>
        <v>133.00030303030303</v>
      </c>
      <c r="F24" s="200">
        <f t="shared" si="0"/>
        <v>2.3676731627747701E-3</v>
      </c>
      <c r="G24" s="45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spans="1:26" ht="15.75" customHeight="1" x14ac:dyDescent="0.2">
      <c r="A25" s="205" t="str">
        <f>A199</f>
        <v>3. Veículos e Equipamentos</v>
      </c>
      <c r="B25" s="206"/>
      <c r="C25" s="198"/>
      <c r="D25" s="198"/>
      <c r="E25" s="199">
        <f>+F314</f>
        <v>10277.504481580001</v>
      </c>
      <c r="F25" s="200">
        <f t="shared" si="0"/>
        <v>0.18296027141975868</v>
      </c>
      <c r="G25" s="45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spans="1:26" ht="15.75" customHeight="1" x14ac:dyDescent="0.2">
      <c r="A26" s="512" t="str">
        <f>A201</f>
        <v>3.1. Veículo Tipo Passeio 1.0, a Gasolina – 5 passageiros</v>
      </c>
      <c r="B26" s="512"/>
      <c r="C26" s="512"/>
      <c r="D26" s="512"/>
      <c r="E26" s="203">
        <f>SUM(E27:E32)</f>
        <v>4510.14347748</v>
      </c>
      <c r="F26" s="204">
        <f t="shared" si="0"/>
        <v>8.0289634148127106E-2</v>
      </c>
      <c r="G26" s="1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 x14ac:dyDescent="0.2">
      <c r="A27" s="207" t="s">
        <v>183</v>
      </c>
      <c r="B27" s="208"/>
      <c r="C27" s="202"/>
      <c r="D27" s="202"/>
      <c r="E27" s="203">
        <f>F212</f>
        <v>609.60320000000002</v>
      </c>
      <c r="F27" s="204">
        <f t="shared" si="0"/>
        <v>1.0852164271030024E-2</v>
      </c>
      <c r="G27" s="17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 x14ac:dyDescent="0.2">
      <c r="A28" s="207" t="s">
        <v>184</v>
      </c>
      <c r="B28" s="208"/>
      <c r="C28" s="202"/>
      <c r="D28" s="202"/>
      <c r="E28" s="203">
        <f>F223</f>
        <v>606.33183799999995</v>
      </c>
      <c r="F28" s="204">
        <f t="shared" si="0"/>
        <v>1.0793927441213503E-2</v>
      </c>
      <c r="G28" s="17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customHeight="1" x14ac:dyDescent="0.2">
      <c r="A29" s="209" t="str">
        <f>A225</f>
        <v>3.1.3. Impostos e Seguros - Caminhão</v>
      </c>
      <c r="B29" s="208"/>
      <c r="C29" s="202"/>
      <c r="D29" s="202"/>
      <c r="E29" s="203">
        <f>F231</f>
        <v>106.29</v>
      </c>
      <c r="F29" s="204">
        <f t="shared" si="0"/>
        <v>1.8921759931177875E-3</v>
      </c>
      <c r="G29" s="17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customHeight="1" x14ac:dyDescent="0.2">
      <c r="A30" s="209" t="str">
        <f>A233</f>
        <v>3.1.4. Consumos</v>
      </c>
      <c r="B30" s="208"/>
      <c r="C30" s="202"/>
      <c r="D30" s="202"/>
      <c r="E30" s="203">
        <f>F241</f>
        <v>2505.8424394799999</v>
      </c>
      <c r="F30" s="204">
        <f t="shared" si="0"/>
        <v>4.4609040422615182E-2</v>
      </c>
      <c r="G30" s="17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.75" customHeight="1" x14ac:dyDescent="0.2">
      <c r="A31" s="209" t="str">
        <f>A243</f>
        <v>3.1.5. Manutenção</v>
      </c>
      <c r="B31" s="208"/>
      <c r="C31" s="202"/>
      <c r="D31" s="202"/>
      <c r="E31" s="203">
        <f>F246</f>
        <v>656.9</v>
      </c>
      <c r="F31" s="204">
        <f t="shared" si="0"/>
        <v>1.1694142533437524E-2</v>
      </c>
      <c r="G31" s="17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.75" customHeight="1" x14ac:dyDescent="0.2">
      <c r="A32" s="209" t="str">
        <f>A248</f>
        <v>3.1.6. Pneus</v>
      </c>
      <c r="B32" s="208"/>
      <c r="C32" s="202"/>
      <c r="D32" s="202"/>
      <c r="E32" s="203">
        <f>F255</f>
        <v>25.175999999999998</v>
      </c>
      <c r="F32" s="204">
        <f t="shared" si="0"/>
        <v>4.481834867130813E-4</v>
      </c>
      <c r="G32" s="17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2.75" customHeight="1" x14ac:dyDescent="0.2">
      <c r="A33" s="512" t="str">
        <f>A257</f>
        <v>3.2 Picape Utilitária, cabine Simples 1.6</v>
      </c>
      <c r="B33" s="512"/>
      <c r="C33" s="512"/>
      <c r="D33" s="512"/>
      <c r="E33" s="203">
        <f>SUM(E34:E39)</f>
        <v>5767.3610041000002</v>
      </c>
      <c r="F33" s="204">
        <f t="shared" si="0"/>
        <v>0.10267063727163155</v>
      </c>
      <c r="G33" s="17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.75" customHeight="1" x14ac:dyDescent="0.2">
      <c r="A34" s="207" t="s">
        <v>185</v>
      </c>
      <c r="B34" s="208"/>
      <c r="C34" s="202"/>
      <c r="D34" s="202"/>
      <c r="E34" s="203">
        <f>F268</f>
        <v>835.73824000000013</v>
      </c>
      <c r="F34" s="204">
        <f t="shared" si="0"/>
        <v>1.4877823259558868E-2</v>
      </c>
      <c r="G34" s="17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">
      <c r="A35" s="207" t="s">
        <v>186</v>
      </c>
      <c r="B35" s="208"/>
      <c r="C35" s="202"/>
      <c r="D35" s="202"/>
      <c r="E35" s="203">
        <f>F279</f>
        <v>831.25335159999997</v>
      </c>
      <c r="F35" s="204">
        <f t="shared" si="0"/>
        <v>1.47979832166358E-2</v>
      </c>
      <c r="G35" s="17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.75" customHeight="1" x14ac:dyDescent="0.2">
      <c r="A36" s="209" t="str">
        <f>A281</f>
        <v>3.2.3. Impostos e Seguros</v>
      </c>
      <c r="B36" s="208"/>
      <c r="C36" s="202"/>
      <c r="D36" s="202"/>
      <c r="E36" s="203">
        <f>F287</f>
        <v>124.91000000000001</v>
      </c>
      <c r="F36" s="204">
        <f t="shared" si="0"/>
        <v>2.2236494806693275E-3</v>
      </c>
      <c r="G36" s="17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 x14ac:dyDescent="0.2">
      <c r="A37" s="209" t="str">
        <f>A289</f>
        <v>3.2.4. Consumos</v>
      </c>
      <c r="B37" s="208"/>
      <c r="C37" s="202"/>
      <c r="D37" s="202"/>
      <c r="E37" s="203">
        <f>F297</f>
        <v>3051.2769125000004</v>
      </c>
      <c r="F37" s="204">
        <f t="shared" si="0"/>
        <v>5.431887216282872E-2</v>
      </c>
      <c r="G37" s="17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.75" customHeight="1" x14ac:dyDescent="0.2">
      <c r="A38" s="209" t="str">
        <f>A299</f>
        <v>3.2.5. Manutenção</v>
      </c>
      <c r="B38" s="208"/>
      <c r="C38" s="202"/>
      <c r="D38" s="202"/>
      <c r="E38" s="203">
        <f>F302</f>
        <v>900.58</v>
      </c>
      <c r="F38" s="204">
        <f t="shared" si="0"/>
        <v>1.603213713314533E-2</v>
      </c>
      <c r="G38" s="17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.75" customHeight="1" x14ac:dyDescent="0.2">
      <c r="A39" s="209" t="str">
        <f>A304</f>
        <v>3.2.6. Pneus</v>
      </c>
      <c r="B39" s="208"/>
      <c r="C39" s="202"/>
      <c r="D39" s="202"/>
      <c r="E39" s="203">
        <f>F311</f>
        <v>23.602499999999999</v>
      </c>
      <c r="F39" s="204">
        <f t="shared" si="0"/>
        <v>4.2017201879351374E-4</v>
      </c>
      <c r="G39" s="17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.75" customHeight="1" x14ac:dyDescent="0.2">
      <c r="A40" s="205" t="str">
        <f>A319</f>
        <v>4. Benefícios e Despesas Indiretas - BDI</v>
      </c>
      <c r="B40" s="206"/>
      <c r="C40" s="198"/>
      <c r="D40" s="198"/>
      <c r="E40" s="212">
        <f>+F325</f>
        <v>11658.466712365705</v>
      </c>
      <c r="F40" s="200">
        <f t="shared" si="0"/>
        <v>0.20754417941199779</v>
      </c>
      <c r="G40" s="45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</row>
    <row r="41" spans="1:26" ht="15.75" customHeight="1" x14ac:dyDescent="0.2">
      <c r="A41" s="213" t="s">
        <v>193</v>
      </c>
      <c r="B41" s="214"/>
      <c r="C41" s="215"/>
      <c r="D41" s="215"/>
      <c r="E41" s="216">
        <f>E16+E24+E25+E40</f>
        <v>56173.421704216431</v>
      </c>
      <c r="F41" s="359">
        <f>F16+F24+F25+F40</f>
        <v>1</v>
      </c>
      <c r="G41" s="17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 x14ac:dyDescent="0.2">
      <c r="A42" s="15"/>
      <c r="B42" s="15"/>
      <c r="C42" s="15"/>
      <c r="D42" s="17"/>
      <c r="E42" s="17"/>
      <c r="F42" s="17"/>
      <c r="G42" s="17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 x14ac:dyDescent="0.2">
      <c r="A43" s="15"/>
      <c r="B43" s="15"/>
      <c r="C43" s="15"/>
      <c r="D43" s="17"/>
      <c r="E43" s="17"/>
      <c r="F43" s="17"/>
      <c r="G43" s="17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" customHeight="1" x14ac:dyDescent="0.2">
      <c r="A44" s="510" t="s">
        <v>194</v>
      </c>
      <c r="B44" s="510"/>
      <c r="C44" s="510"/>
      <c r="D44" s="510"/>
      <c r="E44" s="510"/>
      <c r="F44" s="17"/>
      <c r="G44" s="17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" customHeight="1" x14ac:dyDescent="0.2">
      <c r="A45" s="513" t="s">
        <v>195</v>
      </c>
      <c r="B45" s="513"/>
      <c r="C45" s="513"/>
      <c r="D45" s="513"/>
      <c r="E45" s="218" t="s">
        <v>50</v>
      </c>
      <c r="F45" s="17"/>
      <c r="G45" s="17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5" customHeight="1" x14ac:dyDescent="0.2">
      <c r="A46" s="219" t="str">
        <f>+A63</f>
        <v>1.1. Encarregado Geral</v>
      </c>
      <c r="B46" s="193"/>
      <c r="C46" s="193"/>
      <c r="D46" s="220"/>
      <c r="E46" s="221">
        <f>C70</f>
        <v>1</v>
      </c>
      <c r="F46" s="17"/>
      <c r="G46" s="17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" customHeight="1" x14ac:dyDescent="0.2">
      <c r="A47" s="222" t="str">
        <f>A73</f>
        <v>1.2. Gerente Geral</v>
      </c>
      <c r="B47" s="223"/>
      <c r="C47" s="223"/>
      <c r="D47" s="224"/>
      <c r="E47" s="225">
        <f>C80</f>
        <v>1</v>
      </c>
      <c r="F47" s="17"/>
      <c r="G47" s="17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5" customHeight="1" x14ac:dyDescent="0.2">
      <c r="A48" s="222" t="str">
        <f>A83</f>
        <v>1.3. Técnico de Segurança do Trabalho</v>
      </c>
      <c r="B48" s="223"/>
      <c r="C48" s="223"/>
      <c r="D48" s="224"/>
      <c r="E48" s="225">
        <f>C90</f>
        <v>1</v>
      </c>
      <c r="F48" s="17"/>
      <c r="G48" s="17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5" customHeight="1" x14ac:dyDescent="0.2">
      <c r="A49" s="222" t="str">
        <f>A93</f>
        <v>1.4. Responsável Técnico (Engenheiro/ 20 horas semanais)</v>
      </c>
      <c r="B49" s="223"/>
      <c r="C49" s="223"/>
      <c r="D49" s="224"/>
      <c r="E49" s="225">
        <f>C100</f>
        <v>1</v>
      </c>
      <c r="F49" s="17"/>
      <c r="G49" s="17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5" customHeight="1" x14ac:dyDescent="0.2">
      <c r="A50" s="360" t="e">
        <f>#REF!</f>
        <v>#REF!</v>
      </c>
      <c r="B50" s="202"/>
      <c r="C50" s="202"/>
      <c r="D50" s="353"/>
      <c r="E50" s="283">
        <v>1</v>
      </c>
      <c r="F50" s="17"/>
      <c r="G50" s="17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5" customHeight="1" x14ac:dyDescent="0.2">
      <c r="A51" s="226" t="s">
        <v>196</v>
      </c>
      <c r="B51" s="227"/>
      <c r="C51" s="227"/>
      <c r="D51" s="228"/>
      <c r="E51" s="229">
        <f>SUM(E46:E50)</f>
        <v>5</v>
      </c>
      <c r="F51" s="17"/>
      <c r="G51" s="17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" customHeight="1" x14ac:dyDescent="0.2">
      <c r="A52" s="230"/>
      <c r="B52" s="113"/>
      <c r="C52" s="17"/>
      <c r="D52" s="17"/>
      <c r="E52" s="17"/>
      <c r="F52" s="17"/>
      <c r="G52" s="17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5" customHeight="1" x14ac:dyDescent="0.2">
      <c r="A53" s="514" t="s">
        <v>197</v>
      </c>
      <c r="B53" s="514"/>
      <c r="C53" s="514"/>
      <c r="D53" s="514"/>
      <c r="E53" s="218" t="s">
        <v>50</v>
      </c>
      <c r="F53" s="15"/>
      <c r="G53" s="17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customHeight="1" x14ac:dyDescent="0.2">
      <c r="A54" s="512" t="str">
        <f>+A201</f>
        <v>3.1. Veículo Tipo Passeio 1.0, a Gasolina – 5 passageiros</v>
      </c>
      <c r="B54" s="512"/>
      <c r="C54" s="512"/>
      <c r="D54" s="512"/>
      <c r="E54" s="231">
        <f>C211</f>
        <v>1</v>
      </c>
      <c r="F54" s="15"/>
      <c r="G54" s="17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customHeight="1" x14ac:dyDescent="0.2">
      <c r="A55" s="512" t="str">
        <f>A257</f>
        <v>3.2 Picape Utilitária, cabine Simples 1.6</v>
      </c>
      <c r="B55" s="512"/>
      <c r="C55" s="512"/>
      <c r="D55" s="512"/>
      <c r="E55" s="231">
        <f>C267</f>
        <v>1</v>
      </c>
      <c r="F55" s="15"/>
      <c r="G55" s="17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5" customHeight="1" x14ac:dyDescent="0.2">
      <c r="A56" s="515" t="s">
        <v>198</v>
      </c>
      <c r="B56" s="515"/>
      <c r="C56" s="515"/>
      <c r="D56" s="515"/>
      <c r="E56" s="239">
        <f>SUM(E54:E55)</f>
        <v>2</v>
      </c>
      <c r="F56" s="15"/>
      <c r="G56" s="17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5" customHeight="1" x14ac:dyDescent="0.2">
      <c r="A57" s="17"/>
      <c r="B57" s="17"/>
      <c r="C57" s="17"/>
      <c r="D57" s="15"/>
      <c r="E57" s="112"/>
      <c r="F57" s="15"/>
      <c r="G57" s="17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28.5" customHeight="1" x14ac:dyDescent="0.2">
      <c r="A58" s="361" t="s">
        <v>404</v>
      </c>
      <c r="B58" s="241">
        <v>1</v>
      </c>
      <c r="C58" s="45"/>
      <c r="D58" s="40"/>
      <c r="E58" s="242"/>
      <c r="F58" s="40"/>
      <c r="G58" s="45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</row>
    <row r="59" spans="1:26" ht="28.5" customHeight="1" x14ac:dyDescent="0.2">
      <c r="A59" s="361" t="s">
        <v>405</v>
      </c>
      <c r="B59" s="241">
        <f>20/44</f>
        <v>0.45454545454545453</v>
      </c>
      <c r="C59" s="17"/>
      <c r="D59" s="15"/>
      <c r="E59" s="147"/>
      <c r="F59" s="15"/>
      <c r="G59" s="17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5.75" customHeight="1" x14ac:dyDescent="0.2">
      <c r="A60" s="17"/>
      <c r="B60" s="17"/>
      <c r="C60" s="17"/>
      <c r="D60" s="15"/>
      <c r="E60" s="147"/>
      <c r="F60" s="15"/>
      <c r="G60" s="17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customHeight="1" x14ac:dyDescent="0.2">
      <c r="A61" s="40" t="s">
        <v>200</v>
      </c>
      <c r="B61" s="15"/>
      <c r="C61" s="15"/>
      <c r="D61" s="17"/>
      <c r="E61" s="17"/>
      <c r="F61" s="17"/>
      <c r="G61" s="17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1.25" customHeight="1" x14ac:dyDescent="0.2">
      <c r="A62" s="15"/>
      <c r="B62" s="15"/>
      <c r="C62" s="15"/>
      <c r="D62" s="17"/>
      <c r="E62" s="17"/>
      <c r="F62" s="17"/>
      <c r="G62" s="17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3.5" customHeight="1" x14ac:dyDescent="0.2">
      <c r="A63" s="15" t="s">
        <v>406</v>
      </c>
      <c r="B63" s="15"/>
      <c r="C63" s="15"/>
      <c r="D63" s="17"/>
      <c r="E63" s="17"/>
      <c r="F63" s="17"/>
      <c r="G63" s="17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3.5" customHeight="1" x14ac:dyDescent="0.2">
      <c r="A64" s="243" t="s">
        <v>202</v>
      </c>
      <c r="B64" s="244" t="s">
        <v>95</v>
      </c>
      <c r="C64" s="244" t="s">
        <v>50</v>
      </c>
      <c r="D64" s="245" t="s">
        <v>203</v>
      </c>
      <c r="E64" s="245" t="s">
        <v>204</v>
      </c>
      <c r="F64" s="246" t="s">
        <v>205</v>
      </c>
      <c r="G64" s="17" t="s">
        <v>407</v>
      </c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 x14ac:dyDescent="0.2">
      <c r="A65" s="247" t="s">
        <v>207</v>
      </c>
      <c r="B65" s="248" t="s">
        <v>208</v>
      </c>
      <c r="C65" s="248">
        <v>1</v>
      </c>
      <c r="D65" s="249">
        <f>5587.46</f>
        <v>5587.46</v>
      </c>
      <c r="E65" s="250">
        <f>C65*D65</f>
        <v>5587.46</v>
      </c>
      <c r="F65" s="17"/>
      <c r="G65" s="17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 x14ac:dyDescent="0.2">
      <c r="A66" s="251" t="s">
        <v>210</v>
      </c>
      <c r="B66" s="252" t="s">
        <v>182</v>
      </c>
      <c r="C66" s="252">
        <v>0</v>
      </c>
      <c r="D66" s="253">
        <f>SUM(E65)</f>
        <v>5587.46</v>
      </c>
      <c r="E66" s="253">
        <f>C66*D66/100</f>
        <v>0</v>
      </c>
      <c r="F66" s="17"/>
      <c r="G66" s="17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 x14ac:dyDescent="0.2">
      <c r="A67" s="254" t="s">
        <v>212</v>
      </c>
      <c r="B67" s="135"/>
      <c r="C67" s="135"/>
      <c r="D67" s="39"/>
      <c r="E67" s="255">
        <f>SUM(E65:E66)</f>
        <v>5587.46</v>
      </c>
      <c r="F67" s="17"/>
      <c r="G67" s="17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 x14ac:dyDescent="0.2">
      <c r="A68" s="251" t="s">
        <v>213</v>
      </c>
      <c r="B68" s="252" t="s">
        <v>182</v>
      </c>
      <c r="C68" s="256">
        <f>'4.Encargos Sociais'!$C$37*100</f>
        <v>71.22548900000001</v>
      </c>
      <c r="D68" s="253">
        <f>E67</f>
        <v>5587.46</v>
      </c>
      <c r="E68" s="253">
        <f>D68*C68/100</f>
        <v>3979.6957076794006</v>
      </c>
      <c r="F68" s="17"/>
      <c r="G68" s="17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2.75" customHeight="1" x14ac:dyDescent="0.2">
      <c r="A69" s="254" t="s">
        <v>408</v>
      </c>
      <c r="B69" s="135"/>
      <c r="C69" s="135"/>
      <c r="D69" s="39"/>
      <c r="E69" s="255">
        <f>E67+E68</f>
        <v>9567.1557076794015</v>
      </c>
      <c r="F69" s="17"/>
      <c r="G69" s="17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 x14ac:dyDescent="0.2">
      <c r="A70" s="251" t="s">
        <v>215</v>
      </c>
      <c r="B70" s="252" t="s">
        <v>216</v>
      </c>
      <c r="C70" s="257">
        <v>1</v>
      </c>
      <c r="D70" s="253">
        <f>E69</f>
        <v>9567.1557076794015</v>
      </c>
      <c r="E70" s="253">
        <f>C70*D70</f>
        <v>9567.1557076794015</v>
      </c>
      <c r="F70" s="17"/>
      <c r="G70" s="17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3.5" customHeight="1" x14ac:dyDescent="0.2">
      <c r="A71" s="15"/>
      <c r="B71" s="15"/>
      <c r="C71" s="15"/>
      <c r="D71" s="258" t="s">
        <v>217</v>
      </c>
      <c r="E71" s="259">
        <f>$B$58</f>
        <v>1</v>
      </c>
      <c r="F71" s="260">
        <f>E70*E71</f>
        <v>9567.1557076794015</v>
      </c>
      <c r="G71" s="17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1.25" customHeight="1" x14ac:dyDescent="0.2">
      <c r="A72" s="15"/>
      <c r="B72" s="15"/>
      <c r="C72" s="15"/>
      <c r="D72" s="17"/>
      <c r="E72" s="17"/>
      <c r="F72" s="17"/>
      <c r="G72" s="4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1.25" customHeight="1" x14ac:dyDescent="0.2">
      <c r="A73" s="15" t="s">
        <v>409</v>
      </c>
      <c r="B73" s="15"/>
      <c r="C73" s="15"/>
      <c r="D73" s="17"/>
      <c r="E73" s="17"/>
      <c r="F73" s="17"/>
      <c r="G73" s="17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1.25" customHeight="1" x14ac:dyDescent="0.2">
      <c r="A74" s="243" t="s">
        <v>202</v>
      </c>
      <c r="B74" s="244" t="s">
        <v>95</v>
      </c>
      <c r="C74" s="244" t="s">
        <v>50</v>
      </c>
      <c r="D74" s="245" t="s">
        <v>203</v>
      </c>
      <c r="E74" s="245" t="s">
        <v>204</v>
      </c>
      <c r="F74" s="246" t="s">
        <v>205</v>
      </c>
      <c r="G74" s="48" t="s">
        <v>410</v>
      </c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1.25" customHeight="1" x14ac:dyDescent="0.2">
      <c r="A75" s="247" t="s">
        <v>207</v>
      </c>
      <c r="B75" s="248" t="s">
        <v>208</v>
      </c>
      <c r="C75" s="248">
        <v>1</v>
      </c>
      <c r="D75" s="249">
        <v>6301.24</v>
      </c>
      <c r="E75" s="250">
        <f>C75*D75</f>
        <v>6301.24</v>
      </c>
      <c r="F75" s="17"/>
      <c r="G75" s="17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1.25" customHeight="1" x14ac:dyDescent="0.2">
      <c r="A76" s="251" t="s">
        <v>210</v>
      </c>
      <c r="B76" s="252" t="s">
        <v>182</v>
      </c>
      <c r="C76" s="252">
        <v>0</v>
      </c>
      <c r="D76" s="253">
        <f>SUM(E75)</f>
        <v>6301.24</v>
      </c>
      <c r="E76" s="253">
        <f>C76*D76/100</f>
        <v>0</v>
      </c>
      <c r="F76" s="17"/>
      <c r="G76" s="17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1.25" customHeight="1" x14ac:dyDescent="0.2">
      <c r="A77" s="254" t="s">
        <v>212</v>
      </c>
      <c r="B77" s="135"/>
      <c r="C77" s="135"/>
      <c r="D77" s="39"/>
      <c r="E77" s="255">
        <f>SUM(E75:E76)</f>
        <v>6301.24</v>
      </c>
      <c r="F77" s="17"/>
      <c r="G77" s="17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1.25" customHeight="1" x14ac:dyDescent="0.2">
      <c r="A78" s="251" t="s">
        <v>213</v>
      </c>
      <c r="B78" s="252" t="s">
        <v>182</v>
      </c>
      <c r="C78" s="256">
        <f>'4.Encargos Sociais'!$C$37*100</f>
        <v>71.22548900000001</v>
      </c>
      <c r="D78" s="253">
        <f>E77</f>
        <v>6301.24</v>
      </c>
      <c r="E78" s="253">
        <f>D78*C78/100</f>
        <v>4488.0890030636001</v>
      </c>
      <c r="F78" s="17"/>
      <c r="G78" s="17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1.25" customHeight="1" x14ac:dyDescent="0.2">
      <c r="A79" s="254" t="s">
        <v>411</v>
      </c>
      <c r="B79" s="135"/>
      <c r="C79" s="135"/>
      <c r="D79" s="39"/>
      <c r="E79" s="255">
        <f>E77+E78</f>
        <v>10789.3290030636</v>
      </c>
      <c r="F79" s="17"/>
      <c r="G79" s="17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1.25" customHeight="1" x14ac:dyDescent="0.2">
      <c r="A80" s="251" t="s">
        <v>215</v>
      </c>
      <c r="B80" s="252" t="s">
        <v>216</v>
      </c>
      <c r="C80" s="257">
        <v>1</v>
      </c>
      <c r="D80" s="253">
        <f>E79</f>
        <v>10789.3290030636</v>
      </c>
      <c r="E80" s="253">
        <f>C80*D80</f>
        <v>10789.3290030636</v>
      </c>
      <c r="F80" s="17"/>
      <c r="G80" s="17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1.25" customHeight="1" x14ac:dyDescent="0.2">
      <c r="A81" s="15"/>
      <c r="B81" s="15"/>
      <c r="C81" s="15"/>
      <c r="D81" s="258" t="s">
        <v>217</v>
      </c>
      <c r="E81" s="259">
        <f>$B$58</f>
        <v>1</v>
      </c>
      <c r="F81" s="260">
        <f>E80*E81</f>
        <v>10789.3290030636</v>
      </c>
      <c r="G81" s="17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1.25" customHeight="1" x14ac:dyDescent="0.2">
      <c r="A82" s="15"/>
      <c r="B82" s="15"/>
      <c r="C82" s="15"/>
      <c r="D82" s="17"/>
      <c r="E82" s="17"/>
      <c r="F82" s="17"/>
      <c r="G82" s="17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 x14ac:dyDescent="0.2">
      <c r="A83" s="15" t="s">
        <v>412</v>
      </c>
      <c r="B83" s="15"/>
      <c r="C83" s="15"/>
      <c r="D83" s="17"/>
      <c r="E83" s="17"/>
      <c r="F83" s="17"/>
      <c r="G83" s="17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 x14ac:dyDescent="0.2">
      <c r="A84" s="243" t="s">
        <v>202</v>
      </c>
      <c r="B84" s="244" t="s">
        <v>95</v>
      </c>
      <c r="C84" s="244" t="s">
        <v>50</v>
      </c>
      <c r="D84" s="245" t="s">
        <v>203</v>
      </c>
      <c r="E84" s="245" t="s">
        <v>204</v>
      </c>
      <c r="F84" s="246" t="s">
        <v>205</v>
      </c>
      <c r="G84" s="48" t="s">
        <v>413</v>
      </c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  <c r="V84" s="148"/>
      <c r="W84" s="148"/>
      <c r="X84" s="148"/>
      <c r="Y84" s="148"/>
      <c r="Z84" s="148"/>
    </row>
    <row r="85" spans="1:26" ht="12.75" customHeight="1" x14ac:dyDescent="0.2">
      <c r="A85" s="247" t="s">
        <v>207</v>
      </c>
      <c r="B85" s="248" t="s">
        <v>208</v>
      </c>
      <c r="C85" s="248">
        <v>1</v>
      </c>
      <c r="D85" s="249">
        <v>3841.2</v>
      </c>
      <c r="E85" s="250">
        <f>C85*D85</f>
        <v>3841.2</v>
      </c>
      <c r="F85" s="17"/>
      <c r="G85" s="17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 x14ac:dyDescent="0.2">
      <c r="A86" s="251" t="s">
        <v>210</v>
      </c>
      <c r="B86" s="252" t="s">
        <v>182</v>
      </c>
      <c r="C86" s="252">
        <v>0</v>
      </c>
      <c r="D86" s="253">
        <f>SUM(E85)</f>
        <v>3841.2</v>
      </c>
      <c r="E86" s="253">
        <f>C86*D86/100</f>
        <v>0</v>
      </c>
      <c r="F86" s="17"/>
      <c r="G86" s="17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 x14ac:dyDescent="0.2">
      <c r="A87" s="254" t="s">
        <v>212</v>
      </c>
      <c r="B87" s="135"/>
      <c r="C87" s="135"/>
      <c r="D87" s="39"/>
      <c r="E87" s="255">
        <f>SUM(E85:E86)</f>
        <v>3841.2</v>
      </c>
      <c r="F87" s="45"/>
      <c r="G87" s="45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spans="1:26" ht="12.75" customHeight="1" x14ac:dyDescent="0.2">
      <c r="A88" s="251" t="s">
        <v>213</v>
      </c>
      <c r="B88" s="252" t="s">
        <v>182</v>
      </c>
      <c r="C88" s="256">
        <f>'4.Encargos Sociais'!$C$37*100</f>
        <v>71.22548900000001</v>
      </c>
      <c r="D88" s="253">
        <f>E87</f>
        <v>3841.2</v>
      </c>
      <c r="E88" s="253">
        <f>D88*C88/100</f>
        <v>2735.9134834680003</v>
      </c>
      <c r="F88" s="17"/>
      <c r="G88" s="17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 x14ac:dyDescent="0.2">
      <c r="A89" s="254" t="s">
        <v>414</v>
      </c>
      <c r="B89" s="135"/>
      <c r="C89" s="135"/>
      <c r="D89" s="39"/>
      <c r="E89" s="255">
        <f>E87+E88</f>
        <v>6577.1134834679997</v>
      </c>
      <c r="F89" s="45"/>
      <c r="G89" s="45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</row>
    <row r="90" spans="1:26" ht="12.75" customHeight="1" x14ac:dyDescent="0.2">
      <c r="A90" s="251" t="s">
        <v>215</v>
      </c>
      <c r="B90" s="252" t="s">
        <v>216</v>
      </c>
      <c r="C90" s="257">
        <v>1</v>
      </c>
      <c r="D90" s="253">
        <f>E89</f>
        <v>6577.1134834679997</v>
      </c>
      <c r="E90" s="253">
        <f>C90*D90</f>
        <v>6577.1134834679997</v>
      </c>
      <c r="F90" s="17"/>
      <c r="G90" s="17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 x14ac:dyDescent="0.2">
      <c r="A91" s="15"/>
      <c r="B91" s="15"/>
      <c r="C91" s="15"/>
      <c r="D91" s="258" t="s">
        <v>217</v>
      </c>
      <c r="E91" s="259">
        <f>$B$58</f>
        <v>1</v>
      </c>
      <c r="F91" s="260">
        <f>E90*E91</f>
        <v>6577.1134834679997</v>
      </c>
      <c r="G91" s="17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1.25" customHeight="1" x14ac:dyDescent="0.2">
      <c r="A92" s="15"/>
      <c r="B92" s="15"/>
      <c r="C92" s="15"/>
      <c r="D92" s="17"/>
      <c r="E92" s="17"/>
      <c r="F92" s="17"/>
      <c r="G92" s="17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1.25" customHeight="1" x14ac:dyDescent="0.2">
      <c r="A93" s="15" t="s">
        <v>415</v>
      </c>
      <c r="B93" s="15"/>
      <c r="C93" s="15"/>
      <c r="D93" s="17"/>
      <c r="E93" s="17"/>
      <c r="F93" s="17"/>
      <c r="G93" s="17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1.25" customHeight="1" x14ac:dyDescent="0.2">
      <c r="A94" s="243" t="s">
        <v>202</v>
      </c>
      <c r="B94" s="244" t="s">
        <v>95</v>
      </c>
      <c r="C94" s="244" t="s">
        <v>50</v>
      </c>
      <c r="D94" s="245" t="s">
        <v>203</v>
      </c>
      <c r="E94" s="245" t="s">
        <v>204</v>
      </c>
      <c r="F94" s="246" t="s">
        <v>205</v>
      </c>
      <c r="G94" s="362" t="s">
        <v>416</v>
      </c>
      <c r="H94" s="148"/>
      <c r="I94" s="148"/>
      <c r="J94" s="148"/>
      <c r="K94" s="148"/>
      <c r="L94" s="148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1.25" customHeight="1" x14ac:dyDescent="0.2">
      <c r="A95" s="247" t="s">
        <v>207</v>
      </c>
      <c r="B95" s="248" t="s">
        <v>208</v>
      </c>
      <c r="C95" s="248">
        <v>1</v>
      </c>
      <c r="D95" s="249">
        <v>5521.02</v>
      </c>
      <c r="E95" s="250">
        <f>C95*D95</f>
        <v>5521.02</v>
      </c>
      <c r="F95" s="17"/>
      <c r="G95" s="17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1.25" customHeight="1" x14ac:dyDescent="0.2">
      <c r="A96" s="251" t="s">
        <v>210</v>
      </c>
      <c r="B96" s="252" t="s">
        <v>182</v>
      </c>
      <c r="C96" s="252">
        <v>0</v>
      </c>
      <c r="D96" s="253">
        <f>SUM(E95)</f>
        <v>5521.02</v>
      </c>
      <c r="E96" s="253">
        <f>C96*D96/100</f>
        <v>0</v>
      </c>
      <c r="F96" s="17"/>
      <c r="G96" s="17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1.25" customHeight="1" x14ac:dyDescent="0.2">
      <c r="A97" s="254" t="s">
        <v>212</v>
      </c>
      <c r="B97" s="135"/>
      <c r="C97" s="135"/>
      <c r="D97" s="39"/>
      <c r="E97" s="255">
        <f>SUM(E95:E96)</f>
        <v>5521.02</v>
      </c>
      <c r="F97" s="45"/>
      <c r="G97" s="45"/>
      <c r="H97" s="40"/>
      <c r="I97" s="40"/>
      <c r="J97" s="40"/>
      <c r="K97" s="40"/>
      <c r="L97" s="40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1.25" customHeight="1" x14ac:dyDescent="0.2">
      <c r="A98" s="251" t="s">
        <v>213</v>
      </c>
      <c r="B98" s="252" t="s">
        <v>182</v>
      </c>
      <c r="C98" s="256">
        <f>'4.Encargos Sociais'!$C$37*100</f>
        <v>71.22548900000001</v>
      </c>
      <c r="D98" s="253">
        <f>E97</f>
        <v>5521.02</v>
      </c>
      <c r="E98" s="253">
        <f>D98*C98/100</f>
        <v>3932.3734927878013</v>
      </c>
      <c r="F98" s="17"/>
      <c r="G98" s="17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1.25" customHeight="1" x14ac:dyDescent="0.2">
      <c r="A99" s="254" t="s">
        <v>417</v>
      </c>
      <c r="B99" s="135"/>
      <c r="C99" s="135"/>
      <c r="D99" s="39"/>
      <c r="E99" s="255">
        <f>E97+E98</f>
        <v>9453.3934927878017</v>
      </c>
      <c r="F99" s="45"/>
      <c r="G99" s="45"/>
      <c r="H99" s="40"/>
      <c r="I99" s="40"/>
      <c r="J99" s="40"/>
      <c r="K99" s="40"/>
      <c r="L99" s="40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1.25" customHeight="1" x14ac:dyDescent="0.2">
      <c r="A100" s="251" t="s">
        <v>215</v>
      </c>
      <c r="B100" s="252" t="s">
        <v>216</v>
      </c>
      <c r="C100" s="257">
        <v>1</v>
      </c>
      <c r="D100" s="253">
        <f>E99</f>
        <v>9453.3934927878017</v>
      </c>
      <c r="E100" s="253">
        <f>C100*D100</f>
        <v>9453.3934927878017</v>
      </c>
      <c r="F100" s="17"/>
      <c r="G100" s="17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1.25" customHeight="1" x14ac:dyDescent="0.2">
      <c r="A101" s="15"/>
      <c r="B101" s="15"/>
      <c r="C101" s="15"/>
      <c r="D101" s="258" t="s">
        <v>217</v>
      </c>
      <c r="E101" s="259">
        <f>B59</f>
        <v>0.45454545454545453</v>
      </c>
      <c r="F101" s="260">
        <f>E100*E101</f>
        <v>4296.9970421762737</v>
      </c>
      <c r="G101" s="17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1.25" customHeight="1" x14ac:dyDescent="0.2">
      <c r="A102" s="15"/>
      <c r="B102" s="15"/>
      <c r="C102" s="15"/>
      <c r="D102" s="17"/>
      <c r="E102" s="17"/>
      <c r="F102" s="17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 x14ac:dyDescent="0.2">
      <c r="A103" s="15" t="s">
        <v>418</v>
      </c>
      <c r="B103" s="266"/>
      <c r="C103" s="15"/>
      <c r="D103" s="15"/>
      <c r="E103" s="15"/>
      <c r="F103" s="17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 x14ac:dyDescent="0.2">
      <c r="A104" s="243" t="s">
        <v>202</v>
      </c>
      <c r="B104" s="244" t="s">
        <v>95</v>
      </c>
      <c r="C104" s="244" t="s">
        <v>50</v>
      </c>
      <c r="D104" s="245" t="s">
        <v>203</v>
      </c>
      <c r="E104" s="245" t="s">
        <v>204</v>
      </c>
      <c r="F104" s="246" t="s">
        <v>205</v>
      </c>
      <c r="G104" s="15" t="s">
        <v>232</v>
      </c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 x14ac:dyDescent="0.2">
      <c r="A105" s="251" t="s">
        <v>230</v>
      </c>
      <c r="B105" s="252" t="s">
        <v>231</v>
      </c>
      <c r="C105" s="267">
        <v>1</v>
      </c>
      <c r="D105" s="268">
        <v>5.5</v>
      </c>
      <c r="E105" s="253"/>
      <c r="F105" s="17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 x14ac:dyDescent="0.2">
      <c r="A106" s="251" t="s">
        <v>233</v>
      </c>
      <c r="B106" s="252" t="s">
        <v>234</v>
      </c>
      <c r="C106" s="269">
        <f>TRUNC((365-52-52-10)/12,2)</f>
        <v>20.91</v>
      </c>
      <c r="D106" s="253"/>
      <c r="E106" s="253"/>
      <c r="F106" s="17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 x14ac:dyDescent="0.2">
      <c r="A107" s="251" t="str">
        <f>A73</f>
        <v>1.2. Gerente Geral</v>
      </c>
      <c r="B107" s="252" t="s">
        <v>236</v>
      </c>
      <c r="C107" s="270">
        <f>$C$106*2*(C80)</f>
        <v>41.82</v>
      </c>
      <c r="D107" s="250">
        <f>IFERROR((($C$106*2*$D$105)-(E75*0.04*$C$106/26))/($C$106*2),"-")</f>
        <v>0.65289230769230788</v>
      </c>
      <c r="E107" s="253">
        <f>IFERROR(C107*D107,"-")</f>
        <v>27.303956307692317</v>
      </c>
      <c r="F107" s="17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 x14ac:dyDescent="0.2">
      <c r="A108" s="251" t="str">
        <f>A83</f>
        <v>1.3. Técnico de Segurança do Trabalho</v>
      </c>
      <c r="B108" s="252" t="s">
        <v>236</v>
      </c>
      <c r="C108" s="270">
        <f>$C$106*2*(C90)</f>
        <v>41.82</v>
      </c>
      <c r="D108" s="250">
        <f>IFERROR((($C$106*2*$D$105)-(E85*(20/44)*0.06*$C$106/26))/($C$106*2),"-")</f>
        <v>3.4853846153846155</v>
      </c>
      <c r="E108" s="253">
        <f>IFERROR(C108*D108,"-")</f>
        <v>145.75878461538463</v>
      </c>
      <c r="F108" s="17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 x14ac:dyDescent="0.2">
      <c r="A109" s="274" t="str">
        <f>A93</f>
        <v>1.4. Responsável Técnico (Engenheiro/ 20 horas semanais)</v>
      </c>
      <c r="B109" s="252" t="s">
        <v>236</v>
      </c>
      <c r="C109" s="270">
        <f>$C$106*2*(C100)</f>
        <v>41.82</v>
      </c>
      <c r="D109" s="250">
        <f>IFERROR((($C$106*2*$D$105)-(E95*(20/44)*0.04*$C$106/26))/($C$106*2),"-")</f>
        <v>3.569573426573426</v>
      </c>
      <c r="E109" s="253">
        <f>IFERROR(C109*D109,"-")</f>
        <v>149.27956069930067</v>
      </c>
      <c r="F109" s="17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 x14ac:dyDescent="0.2">
      <c r="A110" s="15"/>
      <c r="B110" s="15"/>
      <c r="C110" s="15"/>
      <c r="D110" s="17"/>
      <c r="E110" s="17"/>
      <c r="F110" s="272">
        <f>SUM(E107:E109)</f>
        <v>322.34230162237759</v>
      </c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 x14ac:dyDescent="0.2">
      <c r="A111" s="15"/>
      <c r="B111" s="15"/>
      <c r="C111" s="15"/>
      <c r="D111" s="17"/>
      <c r="E111" s="17"/>
      <c r="F111" s="4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 x14ac:dyDescent="0.2">
      <c r="A112" s="15" t="s">
        <v>419</v>
      </c>
      <c r="B112" s="266"/>
      <c r="C112" s="15"/>
      <c r="D112" s="15"/>
      <c r="E112" s="15"/>
      <c r="F112" s="17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 x14ac:dyDescent="0.2">
      <c r="A113" s="243" t="s">
        <v>202</v>
      </c>
      <c r="B113" s="244" t="s">
        <v>95</v>
      </c>
      <c r="C113" s="244" t="s">
        <v>50</v>
      </c>
      <c r="D113" s="245" t="s">
        <v>203</v>
      </c>
      <c r="E113" s="245" t="s">
        <v>204</v>
      </c>
      <c r="F113" s="246" t="s">
        <v>205</v>
      </c>
      <c r="G113" s="15" t="s">
        <v>232</v>
      </c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 x14ac:dyDescent="0.2">
      <c r="A114" s="251" t="s">
        <v>230</v>
      </c>
      <c r="B114" s="252" t="s">
        <v>231</v>
      </c>
      <c r="C114" s="267">
        <v>1</v>
      </c>
      <c r="D114" s="268">
        <v>5.5</v>
      </c>
      <c r="E114" s="253"/>
      <c r="F114" s="17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 x14ac:dyDescent="0.2">
      <c r="A115" s="251" t="s">
        <v>233</v>
      </c>
      <c r="B115" s="252" t="s">
        <v>234</v>
      </c>
      <c r="C115" s="269">
        <v>25.25</v>
      </c>
      <c r="D115" s="253"/>
      <c r="E115" s="253"/>
      <c r="F115" s="17"/>
      <c r="G115" s="15" t="s">
        <v>235</v>
      </c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 x14ac:dyDescent="0.2">
      <c r="A116" s="251" t="str">
        <f>A63</f>
        <v>1.1. Encarregado Geral</v>
      </c>
      <c r="B116" s="252" t="s">
        <v>236</v>
      </c>
      <c r="C116" s="270">
        <f>$C$115*2*(C70)</f>
        <v>50.5</v>
      </c>
      <c r="D116" s="250">
        <f>IFERROR((($C$115*2*$D$114)-(E65*0.04*$C$115/26))/($C$115*2),"-")</f>
        <v>1.2019538461538457</v>
      </c>
      <c r="E116" s="253">
        <f>IFERROR(C116*D116,"-")</f>
        <v>60.698669230769205</v>
      </c>
      <c r="F116" s="17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customHeight="1" x14ac:dyDescent="0.2">
      <c r="A117" s="15"/>
      <c r="B117" s="15"/>
      <c r="C117" s="15"/>
      <c r="D117" s="17"/>
      <c r="E117" s="17"/>
      <c r="F117" s="272">
        <f>SUM(E116)</f>
        <v>60.698669230769205</v>
      </c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1.25" customHeight="1" x14ac:dyDescent="0.2">
      <c r="A118" s="15"/>
      <c r="B118" s="15"/>
      <c r="C118" s="15"/>
      <c r="D118" s="17"/>
      <c r="E118" s="17"/>
      <c r="F118" s="17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customHeight="1" x14ac:dyDescent="0.2">
      <c r="A119" s="15" t="s">
        <v>237</v>
      </c>
      <c r="B119" s="15"/>
      <c r="C119" s="15"/>
      <c r="D119" s="17"/>
      <c r="E119" s="17"/>
      <c r="F119" s="4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 x14ac:dyDescent="0.2">
      <c r="A120" s="243" t="s">
        <v>202</v>
      </c>
      <c r="B120" s="244" t="s">
        <v>95</v>
      </c>
      <c r="C120" s="244" t="s">
        <v>50</v>
      </c>
      <c r="D120" s="245" t="s">
        <v>203</v>
      </c>
      <c r="E120" s="245" t="s">
        <v>204</v>
      </c>
      <c r="F120" s="246" t="s">
        <v>205</v>
      </c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 x14ac:dyDescent="0.2">
      <c r="A121" s="251" t="str">
        <f>A63</f>
        <v>1.1. Encarregado Geral</v>
      </c>
      <c r="B121" s="252" t="s">
        <v>238</v>
      </c>
      <c r="C121" s="270">
        <f>C115</f>
        <v>25.25</v>
      </c>
      <c r="D121" s="273">
        <v>27.15</v>
      </c>
      <c r="E121" s="259">
        <f>C121*D121</f>
        <v>685.53749999999991</v>
      </c>
      <c r="F121" s="45"/>
      <c r="G121" s="48" t="s">
        <v>206</v>
      </c>
      <c r="H121" s="15"/>
      <c r="I121" s="518" t="s">
        <v>420</v>
      </c>
      <c r="J121" s="518"/>
      <c r="K121" s="518"/>
      <c r="L121" s="518"/>
      <c r="M121" s="518"/>
      <c r="N121" s="518"/>
      <c r="O121" s="518"/>
      <c r="P121" s="518"/>
      <c r="Q121" s="518"/>
      <c r="R121" s="518"/>
      <c r="S121" s="518"/>
      <c r="T121" s="15"/>
      <c r="U121" s="15"/>
      <c r="V121" s="15"/>
      <c r="W121" s="15"/>
      <c r="X121" s="15"/>
      <c r="Y121" s="15"/>
      <c r="Z121" s="15"/>
    </row>
    <row r="122" spans="1:26" ht="12.75" customHeight="1" x14ac:dyDescent="0.2">
      <c r="A122" s="251" t="str">
        <f>A73</f>
        <v>1.2. Gerente Geral</v>
      </c>
      <c r="B122" s="252" t="s">
        <v>238</v>
      </c>
      <c r="C122" s="270">
        <f>$C$106*(E47)</f>
        <v>20.91</v>
      </c>
      <c r="D122" s="273">
        <v>27.15</v>
      </c>
      <c r="E122" s="259">
        <f>C122*D122</f>
        <v>567.70650000000001</v>
      </c>
      <c r="F122" s="45"/>
      <c r="G122" s="48" t="s">
        <v>206</v>
      </c>
      <c r="H122" s="15"/>
      <c r="I122" s="518"/>
      <c r="J122" s="518"/>
      <c r="K122" s="518"/>
      <c r="L122" s="518"/>
      <c r="M122" s="518"/>
      <c r="N122" s="518"/>
      <c r="O122" s="518"/>
      <c r="P122" s="518"/>
      <c r="Q122" s="518"/>
      <c r="R122" s="518"/>
      <c r="S122" s="518"/>
      <c r="T122" s="15"/>
      <c r="U122" s="15"/>
      <c r="V122" s="15"/>
      <c r="W122" s="15"/>
      <c r="X122" s="15"/>
      <c r="Y122" s="15"/>
      <c r="Z122" s="15"/>
    </row>
    <row r="123" spans="1:26" ht="12.75" customHeight="1" x14ac:dyDescent="0.2">
      <c r="A123" s="15"/>
      <c r="B123" s="15"/>
      <c r="C123" s="15"/>
      <c r="D123" s="17"/>
      <c r="E123" s="17"/>
      <c r="F123" s="272">
        <f>SUM(E121:E122)</f>
        <v>1253.2439999999999</v>
      </c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 x14ac:dyDescent="0.2">
      <c r="A124" s="15"/>
      <c r="B124" s="15"/>
      <c r="C124" s="15"/>
      <c r="D124" s="17"/>
      <c r="E124" s="17"/>
      <c r="F124" s="17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 x14ac:dyDescent="0.2">
      <c r="A125" s="15" t="s">
        <v>240</v>
      </c>
      <c r="B125" s="15"/>
      <c r="C125" s="15"/>
      <c r="D125" s="17"/>
      <c r="E125" s="17"/>
      <c r="F125" s="4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 x14ac:dyDescent="0.2">
      <c r="A126" s="243" t="s">
        <v>202</v>
      </c>
      <c r="B126" s="244" t="s">
        <v>95</v>
      </c>
      <c r="C126" s="244" t="s">
        <v>50</v>
      </c>
      <c r="D126" s="245" t="s">
        <v>203</v>
      </c>
      <c r="E126" s="245" t="s">
        <v>204</v>
      </c>
      <c r="F126" s="246" t="s">
        <v>205</v>
      </c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 x14ac:dyDescent="0.2">
      <c r="A127" s="363" t="str">
        <f>A83</f>
        <v>1.3. Técnico de Segurança do Trabalho</v>
      </c>
      <c r="B127" s="252" t="s">
        <v>238</v>
      </c>
      <c r="C127" s="364">
        <v>1</v>
      </c>
      <c r="D127" s="365">
        <v>520</v>
      </c>
      <c r="E127" s="259">
        <f>C127*D127</f>
        <v>520</v>
      </c>
      <c r="F127" s="45"/>
      <c r="G127" s="48" t="s">
        <v>413</v>
      </c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 x14ac:dyDescent="0.2">
      <c r="A128" s="251" t="str">
        <f>+A93</f>
        <v>1.4. Responsável Técnico (Engenheiro/ 20 horas semanais)</v>
      </c>
      <c r="B128" s="252" t="s">
        <v>238</v>
      </c>
      <c r="C128" s="270">
        <v>1</v>
      </c>
      <c r="D128" s="273">
        <v>717.57</v>
      </c>
      <c r="E128" s="259">
        <f>C128*D128</f>
        <v>717.57</v>
      </c>
      <c r="F128" s="45"/>
      <c r="G128" s="362" t="s">
        <v>416</v>
      </c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 x14ac:dyDescent="0.2">
      <c r="A129" s="15"/>
      <c r="B129" s="15"/>
      <c r="C129" s="15"/>
      <c r="D129" s="258" t="s">
        <v>217</v>
      </c>
      <c r="E129" s="259">
        <v>1</v>
      </c>
      <c r="F129" s="272">
        <f>SUM(E127+E128)*E129</f>
        <v>1237.5700000000002</v>
      </c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 x14ac:dyDescent="0.2">
      <c r="A130" s="275" t="s">
        <v>241</v>
      </c>
      <c r="B130" s="15"/>
      <c r="C130" s="15"/>
      <c r="D130" s="17"/>
      <c r="E130" s="17"/>
      <c r="F130" s="17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 x14ac:dyDescent="0.2">
      <c r="A131" s="243" t="s">
        <v>202</v>
      </c>
      <c r="B131" s="244" t="s">
        <v>95</v>
      </c>
      <c r="C131" s="244" t="s">
        <v>50</v>
      </c>
      <c r="D131" s="245" t="s">
        <v>203</v>
      </c>
      <c r="E131" s="245" t="s">
        <v>204</v>
      </c>
      <c r="F131" s="246" t="s">
        <v>205</v>
      </c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 x14ac:dyDescent="0.2">
      <c r="A132" s="251" t="str">
        <f>+A121</f>
        <v>1.1. Encarregado Geral</v>
      </c>
      <c r="B132" s="252" t="s">
        <v>238</v>
      </c>
      <c r="C132" s="270">
        <f>E46</f>
        <v>1</v>
      </c>
      <c r="D132" s="273">
        <v>0</v>
      </c>
      <c r="E132" s="259">
        <f>C132*D132</f>
        <v>0</v>
      </c>
      <c r="F132" s="4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 x14ac:dyDescent="0.2">
      <c r="A133" s="251" t="str">
        <f>+A122</f>
        <v>1.2. Gerente Geral</v>
      </c>
      <c r="B133" s="252" t="s">
        <v>238</v>
      </c>
      <c r="C133" s="270">
        <f>E47</f>
        <v>1</v>
      </c>
      <c r="D133" s="273">
        <v>0</v>
      </c>
      <c r="E133" s="259">
        <f>C133*D133</f>
        <v>0</v>
      </c>
      <c r="F133" s="4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 x14ac:dyDescent="0.2">
      <c r="A134" s="251" t="e">
        <f>+#REF!</f>
        <v>#REF!</v>
      </c>
      <c r="B134" s="252" t="s">
        <v>238</v>
      </c>
      <c r="C134" s="270">
        <f>E48</f>
        <v>1</v>
      </c>
      <c r="D134" s="273">
        <v>0</v>
      </c>
      <c r="E134" s="259">
        <f>C134*D134</f>
        <v>0</v>
      </c>
      <c r="F134" s="4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customHeight="1" x14ac:dyDescent="0.2">
      <c r="A135" s="15"/>
      <c r="B135" s="15"/>
      <c r="C135" s="15"/>
      <c r="D135" s="258" t="s">
        <v>217</v>
      </c>
      <c r="E135" s="259">
        <f>$B$58</f>
        <v>1</v>
      </c>
      <c r="F135" s="272">
        <f>SUM(E132:E134)*E135</f>
        <v>0</v>
      </c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 x14ac:dyDescent="0.2">
      <c r="A136" s="15"/>
      <c r="B136" s="15"/>
      <c r="C136" s="15"/>
      <c r="D136" s="17"/>
      <c r="E136" s="17"/>
      <c r="F136" s="17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 x14ac:dyDescent="0.2">
      <c r="A137" s="276" t="s">
        <v>242</v>
      </c>
      <c r="B137" s="277"/>
      <c r="C137" s="277"/>
      <c r="D137" s="215"/>
      <c r="E137" s="278"/>
      <c r="F137" s="272">
        <f>F71+F81+F91+F101+F110+F117+F123+F129+F135</f>
        <v>34104.450207240421</v>
      </c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 x14ac:dyDescent="0.2">
      <c r="A138" s="15"/>
      <c r="B138" s="15"/>
      <c r="C138" s="15"/>
      <c r="D138" s="17"/>
      <c r="E138" s="17"/>
      <c r="F138" s="17"/>
      <c r="G138" s="17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 x14ac:dyDescent="0.2">
      <c r="A139" s="40" t="s">
        <v>243</v>
      </c>
      <c r="B139" s="15"/>
      <c r="C139" s="15"/>
      <c r="D139" s="17"/>
      <c r="E139" s="17"/>
      <c r="F139" s="17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1.25" customHeight="1" x14ac:dyDescent="0.2">
      <c r="A140" s="15"/>
      <c r="B140" s="15"/>
      <c r="C140" s="15"/>
      <c r="D140" s="17"/>
      <c r="E140" s="17"/>
      <c r="F140" s="17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3.5" customHeight="1" x14ac:dyDescent="0.2">
      <c r="A141" s="15" t="s">
        <v>421</v>
      </c>
      <c r="B141" s="15"/>
      <c r="C141" s="15"/>
      <c r="D141" s="17"/>
      <c r="E141" s="17"/>
      <c r="F141" s="17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1.25" customHeight="1" x14ac:dyDescent="0.2">
      <c r="A142" s="15"/>
      <c r="B142" s="15"/>
      <c r="C142" s="15"/>
      <c r="D142" s="17"/>
      <c r="E142" s="17"/>
      <c r="F142" s="17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27.75" customHeight="1" x14ac:dyDescent="0.2">
      <c r="A143" s="243" t="s">
        <v>202</v>
      </c>
      <c r="B143" s="244" t="s">
        <v>95</v>
      </c>
      <c r="C143" s="279" t="s">
        <v>245</v>
      </c>
      <c r="D143" s="245" t="s">
        <v>203</v>
      </c>
      <c r="E143" s="245" t="s">
        <v>204</v>
      </c>
      <c r="F143" s="246" t="s">
        <v>205</v>
      </c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 x14ac:dyDescent="0.2">
      <c r="A144" s="247" t="s">
        <v>128</v>
      </c>
      <c r="B144" s="248" t="s">
        <v>238</v>
      </c>
      <c r="C144" s="281">
        <f>12/'0. Qtdades e Custos'!C138</f>
        <v>12</v>
      </c>
      <c r="D144" s="249">
        <f>VLOOKUP(A144,'0. Qtdades e Custos'!$B$154:$F$168,4,0)</f>
        <v>155.66</v>
      </c>
      <c r="E144" s="250">
        <f t="shared" ref="E144:E152" si="1">IFERROR(D144/C144,0)</f>
        <v>12.971666666666666</v>
      </c>
      <c r="F144" s="17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 x14ac:dyDescent="0.2">
      <c r="A145" s="247" t="s">
        <v>129</v>
      </c>
      <c r="B145" s="252" t="s">
        <v>238</v>
      </c>
      <c r="C145" s="281">
        <f>12/'0. Qtdades e Custos'!C139</f>
        <v>6</v>
      </c>
      <c r="D145" s="249">
        <f>VLOOKUP(A145,'0. Qtdades e Custos'!$B$154:$F$168,4,0)</f>
        <v>60.73</v>
      </c>
      <c r="E145" s="250">
        <f t="shared" si="1"/>
        <v>10.121666666666666</v>
      </c>
      <c r="F145" s="17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 x14ac:dyDescent="0.2">
      <c r="A146" s="280" t="s">
        <v>130</v>
      </c>
      <c r="B146" s="252" t="s">
        <v>238</v>
      </c>
      <c r="C146" s="281">
        <f>12/'0. Qtdades e Custos'!C140</f>
        <v>6</v>
      </c>
      <c r="D146" s="249">
        <f>VLOOKUP(A146,'0. Qtdades e Custos'!$B$154:$F$168,4,0)</f>
        <v>36.630000000000003</v>
      </c>
      <c r="E146" s="250">
        <f t="shared" si="1"/>
        <v>6.1050000000000004</v>
      </c>
      <c r="F146" s="17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 x14ac:dyDescent="0.2">
      <c r="A147" s="280" t="s">
        <v>131</v>
      </c>
      <c r="B147" s="252" t="s">
        <v>238</v>
      </c>
      <c r="C147" s="281">
        <f>12/'0. Qtdades e Custos'!C141</f>
        <v>6</v>
      </c>
      <c r="D147" s="249">
        <f>VLOOKUP(A147,'0. Qtdades e Custos'!$B$154:$F$168,4,0)</f>
        <v>34.630000000000003</v>
      </c>
      <c r="E147" s="250">
        <f t="shared" si="1"/>
        <v>5.7716666666666674</v>
      </c>
      <c r="F147" s="17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 x14ac:dyDescent="0.2">
      <c r="A148" s="247" t="s">
        <v>132</v>
      </c>
      <c r="B148" s="252" t="s">
        <v>238</v>
      </c>
      <c r="C148" s="281">
        <f>12/'0. Qtdades e Custos'!C142</f>
        <v>12</v>
      </c>
      <c r="D148" s="249">
        <f>VLOOKUP(A148,'0. Qtdades e Custos'!$B$154:$F$168,4,0)</f>
        <v>25.1</v>
      </c>
      <c r="E148" s="250">
        <f t="shared" si="1"/>
        <v>2.0916666666666668</v>
      </c>
      <c r="F148" s="17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 x14ac:dyDescent="0.2">
      <c r="A149" s="247" t="s">
        <v>133</v>
      </c>
      <c r="B149" s="252" t="s">
        <v>238</v>
      </c>
      <c r="C149" s="281">
        <f>12/'0. Qtdades e Custos'!C143</f>
        <v>12</v>
      </c>
      <c r="D149" s="249">
        <f>VLOOKUP(A149,'0. Qtdades e Custos'!$B$154:$F$168,4,0)</f>
        <v>4.28</v>
      </c>
      <c r="E149" s="250">
        <f t="shared" si="1"/>
        <v>0.35666666666666669</v>
      </c>
      <c r="F149" s="17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 x14ac:dyDescent="0.2">
      <c r="A150" s="251" t="s">
        <v>134</v>
      </c>
      <c r="B150" s="252" t="s">
        <v>238</v>
      </c>
      <c r="C150" s="281">
        <f>12/'0. Qtdades e Custos'!C144</f>
        <v>12</v>
      </c>
      <c r="D150" s="249">
        <f>VLOOKUP(A150,'0. Qtdades e Custos'!$B$154:$F$168,4,0)</f>
        <v>1.1499999999999999</v>
      </c>
      <c r="E150" s="250">
        <f t="shared" si="1"/>
        <v>9.5833333333333326E-2</v>
      </c>
      <c r="F150" s="17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 x14ac:dyDescent="0.2">
      <c r="A151" s="251" t="s">
        <v>138</v>
      </c>
      <c r="B151" s="252" t="s">
        <v>238</v>
      </c>
      <c r="C151" s="281">
        <f>12/'0. Qtdades e Custos'!C145</f>
        <v>4</v>
      </c>
      <c r="D151" s="249">
        <f>VLOOKUP(A151,'0. Qtdades e Custos'!$B$154:$F$168,4,0)</f>
        <v>33.130000000000003</v>
      </c>
      <c r="E151" s="250">
        <f t="shared" si="1"/>
        <v>8.2825000000000006</v>
      </c>
      <c r="F151" s="17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 x14ac:dyDescent="0.2">
      <c r="A152" s="251" t="s">
        <v>139</v>
      </c>
      <c r="B152" s="252" t="s">
        <v>159</v>
      </c>
      <c r="C152" s="281">
        <f>12/'0. Qtdades e Custos'!C146</f>
        <v>12</v>
      </c>
      <c r="D152" s="249">
        <f>VLOOKUP(A152,'0. Qtdades e Custos'!$B$154:$F$168,4,0)</f>
        <v>43.29</v>
      </c>
      <c r="E152" s="250">
        <f t="shared" si="1"/>
        <v>3.6074999999999999</v>
      </c>
      <c r="F152" s="17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 x14ac:dyDescent="0.2">
      <c r="A153" s="251" t="s">
        <v>215</v>
      </c>
      <c r="B153" s="252" t="s">
        <v>216</v>
      </c>
      <c r="C153" s="283">
        <f>E46</f>
        <v>1</v>
      </c>
      <c r="D153" s="253">
        <f>+SUM(E144:E152)</f>
        <v>49.404166666666669</v>
      </c>
      <c r="E153" s="253">
        <f>C153*D153</f>
        <v>49.404166666666669</v>
      </c>
      <c r="F153" s="17"/>
      <c r="G153" s="17"/>
      <c r="H153" s="15"/>
      <c r="I153" s="15"/>
      <c r="J153" s="15"/>
      <c r="K153" s="15"/>
      <c r="L153" s="15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2.75" customHeight="1" x14ac:dyDescent="0.2">
      <c r="A154" s="15"/>
      <c r="B154" s="15"/>
      <c r="C154" s="15"/>
      <c r="D154" s="258" t="s">
        <v>217</v>
      </c>
      <c r="E154" s="259">
        <f>$B$58</f>
        <v>1</v>
      </c>
      <c r="F154" s="260">
        <f>E153*E154</f>
        <v>49.404166666666669</v>
      </c>
      <c r="G154" s="17"/>
      <c r="H154" s="15"/>
      <c r="I154" s="15"/>
      <c r="J154" s="15"/>
      <c r="K154" s="15"/>
      <c r="L154" s="15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1.25" customHeight="1" x14ac:dyDescent="0.2">
      <c r="A155" s="15"/>
      <c r="B155" s="15"/>
      <c r="C155" s="15"/>
      <c r="D155" s="17"/>
      <c r="E155" s="17"/>
      <c r="F155" s="17"/>
      <c r="G155" s="17"/>
      <c r="H155" s="15"/>
      <c r="I155" s="15"/>
      <c r="J155" s="15"/>
      <c r="K155" s="15"/>
      <c r="L155" s="15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1.25" customHeight="1" x14ac:dyDescent="0.2">
      <c r="A156" s="15" t="s">
        <v>422</v>
      </c>
      <c r="B156" s="15"/>
      <c r="C156" s="15"/>
      <c r="D156" s="17"/>
      <c r="E156" s="17"/>
      <c r="F156" s="17"/>
      <c r="G156" s="17"/>
      <c r="H156" s="15"/>
      <c r="I156" s="15"/>
      <c r="J156" s="15"/>
      <c r="K156" s="15"/>
      <c r="L156" s="15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1.25" customHeight="1" x14ac:dyDescent="0.2">
      <c r="A157" s="15"/>
      <c r="B157" s="15"/>
      <c r="C157" s="15"/>
      <c r="D157" s="17"/>
      <c r="E157" s="17"/>
      <c r="F157" s="17"/>
      <c r="G157" s="17"/>
      <c r="H157" s="15"/>
      <c r="I157" s="15"/>
      <c r="J157" s="15"/>
      <c r="K157" s="15"/>
      <c r="L157" s="15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1.25" customHeight="1" x14ac:dyDescent="0.2">
      <c r="A158" s="243" t="s">
        <v>202</v>
      </c>
      <c r="B158" s="244" t="s">
        <v>95</v>
      </c>
      <c r="C158" s="279" t="s">
        <v>245</v>
      </c>
      <c r="D158" s="245" t="s">
        <v>203</v>
      </c>
      <c r="E158" s="245" t="s">
        <v>204</v>
      </c>
      <c r="F158" s="246" t="s">
        <v>205</v>
      </c>
      <c r="G158" s="17"/>
      <c r="H158" s="15"/>
      <c r="I158" s="15"/>
      <c r="J158" s="15"/>
      <c r="K158" s="15"/>
      <c r="L158" s="15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1.25" customHeight="1" x14ac:dyDescent="0.2">
      <c r="A159" s="247" t="s">
        <v>128</v>
      </c>
      <c r="B159" s="248" t="s">
        <v>238</v>
      </c>
      <c r="C159" s="281">
        <f>12/'0. Qtdades e Custos'!F138</f>
        <v>12</v>
      </c>
      <c r="D159" s="249">
        <f>VLOOKUP(A159,'0. Qtdades e Custos'!$B$154:$F$168,4,0)</f>
        <v>155.66</v>
      </c>
      <c r="E159" s="250">
        <f t="shared" ref="E159:E167" si="2">IFERROR(D159/C159,0)</f>
        <v>12.971666666666666</v>
      </c>
      <c r="F159" s="17"/>
      <c r="G159" s="17"/>
      <c r="H159" s="15"/>
      <c r="I159" s="15"/>
      <c r="J159" s="15"/>
      <c r="K159" s="15"/>
      <c r="L159" s="15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1.25" customHeight="1" x14ac:dyDescent="0.2">
      <c r="A160" s="247" t="s">
        <v>129</v>
      </c>
      <c r="B160" s="252" t="s">
        <v>238</v>
      </c>
      <c r="C160" s="281">
        <f>12/'0. Qtdades e Custos'!F139</f>
        <v>6</v>
      </c>
      <c r="D160" s="249">
        <f>VLOOKUP(A160,'0. Qtdades e Custos'!$B$154:$F$168,4,0)</f>
        <v>60.73</v>
      </c>
      <c r="E160" s="250">
        <f t="shared" si="2"/>
        <v>10.121666666666666</v>
      </c>
      <c r="F160" s="17"/>
      <c r="G160" s="17"/>
      <c r="H160" s="15"/>
      <c r="I160" s="15"/>
      <c r="J160" s="15"/>
      <c r="K160" s="15"/>
      <c r="L160" s="15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1.25" customHeight="1" x14ac:dyDescent="0.2">
      <c r="A161" s="280" t="s">
        <v>130</v>
      </c>
      <c r="B161" s="252" t="s">
        <v>238</v>
      </c>
      <c r="C161" s="281">
        <f>12/'0. Qtdades e Custos'!F140</f>
        <v>6</v>
      </c>
      <c r="D161" s="249">
        <f>VLOOKUP(A161,'0. Qtdades e Custos'!$B$154:$F$168,4,0)</f>
        <v>36.630000000000003</v>
      </c>
      <c r="E161" s="250">
        <f t="shared" si="2"/>
        <v>6.1050000000000004</v>
      </c>
      <c r="F161" s="17"/>
      <c r="G161" s="17"/>
      <c r="H161" s="15"/>
      <c r="I161" s="15"/>
      <c r="J161" s="15"/>
      <c r="K161" s="15"/>
      <c r="L161" s="15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1.25" customHeight="1" x14ac:dyDescent="0.2">
      <c r="A162" s="280" t="s">
        <v>131</v>
      </c>
      <c r="B162" s="252" t="s">
        <v>238</v>
      </c>
      <c r="C162" s="281">
        <f>12/'0. Qtdades e Custos'!F141</f>
        <v>6</v>
      </c>
      <c r="D162" s="249">
        <f>VLOOKUP(A162,'0. Qtdades e Custos'!$B$154:$F$168,4,0)</f>
        <v>34.630000000000003</v>
      </c>
      <c r="E162" s="250">
        <f t="shared" si="2"/>
        <v>5.7716666666666674</v>
      </c>
      <c r="F162" s="17"/>
      <c r="G162" s="17"/>
      <c r="H162" s="15"/>
      <c r="I162" s="15"/>
      <c r="J162" s="15"/>
      <c r="K162" s="15"/>
      <c r="L162" s="15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1.25" customHeight="1" x14ac:dyDescent="0.2">
      <c r="A163" s="247" t="s">
        <v>132</v>
      </c>
      <c r="B163" s="252" t="s">
        <v>238</v>
      </c>
      <c r="C163" s="281">
        <f>12/'0. Qtdades e Custos'!F142</f>
        <v>12</v>
      </c>
      <c r="D163" s="249">
        <f>VLOOKUP(A163,'0. Qtdades e Custos'!$B$154:$F$168,4,0)</f>
        <v>25.1</v>
      </c>
      <c r="E163" s="250">
        <f t="shared" si="2"/>
        <v>2.0916666666666668</v>
      </c>
      <c r="F163" s="17"/>
      <c r="G163" s="17"/>
      <c r="H163" s="15"/>
      <c r="I163" s="15"/>
      <c r="J163" s="15"/>
      <c r="K163" s="15"/>
      <c r="L163" s="15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1.25" customHeight="1" x14ac:dyDescent="0.2">
      <c r="A164" s="247" t="s">
        <v>133</v>
      </c>
      <c r="B164" s="252" t="s">
        <v>238</v>
      </c>
      <c r="C164" s="281">
        <f>12/'0. Qtdades e Custos'!F143</f>
        <v>12</v>
      </c>
      <c r="D164" s="249">
        <f>VLOOKUP(A164,'0. Qtdades e Custos'!$B$154:$F$168,4,0)</f>
        <v>4.28</v>
      </c>
      <c r="E164" s="250">
        <f t="shared" si="2"/>
        <v>0.35666666666666669</v>
      </c>
      <c r="F164" s="17"/>
      <c r="G164" s="17"/>
      <c r="H164" s="15"/>
      <c r="I164" s="15"/>
      <c r="J164" s="15"/>
      <c r="K164" s="15"/>
      <c r="L164" s="15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1.25" customHeight="1" x14ac:dyDescent="0.2">
      <c r="A165" s="251" t="s">
        <v>134</v>
      </c>
      <c r="B165" s="252" t="s">
        <v>238</v>
      </c>
      <c r="C165" s="281">
        <f>12/'0. Qtdades e Custos'!F144</f>
        <v>12</v>
      </c>
      <c r="D165" s="249">
        <f>VLOOKUP(A165,'0. Qtdades e Custos'!$B$154:$F$168,4,0)</f>
        <v>1.1499999999999999</v>
      </c>
      <c r="E165" s="250">
        <f t="shared" si="2"/>
        <v>9.5833333333333326E-2</v>
      </c>
      <c r="F165" s="17"/>
      <c r="G165" s="17"/>
      <c r="H165" s="15"/>
      <c r="I165" s="15"/>
      <c r="J165" s="15"/>
      <c r="K165" s="15"/>
      <c r="L165" s="15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1.25" customHeight="1" x14ac:dyDescent="0.2">
      <c r="A166" s="251" t="s">
        <v>138</v>
      </c>
      <c r="B166" s="252" t="s">
        <v>238</v>
      </c>
      <c r="C166" s="281">
        <f>12/'0. Qtdades e Custos'!F145</f>
        <v>12</v>
      </c>
      <c r="D166" s="249">
        <f>VLOOKUP(A166,'0. Qtdades e Custos'!$B$154:$F$168,4,0)</f>
        <v>33.130000000000003</v>
      </c>
      <c r="E166" s="250">
        <f t="shared" si="2"/>
        <v>2.7608333333333337</v>
      </c>
      <c r="F166" s="17"/>
      <c r="G166" s="17"/>
      <c r="H166" s="15"/>
      <c r="I166" s="15"/>
      <c r="J166" s="15"/>
      <c r="K166" s="15"/>
      <c r="L166" s="15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1.25" customHeight="1" x14ac:dyDescent="0.2">
      <c r="A167" s="251" t="s">
        <v>139</v>
      </c>
      <c r="B167" s="252" t="s">
        <v>159</v>
      </c>
      <c r="C167" s="281">
        <f>12/'0. Qtdades e Custos'!F146</f>
        <v>12</v>
      </c>
      <c r="D167" s="249">
        <f>VLOOKUP(A167,'0. Qtdades e Custos'!$B$154:$F$168,4,0)</f>
        <v>43.29</v>
      </c>
      <c r="E167" s="250">
        <f t="shared" si="2"/>
        <v>3.6074999999999999</v>
      </c>
      <c r="F167" s="17"/>
      <c r="G167" s="17"/>
      <c r="H167" s="15"/>
      <c r="I167" s="15"/>
      <c r="J167" s="15"/>
      <c r="K167" s="15"/>
      <c r="L167" s="15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1.25" customHeight="1" x14ac:dyDescent="0.2">
      <c r="A168" s="251" t="s">
        <v>215</v>
      </c>
      <c r="B168" s="252" t="s">
        <v>216</v>
      </c>
      <c r="C168" s="283">
        <f>E47</f>
        <v>1</v>
      </c>
      <c r="D168" s="253">
        <f>+SUM(E159:E167)</f>
        <v>43.8825</v>
      </c>
      <c r="E168" s="253">
        <f>C168*D168</f>
        <v>43.8825</v>
      </c>
      <c r="F168" s="17"/>
      <c r="G168" s="17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1.25" customHeight="1" x14ac:dyDescent="0.2">
      <c r="A169" s="15"/>
      <c r="B169" s="15"/>
      <c r="C169" s="15"/>
      <c r="D169" s="258" t="s">
        <v>217</v>
      </c>
      <c r="E169" s="259">
        <f>$B$58</f>
        <v>1</v>
      </c>
      <c r="F169" s="260">
        <f>E168*E169</f>
        <v>43.8825</v>
      </c>
      <c r="G169" s="17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1.25" customHeight="1" x14ac:dyDescent="0.2">
      <c r="A170" s="15"/>
      <c r="B170" s="15"/>
      <c r="C170" s="15"/>
      <c r="D170" s="17"/>
      <c r="E170" s="17"/>
      <c r="F170" s="17"/>
      <c r="G170" s="17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3.5" customHeight="1" x14ac:dyDescent="0.2">
      <c r="A171" s="15" t="s">
        <v>423</v>
      </c>
      <c r="B171" s="15"/>
      <c r="C171" s="15"/>
      <c r="D171" s="17"/>
      <c r="E171" s="17"/>
      <c r="F171" s="17"/>
      <c r="G171" s="17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1.25" customHeight="1" x14ac:dyDescent="0.2">
      <c r="A172" s="15"/>
      <c r="B172" s="15"/>
      <c r="C172" s="15"/>
      <c r="D172" s="17"/>
      <c r="E172" s="17"/>
      <c r="F172" s="17"/>
      <c r="G172" s="17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 x14ac:dyDescent="0.2">
      <c r="A173" s="243" t="s">
        <v>202</v>
      </c>
      <c r="B173" s="244" t="s">
        <v>95</v>
      </c>
      <c r="C173" s="279" t="s">
        <v>245</v>
      </c>
      <c r="D173" s="245" t="s">
        <v>203</v>
      </c>
      <c r="E173" s="245" t="s">
        <v>204</v>
      </c>
      <c r="F173" s="246" t="s">
        <v>205</v>
      </c>
      <c r="G173" s="17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 x14ac:dyDescent="0.2">
      <c r="A174" s="247" t="s">
        <v>128</v>
      </c>
      <c r="B174" s="248" t="s">
        <v>238</v>
      </c>
      <c r="C174" s="281">
        <f>12/'0. Qtdades e Custos'!H138</f>
        <v>12</v>
      </c>
      <c r="D174" s="249">
        <f>VLOOKUP(A174,'0. Qtdades e Custos'!$B$154:$F$168,4,0)</f>
        <v>155.66</v>
      </c>
      <c r="E174" s="250">
        <f>IFERROR(D174/C174,0)</f>
        <v>12.971666666666666</v>
      </c>
      <c r="F174" s="17"/>
      <c r="G174" s="17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 x14ac:dyDescent="0.2">
      <c r="A175" s="247" t="s">
        <v>129</v>
      </c>
      <c r="B175" s="252" t="s">
        <v>238</v>
      </c>
      <c r="C175" s="281">
        <f>12/'0. Qtdades e Custos'!H139</f>
        <v>6</v>
      </c>
      <c r="D175" s="249">
        <f>VLOOKUP(A175,'0. Qtdades e Custos'!$B$154:$F$168,4,0)</f>
        <v>60.73</v>
      </c>
      <c r="E175" s="250">
        <f>IFERROR(D175/C175,0)</f>
        <v>10.121666666666666</v>
      </c>
      <c r="F175" s="17"/>
      <c r="G175" s="17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 x14ac:dyDescent="0.2">
      <c r="A176" s="280" t="s">
        <v>130</v>
      </c>
      <c r="B176" s="252" t="s">
        <v>238</v>
      </c>
      <c r="C176" s="281">
        <f>12/'0. Qtdades e Custos'!H140</f>
        <v>6</v>
      </c>
      <c r="D176" s="249">
        <f>VLOOKUP(A176,'0. Qtdades e Custos'!$B$154:$F$168,4,0)</f>
        <v>36.630000000000003</v>
      </c>
      <c r="E176" s="250">
        <f>IFERROR(D176/C176,0)</f>
        <v>6.1050000000000004</v>
      </c>
      <c r="F176" s="17"/>
      <c r="G176" s="17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2.75" customHeight="1" x14ac:dyDescent="0.2">
      <c r="A177" s="280" t="s">
        <v>131</v>
      </c>
      <c r="B177" s="252" t="s">
        <v>238</v>
      </c>
      <c r="C177" s="281">
        <f>12/'0. Qtdades e Custos'!H141</f>
        <v>6</v>
      </c>
      <c r="D177" s="249">
        <f>VLOOKUP(A177,'0. Qtdades e Custos'!$B$154:$F$168,4,0)</f>
        <v>34.630000000000003</v>
      </c>
      <c r="E177" s="250"/>
      <c r="F177" s="17"/>
      <c r="G177" s="17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customHeight="1" x14ac:dyDescent="0.2">
      <c r="A178" s="247" t="s">
        <v>132</v>
      </c>
      <c r="B178" s="252" t="s">
        <v>238</v>
      </c>
      <c r="C178" s="281">
        <f>12/'0. Qtdades e Custos'!H142</f>
        <v>12</v>
      </c>
      <c r="D178" s="249">
        <f>VLOOKUP(A178,'0. Qtdades e Custos'!$B$154:$F$168,4,0)</f>
        <v>25.1</v>
      </c>
      <c r="E178" s="250"/>
      <c r="F178" s="17"/>
      <c r="G178" s="17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customHeight="1" x14ac:dyDescent="0.2">
      <c r="A179" s="247" t="s">
        <v>133</v>
      </c>
      <c r="B179" s="252" t="s">
        <v>238</v>
      </c>
      <c r="C179" s="281">
        <f>12/'0. Qtdades e Custos'!H143</f>
        <v>12</v>
      </c>
      <c r="D179" s="249">
        <f>VLOOKUP(A179,'0. Qtdades e Custos'!$B$154:$F$168,4,0)</f>
        <v>4.28</v>
      </c>
      <c r="E179" s="250"/>
      <c r="F179" s="17"/>
      <c r="G179" s="17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customHeight="1" x14ac:dyDescent="0.2">
      <c r="A180" s="251" t="s">
        <v>134</v>
      </c>
      <c r="B180" s="252" t="s">
        <v>238</v>
      </c>
      <c r="C180" s="281">
        <f>12/'0. Qtdades e Custos'!H144</f>
        <v>12</v>
      </c>
      <c r="D180" s="249">
        <f>VLOOKUP(A180,'0. Qtdades e Custos'!$B$154:$F$168,4,0)</f>
        <v>1.1499999999999999</v>
      </c>
      <c r="E180" s="250">
        <f>IFERROR(D180/C180,0)</f>
        <v>9.5833333333333326E-2</v>
      </c>
      <c r="F180" s="17"/>
      <c r="G180" s="17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customHeight="1" x14ac:dyDescent="0.2">
      <c r="A181" s="251" t="s">
        <v>138</v>
      </c>
      <c r="B181" s="252" t="s">
        <v>238</v>
      </c>
      <c r="C181" s="281">
        <f>12/'0. Qtdades e Custos'!H145</f>
        <v>12</v>
      </c>
      <c r="D181" s="249">
        <f>VLOOKUP(A181,'0. Qtdades e Custos'!$B$154:$F$168,4,0)</f>
        <v>33.130000000000003</v>
      </c>
      <c r="E181" s="250">
        <f>IFERROR(D181/C181,0)</f>
        <v>2.7608333333333337</v>
      </c>
      <c r="F181" s="17"/>
      <c r="G181" s="17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customHeight="1" x14ac:dyDescent="0.2">
      <c r="A182" s="251" t="s">
        <v>139</v>
      </c>
      <c r="B182" s="252" t="s">
        <v>159</v>
      </c>
      <c r="C182" s="281">
        <f>12/'0. Qtdades e Custos'!H146</f>
        <v>12</v>
      </c>
      <c r="D182" s="249">
        <f>VLOOKUP(A182,'0. Qtdades e Custos'!$B$154:$F$168,4,0)</f>
        <v>43.29</v>
      </c>
      <c r="E182" s="250">
        <f>IFERROR(D182/C182,0)</f>
        <v>3.6074999999999999</v>
      </c>
      <c r="F182" s="17"/>
      <c r="G182" s="17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customHeight="1" x14ac:dyDescent="0.2">
      <c r="A183" s="251" t="s">
        <v>215</v>
      </c>
      <c r="B183" s="252" t="s">
        <v>216</v>
      </c>
      <c r="C183" s="283">
        <f>E48</f>
        <v>1</v>
      </c>
      <c r="D183" s="253">
        <f>+SUM(E174:E182)</f>
        <v>35.662500000000001</v>
      </c>
      <c r="E183" s="253">
        <f>C183*D183</f>
        <v>35.662500000000001</v>
      </c>
      <c r="F183" s="17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customHeight="1" x14ac:dyDescent="0.2">
      <c r="A184" s="15"/>
      <c r="B184" s="15"/>
      <c r="C184" s="15"/>
      <c r="D184" s="258" t="s">
        <v>217</v>
      </c>
      <c r="E184" s="259">
        <f>$B$58</f>
        <v>1</v>
      </c>
      <c r="F184" s="260">
        <f>E183*E184</f>
        <v>35.662500000000001</v>
      </c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1.25" customHeight="1" x14ac:dyDescent="0.2">
      <c r="A185" s="15"/>
      <c r="B185" s="15"/>
      <c r="C185" s="15"/>
      <c r="D185" s="17"/>
      <c r="E185" s="17"/>
      <c r="F185" s="17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1.25" customHeight="1" x14ac:dyDescent="0.2">
      <c r="A186" s="15" t="s">
        <v>424</v>
      </c>
      <c r="B186" s="15"/>
      <c r="C186" s="15"/>
      <c r="D186" s="17"/>
      <c r="E186" s="17"/>
      <c r="F186" s="17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1.25" customHeight="1" x14ac:dyDescent="0.2">
      <c r="A187" s="15"/>
      <c r="B187" s="15"/>
      <c r="C187" s="15"/>
      <c r="D187" s="17"/>
      <c r="E187" s="17"/>
      <c r="F187" s="17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1.25" customHeight="1" x14ac:dyDescent="0.2">
      <c r="A188" s="243" t="s">
        <v>202</v>
      </c>
      <c r="B188" s="244" t="s">
        <v>95</v>
      </c>
      <c r="C188" s="279" t="s">
        <v>245</v>
      </c>
      <c r="D188" s="245" t="s">
        <v>203</v>
      </c>
      <c r="E188" s="245" t="s">
        <v>204</v>
      </c>
      <c r="F188" s="246" t="s">
        <v>205</v>
      </c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1.25" customHeight="1" x14ac:dyDescent="0.2">
      <c r="A189" s="247" t="s">
        <v>132</v>
      </c>
      <c r="B189" s="252" t="s">
        <v>238</v>
      </c>
      <c r="C189" s="281">
        <f>12/'0. Qtdades e Custos'!J142</f>
        <v>12</v>
      </c>
      <c r="D189" s="249">
        <f>VLOOKUP(A189,'0. Qtdades e Custos'!$B$154:$F$168,4,0)</f>
        <v>25.1</v>
      </c>
      <c r="E189" s="250">
        <f>IFERROR(D189/C189,0)</f>
        <v>2.0916666666666668</v>
      </c>
      <c r="F189" s="17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1.25" customHeight="1" x14ac:dyDescent="0.2">
      <c r="A190" s="247" t="s">
        <v>133</v>
      </c>
      <c r="B190" s="252" t="s">
        <v>238</v>
      </c>
      <c r="C190" s="281">
        <f>12/'0. Qtdades e Custos'!J143</f>
        <v>12</v>
      </c>
      <c r="D190" s="249">
        <f>VLOOKUP(A190,'0. Qtdades e Custos'!$B$154:$F$168,4,0)</f>
        <v>4.28</v>
      </c>
      <c r="E190" s="250">
        <f>IFERROR(D190/C190,0)</f>
        <v>0.35666666666666669</v>
      </c>
      <c r="F190" s="17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1.25" customHeight="1" x14ac:dyDescent="0.2">
      <c r="A191" s="251" t="s">
        <v>134</v>
      </c>
      <c r="B191" s="252" t="s">
        <v>238</v>
      </c>
      <c r="C191" s="281">
        <f>12/'0. Qtdades e Custos'!J144</f>
        <v>12</v>
      </c>
      <c r="D191" s="249">
        <f>VLOOKUP(A191,'0. Qtdades e Custos'!$B$154:$F$168,4,0)</f>
        <v>1.1499999999999999</v>
      </c>
      <c r="E191" s="250">
        <f>IFERROR(D191/C191,0)</f>
        <v>9.5833333333333326E-2</v>
      </c>
      <c r="F191" s="17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1.25" customHeight="1" x14ac:dyDescent="0.2">
      <c r="A192" s="251" t="s">
        <v>138</v>
      </c>
      <c r="B192" s="252" t="s">
        <v>425</v>
      </c>
      <c r="C192" s="281">
        <f>12/'0. Qtdades e Custos'!J145</f>
        <v>12</v>
      </c>
      <c r="D192" s="249">
        <f>VLOOKUP(A192,'0. Qtdades e Custos'!$B$154:$F$168,4,0)</f>
        <v>33.130000000000003</v>
      </c>
      <c r="E192" s="250">
        <f>IFERROR(D192/C192,0)</f>
        <v>2.7608333333333337</v>
      </c>
      <c r="F192" s="17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1.25" customHeight="1" x14ac:dyDescent="0.2">
      <c r="A193" s="251" t="s">
        <v>139</v>
      </c>
      <c r="B193" s="252" t="s">
        <v>159</v>
      </c>
      <c r="C193" s="281">
        <f>12/'0. Qtdades e Custos'!J146</f>
        <v>12</v>
      </c>
      <c r="D193" s="249">
        <f>VLOOKUP(A193,'0. Qtdades e Custos'!$B$154:$F$168,4,0)</f>
        <v>43.29</v>
      </c>
      <c r="E193" s="250">
        <f>IFERROR(D193/C193,0)</f>
        <v>3.6074999999999999</v>
      </c>
      <c r="F193" s="17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1.25" customHeight="1" x14ac:dyDescent="0.2">
      <c r="A194" s="251" t="s">
        <v>215</v>
      </c>
      <c r="B194" s="252" t="s">
        <v>216</v>
      </c>
      <c r="C194" s="283">
        <f>E49</f>
        <v>1</v>
      </c>
      <c r="D194" s="253">
        <f>+SUM(E189:E193)</f>
        <v>8.9124999999999996</v>
      </c>
      <c r="E194" s="253">
        <f>C194*D194</f>
        <v>8.9124999999999996</v>
      </c>
      <c r="F194" s="17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1.25" customHeight="1" x14ac:dyDescent="0.2">
      <c r="A195" s="15"/>
      <c r="B195" s="15"/>
      <c r="C195" s="15"/>
      <c r="D195" s="258" t="s">
        <v>217</v>
      </c>
      <c r="E195" s="259">
        <f>$B$59</f>
        <v>0.45454545454545453</v>
      </c>
      <c r="F195" s="260">
        <f>E194*E195</f>
        <v>4.0511363636363633</v>
      </c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1.25" customHeight="1" x14ac:dyDescent="0.2">
      <c r="A196" s="15"/>
      <c r="B196" s="15"/>
      <c r="C196" s="15"/>
      <c r="D196" s="17"/>
      <c r="E196" s="17"/>
      <c r="F196" s="17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customHeight="1" x14ac:dyDescent="0.2">
      <c r="A197" s="276" t="s">
        <v>250</v>
      </c>
      <c r="B197" s="284"/>
      <c r="C197" s="284"/>
      <c r="D197" s="285"/>
      <c r="E197" s="286"/>
      <c r="F197" s="287">
        <f>+F154+F169+F184+F195</f>
        <v>133.00030303030303</v>
      </c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1.25" customHeight="1" x14ac:dyDescent="0.2">
      <c r="A198" s="15"/>
      <c r="B198" s="15"/>
      <c r="C198" s="15"/>
      <c r="D198" s="17"/>
      <c r="E198" s="17"/>
      <c r="F198" s="17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customHeight="1" x14ac:dyDescent="0.2">
      <c r="A199" s="40" t="s">
        <v>251</v>
      </c>
      <c r="B199" s="15"/>
      <c r="C199" s="15"/>
      <c r="D199" s="17"/>
      <c r="E199" s="17"/>
      <c r="F199" s="17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1.25" customHeight="1" x14ac:dyDescent="0.2">
      <c r="A200" s="15"/>
      <c r="B200" s="288"/>
      <c r="C200" s="15"/>
      <c r="D200" s="17"/>
      <c r="E200" s="17"/>
      <c r="F200" s="17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2.75" customHeight="1" x14ac:dyDescent="0.2">
      <c r="A201" s="516" t="s">
        <v>426</v>
      </c>
      <c r="B201" s="516"/>
      <c r="C201" s="516"/>
      <c r="D201" s="516"/>
      <c r="E201" s="516"/>
      <c r="F201" s="5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1.25" customHeight="1" x14ac:dyDescent="0.2">
      <c r="A202" s="15"/>
      <c r="B202" s="15"/>
      <c r="C202" s="15"/>
      <c r="D202" s="17"/>
      <c r="E202" s="17"/>
      <c r="F202" s="17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2.75" customHeight="1" x14ac:dyDescent="0.2">
      <c r="A203" s="288" t="s">
        <v>253</v>
      </c>
      <c r="B203" s="15"/>
      <c r="C203" s="15"/>
      <c r="D203" s="17"/>
      <c r="E203" s="17"/>
      <c r="F203" s="17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 x14ac:dyDescent="0.2">
      <c r="A204" s="243" t="s">
        <v>202</v>
      </c>
      <c r="B204" s="244" t="s">
        <v>95</v>
      </c>
      <c r="C204" s="244" t="s">
        <v>50</v>
      </c>
      <c r="D204" s="245" t="s">
        <v>203</v>
      </c>
      <c r="E204" s="245" t="s">
        <v>204</v>
      </c>
      <c r="F204" s="246" t="s">
        <v>205</v>
      </c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 x14ac:dyDescent="0.2">
      <c r="A205" s="247" t="s">
        <v>254</v>
      </c>
      <c r="B205" s="248" t="s">
        <v>238</v>
      </c>
      <c r="C205" s="248">
        <v>1</v>
      </c>
      <c r="D205" s="249">
        <f>'0. Qtdades e Custos'!N66</f>
        <v>65690</v>
      </c>
      <c r="E205" s="250">
        <f>C205*D205</f>
        <v>65690</v>
      </c>
      <c r="F205" s="17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 x14ac:dyDescent="0.2">
      <c r="A206" s="251" t="s">
        <v>255</v>
      </c>
      <c r="B206" s="252" t="s">
        <v>256</v>
      </c>
      <c r="C206" s="281">
        <f>'0. Qtdades e Custos'!Q66</f>
        <v>5</v>
      </c>
      <c r="D206" s="253"/>
      <c r="E206" s="253"/>
      <c r="F206" s="17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customHeight="1" x14ac:dyDescent="0.2">
      <c r="A207" s="251" t="s">
        <v>257</v>
      </c>
      <c r="B207" s="252" t="s">
        <v>256</v>
      </c>
      <c r="C207" s="257">
        <v>0</v>
      </c>
      <c r="D207" s="253"/>
      <c r="E207" s="253"/>
      <c r="F207" s="134"/>
      <c r="G207" s="17"/>
      <c r="H207" s="15"/>
      <c r="I207" s="290"/>
      <c r="J207" s="290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 x14ac:dyDescent="0.2">
      <c r="A208" s="251" t="s">
        <v>258</v>
      </c>
      <c r="B208" s="252" t="s">
        <v>182</v>
      </c>
      <c r="C208" s="256">
        <f>IFERROR(VLOOKUP(C206,'7. Depreciação'!A3:B17,2,0),0)</f>
        <v>55.68</v>
      </c>
      <c r="D208" s="253">
        <f>E205</f>
        <v>65690</v>
      </c>
      <c r="E208" s="253">
        <f>C208*D208/100</f>
        <v>36576.192000000003</v>
      </c>
      <c r="F208" s="17"/>
      <c r="G208" s="17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 x14ac:dyDescent="0.2">
      <c r="A209" s="291" t="s">
        <v>427</v>
      </c>
      <c r="B209" s="292" t="s">
        <v>208</v>
      </c>
      <c r="C209" s="292">
        <f>C206*12</f>
        <v>60</v>
      </c>
      <c r="D209" s="293">
        <f>IF(C207&lt;=C206,E208,0)</f>
        <v>36576.192000000003</v>
      </c>
      <c r="E209" s="293">
        <f>IFERROR(D209/C209,0)</f>
        <v>609.60320000000002</v>
      </c>
      <c r="F209" s="17"/>
      <c r="G209" s="17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2.75" customHeight="1" x14ac:dyDescent="0.2">
      <c r="A210" s="254" t="s">
        <v>260</v>
      </c>
      <c r="B210" s="135"/>
      <c r="C210" s="135"/>
      <c r="D210" s="39"/>
      <c r="E210" s="255">
        <f>E209</f>
        <v>609.60320000000002</v>
      </c>
      <c r="F210" s="17"/>
      <c r="G210" s="17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2.75" customHeight="1" x14ac:dyDescent="0.2">
      <c r="A211" s="262" t="s">
        <v>261</v>
      </c>
      <c r="B211" s="294" t="s">
        <v>238</v>
      </c>
      <c r="C211" s="281">
        <f>'0. Qtdades e Custos'!P66</f>
        <v>1</v>
      </c>
      <c r="D211" s="263">
        <f>E210</f>
        <v>609.60320000000002</v>
      </c>
      <c r="E211" s="255">
        <f>C211*D211</f>
        <v>609.60320000000002</v>
      </c>
      <c r="F211" s="17"/>
      <c r="G211" s="17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.75" customHeight="1" x14ac:dyDescent="0.2">
      <c r="A212" s="295"/>
      <c r="B212" s="295"/>
      <c r="C212" s="295"/>
      <c r="D212" s="258" t="s">
        <v>217</v>
      </c>
      <c r="E212" s="259">
        <f>$B$58</f>
        <v>1</v>
      </c>
      <c r="F212" s="287">
        <f>E211*E212</f>
        <v>609.60320000000002</v>
      </c>
      <c r="G212" s="17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1.25" customHeight="1" x14ac:dyDescent="0.2">
      <c r="A213" s="15"/>
      <c r="B213" s="15"/>
      <c r="C213" s="15"/>
      <c r="D213" s="17"/>
      <c r="E213" s="17"/>
      <c r="F213" s="17"/>
      <c r="G213" s="17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2.75" customHeight="1" x14ac:dyDescent="0.2">
      <c r="A214" s="288" t="s">
        <v>262</v>
      </c>
      <c r="B214" s="15"/>
      <c r="C214" s="15"/>
      <c r="D214" s="17"/>
      <c r="E214" s="17"/>
      <c r="F214" s="17"/>
      <c r="G214" s="17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 x14ac:dyDescent="0.2">
      <c r="A215" s="243" t="s">
        <v>202</v>
      </c>
      <c r="B215" s="244" t="s">
        <v>95</v>
      </c>
      <c r="C215" s="244" t="s">
        <v>50</v>
      </c>
      <c r="D215" s="245" t="s">
        <v>203</v>
      </c>
      <c r="E215" s="245" t="s">
        <v>204</v>
      </c>
      <c r="F215" s="246" t="s">
        <v>205</v>
      </c>
      <c r="G215" s="17"/>
      <c r="H215" s="15"/>
      <c r="I215" s="290"/>
      <c r="J215" s="290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 x14ac:dyDescent="0.2">
      <c r="A216" s="247" t="s">
        <v>263</v>
      </c>
      <c r="B216" s="248" t="s">
        <v>238</v>
      </c>
      <c r="C216" s="248">
        <v>1</v>
      </c>
      <c r="D216" s="250">
        <f>D205</f>
        <v>65690</v>
      </c>
      <c r="E216" s="250">
        <f>C216*D216</f>
        <v>65690</v>
      </c>
      <c r="F216" s="134"/>
      <c r="G216" s="17"/>
      <c r="H216" s="15"/>
      <c r="I216" s="290"/>
      <c r="J216" s="290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 x14ac:dyDescent="0.2">
      <c r="A217" s="251" t="s">
        <v>264</v>
      </c>
      <c r="B217" s="252" t="s">
        <v>182</v>
      </c>
      <c r="C217" s="257">
        <v>14.25</v>
      </c>
      <c r="D217" s="253"/>
      <c r="E217" s="253"/>
      <c r="F217" s="134"/>
      <c r="G217" s="17"/>
      <c r="H217" s="15"/>
      <c r="I217" s="290"/>
      <c r="J217" s="290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 x14ac:dyDescent="0.2">
      <c r="A218" s="251" t="s">
        <v>265</v>
      </c>
      <c r="B218" s="252" t="s">
        <v>231</v>
      </c>
      <c r="C218" s="253">
        <f>IFERROR(IF(C207&lt;=C206,E205-(C208/(100*C206)*C207)*E205,E205-E208),0)</f>
        <v>65690</v>
      </c>
      <c r="D218" s="253"/>
      <c r="E218" s="253"/>
      <c r="F218" s="134"/>
      <c r="G218" s="17"/>
      <c r="H218" s="15"/>
      <c r="I218" s="290"/>
      <c r="J218" s="290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 x14ac:dyDescent="0.2">
      <c r="A219" s="251" t="s">
        <v>266</v>
      </c>
      <c r="B219" s="252" t="s">
        <v>231</v>
      </c>
      <c r="C219" s="253">
        <f>IFERROR(IF(C207&gt;=C206,C218,((((C218)-(E205-E208))*(((C206-C207)+1)/(2*(C206-C207))))+(E205-E208))),0)</f>
        <v>51059.523199999996</v>
      </c>
      <c r="D219" s="253"/>
      <c r="E219" s="253"/>
      <c r="F219" s="134"/>
      <c r="G219" s="17"/>
      <c r="H219" s="15"/>
      <c r="I219" s="290"/>
      <c r="J219" s="290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 x14ac:dyDescent="0.2">
      <c r="A220" s="291" t="s">
        <v>267</v>
      </c>
      <c r="B220" s="292" t="s">
        <v>231</v>
      </c>
      <c r="C220" s="292"/>
      <c r="D220" s="293">
        <f>C217*C219/12/100</f>
        <v>606.33183799999995</v>
      </c>
      <c r="E220" s="293">
        <f>D220</f>
        <v>606.33183799999995</v>
      </c>
      <c r="F220" s="134"/>
      <c r="G220" s="17"/>
      <c r="H220" s="15"/>
      <c r="I220" s="290"/>
      <c r="J220" s="290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 x14ac:dyDescent="0.2">
      <c r="A221" s="254" t="s">
        <v>260</v>
      </c>
      <c r="B221" s="135"/>
      <c r="C221" s="135"/>
      <c r="D221" s="39"/>
      <c r="E221" s="255">
        <f>E220</f>
        <v>606.33183799999995</v>
      </c>
      <c r="F221" s="134"/>
      <c r="G221" s="17"/>
      <c r="H221" s="15"/>
      <c r="I221" s="290"/>
      <c r="J221" s="290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 x14ac:dyDescent="0.2">
      <c r="A222" s="262" t="s">
        <v>261</v>
      </c>
      <c r="B222" s="294" t="s">
        <v>238</v>
      </c>
      <c r="C222" s="296">
        <f>C211</f>
        <v>1</v>
      </c>
      <c r="D222" s="263">
        <f>E221</f>
        <v>606.33183799999995</v>
      </c>
      <c r="E222" s="255">
        <f>C222*D222</f>
        <v>606.33183799999995</v>
      </c>
      <c r="F222" s="134"/>
      <c r="G222" s="17"/>
      <c r="H222" s="15"/>
      <c r="I222" s="290"/>
      <c r="J222" s="290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2.75" customHeight="1" x14ac:dyDescent="0.2">
      <c r="A223" s="15"/>
      <c r="B223" s="15"/>
      <c r="C223" s="133"/>
      <c r="D223" s="258" t="s">
        <v>217</v>
      </c>
      <c r="E223" s="259">
        <f>$B$58</f>
        <v>1</v>
      </c>
      <c r="F223" s="287">
        <f>E222*E223</f>
        <v>606.33183799999995</v>
      </c>
      <c r="G223" s="17"/>
      <c r="H223" s="15"/>
      <c r="I223" s="290"/>
      <c r="J223" s="290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1.25" customHeight="1" x14ac:dyDescent="0.2">
      <c r="A224" s="15"/>
      <c r="B224" s="15"/>
      <c r="C224" s="15"/>
      <c r="D224" s="17"/>
      <c r="E224" s="17"/>
      <c r="F224" s="17"/>
      <c r="G224" s="17"/>
      <c r="H224" s="15"/>
      <c r="I224" s="290"/>
      <c r="J224" s="290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.75" customHeight="1" x14ac:dyDescent="0.2">
      <c r="A225" s="15" t="s">
        <v>268</v>
      </c>
      <c r="B225" s="15"/>
      <c r="C225" s="15"/>
      <c r="D225" s="17"/>
      <c r="E225" s="17"/>
      <c r="F225" s="17"/>
      <c r="G225" s="17"/>
      <c r="H225" s="15"/>
      <c r="I225" s="290"/>
      <c r="J225" s="290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 x14ac:dyDescent="0.2">
      <c r="A226" s="243" t="s">
        <v>202</v>
      </c>
      <c r="B226" s="244" t="s">
        <v>95</v>
      </c>
      <c r="C226" s="244" t="s">
        <v>50</v>
      </c>
      <c r="D226" s="245" t="s">
        <v>203</v>
      </c>
      <c r="E226" s="245" t="s">
        <v>204</v>
      </c>
      <c r="F226" s="246" t="s">
        <v>205</v>
      </c>
      <c r="G226" s="17"/>
      <c r="H226" s="15"/>
      <c r="I226" s="290"/>
      <c r="J226" s="290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2.75" customHeight="1" x14ac:dyDescent="0.2">
      <c r="A227" s="247" t="s">
        <v>269</v>
      </c>
      <c r="B227" s="248" t="s">
        <v>238</v>
      </c>
      <c r="C227" s="250">
        <f>C211</f>
        <v>1</v>
      </c>
      <c r="D227" s="250">
        <f>0.01*($E$205)</f>
        <v>656.9</v>
      </c>
      <c r="E227" s="250">
        <f>C227*D227</f>
        <v>656.9</v>
      </c>
      <c r="F227" s="17"/>
      <c r="G227" s="17"/>
      <c r="H227" s="15"/>
      <c r="I227" s="290"/>
      <c r="J227" s="290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 x14ac:dyDescent="0.2">
      <c r="A228" s="251" t="s">
        <v>270</v>
      </c>
      <c r="B228" s="252" t="s">
        <v>238</v>
      </c>
      <c r="C228" s="250">
        <f>C211</f>
        <v>1</v>
      </c>
      <c r="D228" s="273">
        <v>218.58</v>
      </c>
      <c r="E228" s="253">
        <f>C228*D228</f>
        <v>218.58</v>
      </c>
      <c r="F228" s="17"/>
      <c r="G228" s="17"/>
      <c r="H228" s="15"/>
      <c r="I228" s="290"/>
      <c r="J228" s="290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2.75" customHeight="1" x14ac:dyDescent="0.2">
      <c r="A229" s="251" t="s">
        <v>271</v>
      </c>
      <c r="B229" s="252" t="s">
        <v>238</v>
      </c>
      <c r="C229" s="250">
        <f>C211</f>
        <v>1</v>
      </c>
      <c r="D229" s="273">
        <v>400</v>
      </c>
      <c r="E229" s="253">
        <f>C229*D229</f>
        <v>400</v>
      </c>
      <c r="F229" s="39"/>
      <c r="G229" s="17"/>
      <c r="H229" s="15"/>
      <c r="I229" s="290"/>
      <c r="J229" s="290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.75" customHeight="1" x14ac:dyDescent="0.2">
      <c r="A230" s="262" t="s">
        <v>272</v>
      </c>
      <c r="B230" s="294" t="s">
        <v>208</v>
      </c>
      <c r="C230" s="294">
        <v>12</v>
      </c>
      <c r="D230" s="263">
        <f>SUM(E227:E229)</f>
        <v>1275.48</v>
      </c>
      <c r="E230" s="263">
        <f>D230/C230</f>
        <v>106.29</v>
      </c>
      <c r="F230" s="17"/>
      <c r="G230" s="17"/>
      <c r="H230" s="15"/>
      <c r="I230" s="290"/>
      <c r="J230" s="290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2.75" customHeight="1" x14ac:dyDescent="0.2">
      <c r="A231" s="15"/>
      <c r="B231" s="15"/>
      <c r="C231" s="15"/>
      <c r="D231" s="258" t="s">
        <v>217</v>
      </c>
      <c r="E231" s="259">
        <f>$B$58</f>
        <v>1</v>
      </c>
      <c r="F231" s="260">
        <f>E230*E231</f>
        <v>106.29</v>
      </c>
      <c r="G231" s="17"/>
      <c r="H231" s="15"/>
      <c r="I231" s="290"/>
      <c r="J231" s="290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1.25" customHeight="1" x14ac:dyDescent="0.2">
      <c r="A232" s="15"/>
      <c r="B232" s="15"/>
      <c r="C232" s="15"/>
      <c r="D232" s="17"/>
      <c r="E232" s="17"/>
      <c r="F232" s="17"/>
      <c r="G232" s="17"/>
      <c r="H232" s="15"/>
      <c r="I232" s="290"/>
      <c r="J232" s="290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2.75" customHeight="1" x14ac:dyDescent="0.2">
      <c r="A233" s="15" t="s">
        <v>273</v>
      </c>
      <c r="B233" s="297"/>
      <c r="C233" s="15"/>
      <c r="D233" s="17"/>
      <c r="E233" s="17"/>
      <c r="F233" s="17"/>
      <c r="G233" s="17"/>
      <c r="H233" s="15"/>
      <c r="I233" s="290"/>
      <c r="J233" s="290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2.75" customHeight="1" x14ac:dyDescent="0.2">
      <c r="A234" s="15"/>
      <c r="B234" s="297"/>
      <c r="C234" s="15"/>
      <c r="D234" s="17"/>
      <c r="E234" s="17"/>
      <c r="F234" s="17"/>
      <c r="G234" s="17"/>
      <c r="H234" s="15"/>
      <c r="I234" s="290"/>
      <c r="J234" s="290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2.75" customHeight="1" x14ac:dyDescent="0.2">
      <c r="A235" s="366" t="s">
        <v>274</v>
      </c>
      <c r="B235" s="298">
        <v>800</v>
      </c>
      <c r="C235" s="15"/>
      <c r="D235" s="17"/>
      <c r="E235" s="17"/>
      <c r="F235" s="17"/>
      <c r="G235" s="17"/>
      <c r="H235" s="15"/>
      <c r="I235" s="290"/>
      <c r="J235" s="290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2.75" customHeight="1" x14ac:dyDescent="0.2">
      <c r="A236" s="299" t="s">
        <v>275</v>
      </c>
      <c r="B236" s="300">
        <f>'0. Qtdades e Custos'!Y66</f>
        <v>404.16813539999998</v>
      </c>
      <c r="C236" s="15"/>
      <c r="D236" s="17"/>
      <c r="E236" s="17"/>
      <c r="F236" s="17"/>
      <c r="G236" s="17"/>
      <c r="H236" s="15"/>
      <c r="I236" s="290"/>
      <c r="J236" s="290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2.75" customHeight="1" x14ac:dyDescent="0.2">
      <c r="A237" s="15"/>
      <c r="B237" s="297"/>
      <c r="C237" s="15"/>
      <c r="D237" s="17"/>
      <c r="E237" s="17"/>
      <c r="F237" s="17"/>
      <c r="G237" s="17"/>
      <c r="H237" s="15"/>
      <c r="I237" s="290"/>
      <c r="J237" s="290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2.75" customHeight="1" x14ac:dyDescent="0.2">
      <c r="A238" s="243" t="s">
        <v>202</v>
      </c>
      <c r="B238" s="244" t="s">
        <v>95</v>
      </c>
      <c r="C238" s="244" t="s">
        <v>276</v>
      </c>
      <c r="D238" s="245" t="s">
        <v>203</v>
      </c>
      <c r="E238" s="245" t="s">
        <v>204</v>
      </c>
      <c r="F238" s="246" t="s">
        <v>205</v>
      </c>
      <c r="G238" s="17"/>
      <c r="H238" s="15"/>
      <c r="I238" s="290"/>
      <c r="J238" s="290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2.75" customHeight="1" x14ac:dyDescent="0.2">
      <c r="A239" s="251" t="s">
        <v>364</v>
      </c>
      <c r="B239" s="248" t="s">
        <v>278</v>
      </c>
      <c r="C239" s="301">
        <f>B236</f>
        <v>404.16813539999998</v>
      </c>
      <c r="D239" s="302">
        <v>6.2</v>
      </c>
      <c r="E239" s="250"/>
      <c r="F239" s="17"/>
      <c r="G239" s="17"/>
      <c r="H239" s="15"/>
      <c r="I239" s="290"/>
      <c r="J239" s="290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2.75" customHeight="1" x14ac:dyDescent="0.2">
      <c r="A240" s="299" t="s">
        <v>279</v>
      </c>
      <c r="B240" s="248" t="s">
        <v>280</v>
      </c>
      <c r="C240" s="267">
        <f>C239</f>
        <v>404.16813539999998</v>
      </c>
      <c r="D240" s="303"/>
      <c r="E240" s="253">
        <f>C240*D239</f>
        <v>2505.8424394799999</v>
      </c>
      <c r="F240" s="17"/>
      <c r="G240" s="17"/>
      <c r="H240" s="15"/>
      <c r="I240" s="290"/>
      <c r="J240" s="290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2.75" customHeight="1" x14ac:dyDescent="0.2">
      <c r="A241" s="15"/>
      <c r="B241" s="15"/>
      <c r="C241" s="15"/>
      <c r="D241" s="17"/>
      <c r="E241" s="17"/>
      <c r="F241" s="287">
        <f>SUM(E239:E240)</f>
        <v>2505.8424394799999</v>
      </c>
      <c r="G241" s="17"/>
      <c r="H241" s="15"/>
      <c r="I241" s="290"/>
      <c r="J241" s="290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1.25" customHeight="1" x14ac:dyDescent="0.2">
      <c r="A242" s="15"/>
      <c r="B242" s="15"/>
      <c r="C242" s="15"/>
      <c r="D242" s="17"/>
      <c r="E242" s="17"/>
      <c r="F242" s="17"/>
      <c r="G242" s="17"/>
      <c r="H242" s="15"/>
      <c r="I242" s="290"/>
      <c r="J242" s="290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2.75" customHeight="1" x14ac:dyDescent="0.2">
      <c r="A243" s="15" t="s">
        <v>281</v>
      </c>
      <c r="B243" s="15"/>
      <c r="C243" s="15"/>
      <c r="D243" s="17"/>
      <c r="E243" s="17"/>
      <c r="F243" s="17"/>
      <c r="G243" s="17"/>
      <c r="H243" s="15"/>
      <c r="I243" s="290"/>
      <c r="J243" s="290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2.75" customHeight="1" x14ac:dyDescent="0.2">
      <c r="A244" s="243" t="s">
        <v>202</v>
      </c>
      <c r="B244" s="244" t="s">
        <v>95</v>
      </c>
      <c r="C244" s="244" t="s">
        <v>50</v>
      </c>
      <c r="D244" s="245" t="s">
        <v>203</v>
      </c>
      <c r="E244" s="245" t="s">
        <v>204</v>
      </c>
      <c r="F244" s="246" t="s">
        <v>205</v>
      </c>
      <c r="G244" s="17"/>
      <c r="H244" s="15"/>
      <c r="I244" s="290"/>
      <c r="J244" s="290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2.75" customHeight="1" x14ac:dyDescent="0.2">
      <c r="A245" s="247" t="s">
        <v>428</v>
      </c>
      <c r="B245" s="248" t="s">
        <v>316</v>
      </c>
      <c r="C245" s="296">
        <f>'0. Qtdades e Custos'!S66/('0. Qtdades e Custos'!Q66*12)</f>
        <v>0.01</v>
      </c>
      <c r="D245" s="249">
        <f>D216</f>
        <v>65690</v>
      </c>
      <c r="E245" s="250">
        <f>C245*D245</f>
        <v>656.9</v>
      </c>
      <c r="F245" s="17"/>
      <c r="G245" s="17"/>
      <c r="H245" s="15"/>
      <c r="I245" s="290"/>
      <c r="J245" s="290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2.75" customHeight="1" x14ac:dyDescent="0.2">
      <c r="A246" s="15"/>
      <c r="B246" s="15"/>
      <c r="C246" s="15"/>
      <c r="D246" s="17"/>
      <c r="E246" s="17"/>
      <c r="F246" s="287">
        <f>E245</f>
        <v>656.9</v>
      </c>
      <c r="G246" s="17"/>
      <c r="H246" s="15"/>
      <c r="I246" s="290"/>
      <c r="J246" s="290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1.25" customHeight="1" x14ac:dyDescent="0.2">
      <c r="A247" s="15"/>
      <c r="B247" s="15"/>
      <c r="C247" s="15"/>
      <c r="D247" s="17"/>
      <c r="E247" s="17"/>
      <c r="F247" s="17"/>
      <c r="G247" s="17"/>
      <c r="H247" s="15"/>
      <c r="I247" s="290"/>
      <c r="J247" s="290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2.75" customHeight="1" x14ac:dyDescent="0.2">
      <c r="A248" s="15" t="s">
        <v>285</v>
      </c>
      <c r="B248" s="15"/>
      <c r="C248" s="15"/>
      <c r="D248" s="17"/>
      <c r="E248" s="17"/>
      <c r="F248" s="17"/>
      <c r="G248" s="17"/>
      <c r="H248" s="15"/>
      <c r="I248" s="290"/>
      <c r="J248" s="290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2.75" customHeight="1" x14ac:dyDescent="0.2">
      <c r="A249" s="243" t="s">
        <v>202</v>
      </c>
      <c r="B249" s="244" t="s">
        <v>95</v>
      </c>
      <c r="C249" s="244" t="s">
        <v>50</v>
      </c>
      <c r="D249" s="245" t="s">
        <v>203</v>
      </c>
      <c r="E249" s="245" t="s">
        <v>204</v>
      </c>
      <c r="F249" s="246" t="s">
        <v>205</v>
      </c>
      <c r="G249" s="17"/>
      <c r="H249" s="15"/>
      <c r="I249" s="290"/>
      <c r="J249" s="290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2.75" customHeight="1" x14ac:dyDescent="0.2">
      <c r="A250" s="367" t="s">
        <v>429</v>
      </c>
      <c r="B250" s="248" t="s">
        <v>238</v>
      </c>
      <c r="C250" s="306">
        <v>4</v>
      </c>
      <c r="D250" s="249">
        <v>314.7</v>
      </c>
      <c r="E250" s="250">
        <f>C250*D250</f>
        <v>1258.8</v>
      </c>
      <c r="F250" s="17"/>
      <c r="G250" s="17"/>
      <c r="H250" s="15"/>
      <c r="I250" s="290"/>
      <c r="J250" s="290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2.75" customHeight="1" x14ac:dyDescent="0.2">
      <c r="A251" s="247" t="s">
        <v>287</v>
      </c>
      <c r="B251" s="248" t="s">
        <v>238</v>
      </c>
      <c r="C251" s="306">
        <v>0</v>
      </c>
      <c r="D251" s="250"/>
      <c r="E251" s="250"/>
      <c r="F251" s="17"/>
      <c r="G251" s="17"/>
      <c r="H251" s="15"/>
      <c r="I251" s="290"/>
      <c r="J251" s="290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2.75" customHeight="1" x14ac:dyDescent="0.2">
      <c r="A252" s="247" t="s">
        <v>430</v>
      </c>
      <c r="B252" s="248" t="s">
        <v>238</v>
      </c>
      <c r="C252" s="250">
        <v>0</v>
      </c>
      <c r="D252" s="301">
        <v>0</v>
      </c>
      <c r="E252" s="250">
        <f>C252*D252</f>
        <v>0</v>
      </c>
      <c r="F252" s="17"/>
      <c r="G252" s="17"/>
      <c r="H252" s="15"/>
      <c r="I252" s="290"/>
      <c r="J252" s="290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2.75" customHeight="1" x14ac:dyDescent="0.2">
      <c r="A253" s="368" t="s">
        <v>289</v>
      </c>
      <c r="B253" s="369" t="s">
        <v>290</v>
      </c>
      <c r="C253" s="307">
        <v>40000</v>
      </c>
      <c r="D253" s="253">
        <f>E250+E252</f>
        <v>1258.8</v>
      </c>
      <c r="E253" s="253">
        <f>IFERROR(D253/C253,"-")</f>
        <v>3.1469999999999998E-2</v>
      </c>
      <c r="F253" s="17"/>
      <c r="G253" s="17"/>
      <c r="H253" s="15"/>
      <c r="I253" s="290"/>
      <c r="J253" s="290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2.75" customHeight="1" x14ac:dyDescent="0.2">
      <c r="A254" s="251" t="s">
        <v>291</v>
      </c>
      <c r="B254" s="252" t="s">
        <v>292</v>
      </c>
      <c r="C254" s="267">
        <f>B235</f>
        <v>800</v>
      </c>
      <c r="D254" s="253">
        <f>E253</f>
        <v>3.1469999999999998E-2</v>
      </c>
      <c r="E254" s="253">
        <f>IFERROR(C254*D254,0)</f>
        <v>25.175999999999998</v>
      </c>
      <c r="F254" s="17"/>
      <c r="G254" s="17"/>
      <c r="H254" s="15"/>
      <c r="I254" s="290"/>
      <c r="J254" s="290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2.75" customHeight="1" x14ac:dyDescent="0.2">
      <c r="A255" s="15"/>
      <c r="B255" s="15"/>
      <c r="C255" s="15"/>
      <c r="D255" s="17"/>
      <c r="E255" s="17"/>
      <c r="F255" s="287">
        <f>E254</f>
        <v>25.175999999999998</v>
      </c>
      <c r="G255" s="17"/>
      <c r="H255" s="15"/>
      <c r="I255" s="290"/>
      <c r="J255" s="290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1.25" customHeight="1" x14ac:dyDescent="0.2">
      <c r="A256" s="15"/>
      <c r="B256" s="15"/>
      <c r="C256" s="15"/>
      <c r="D256" s="17"/>
      <c r="E256" s="17"/>
      <c r="F256" s="17"/>
      <c r="G256" s="17"/>
      <c r="H256" s="15"/>
      <c r="I256" s="290"/>
      <c r="J256" s="290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2.75" customHeight="1" x14ac:dyDescent="0.2">
      <c r="A257" s="516" t="s">
        <v>431</v>
      </c>
      <c r="B257" s="516"/>
      <c r="C257" s="516"/>
      <c r="D257" s="516"/>
      <c r="E257" s="516"/>
      <c r="F257" s="516"/>
      <c r="G257" s="17"/>
      <c r="H257" s="15"/>
      <c r="I257" s="290"/>
      <c r="J257" s="290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1.25" customHeight="1" x14ac:dyDescent="0.2">
      <c r="A258" s="15"/>
      <c r="B258" s="15"/>
      <c r="C258" s="15"/>
      <c r="D258" s="17"/>
      <c r="E258" s="17"/>
      <c r="F258" s="17"/>
      <c r="G258" s="17"/>
      <c r="H258" s="15"/>
      <c r="I258" s="290"/>
      <c r="J258" s="290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1.25" customHeight="1" x14ac:dyDescent="0.2">
      <c r="A259" s="288" t="s">
        <v>303</v>
      </c>
      <c r="B259" s="15"/>
      <c r="C259" s="15"/>
      <c r="D259" s="17"/>
      <c r="E259" s="17"/>
      <c r="F259" s="17"/>
      <c r="G259" s="17"/>
      <c r="H259" s="15"/>
      <c r="I259" s="290"/>
      <c r="J259" s="290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1.25" customHeight="1" x14ac:dyDescent="0.2">
      <c r="A260" s="243" t="s">
        <v>202</v>
      </c>
      <c r="B260" s="244" t="s">
        <v>95</v>
      </c>
      <c r="C260" s="244" t="s">
        <v>50</v>
      </c>
      <c r="D260" s="245" t="s">
        <v>203</v>
      </c>
      <c r="E260" s="245" t="s">
        <v>204</v>
      </c>
      <c r="F260" s="246" t="s">
        <v>205</v>
      </c>
      <c r="G260" s="17"/>
      <c r="H260" s="15"/>
      <c r="I260" s="290"/>
      <c r="J260" s="290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1.25" customHeight="1" x14ac:dyDescent="0.2">
      <c r="A261" s="247" t="s">
        <v>254</v>
      </c>
      <c r="B261" s="248" t="s">
        <v>238</v>
      </c>
      <c r="C261" s="248">
        <v>1</v>
      </c>
      <c r="D261" s="249">
        <f>'0. Qtdades e Custos'!N67</f>
        <v>90058</v>
      </c>
      <c r="E261" s="250">
        <f>C261*D261</f>
        <v>90058</v>
      </c>
      <c r="F261" s="17"/>
      <c r="G261" s="17"/>
      <c r="H261" s="15"/>
      <c r="I261" s="290"/>
      <c r="J261" s="290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1.25" customHeight="1" x14ac:dyDescent="0.2">
      <c r="A262" s="251" t="s">
        <v>255</v>
      </c>
      <c r="B262" s="252" t="s">
        <v>256</v>
      </c>
      <c r="C262" s="281">
        <f>'0. Qtdades e Custos'!Q67</f>
        <v>5</v>
      </c>
      <c r="D262" s="253"/>
      <c r="E262" s="253"/>
      <c r="F262" s="17"/>
      <c r="G262" s="17"/>
      <c r="H262" s="15"/>
      <c r="I262" s="290"/>
      <c r="J262" s="290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1.25" customHeight="1" x14ac:dyDescent="0.2">
      <c r="A263" s="251" t="s">
        <v>257</v>
      </c>
      <c r="B263" s="252" t="s">
        <v>256</v>
      </c>
      <c r="C263" s="257">
        <v>0</v>
      </c>
      <c r="D263" s="253"/>
      <c r="E263" s="253"/>
      <c r="F263" s="134"/>
      <c r="G263" s="17"/>
      <c r="H263" s="15"/>
      <c r="I263" s="290"/>
      <c r="J263" s="290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1.25" customHeight="1" x14ac:dyDescent="0.2">
      <c r="A264" s="251" t="s">
        <v>258</v>
      </c>
      <c r="B264" s="252" t="s">
        <v>182</v>
      </c>
      <c r="C264" s="256">
        <f>IFERROR(VLOOKUP(C262,'7. Depreciação'!A3:B17,2,0),0)</f>
        <v>55.68</v>
      </c>
      <c r="D264" s="253">
        <f>E261</f>
        <v>90058</v>
      </c>
      <c r="E264" s="253">
        <f>C264*D264/100</f>
        <v>50144.294400000006</v>
      </c>
      <c r="F264" s="17"/>
      <c r="G264" s="17"/>
      <c r="H264" s="15"/>
      <c r="I264" s="290"/>
      <c r="J264" s="290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1.25" customHeight="1" x14ac:dyDescent="0.2">
      <c r="A265" s="291" t="s">
        <v>427</v>
      </c>
      <c r="B265" s="292" t="s">
        <v>208</v>
      </c>
      <c r="C265" s="292">
        <f>C262*12</f>
        <v>60</v>
      </c>
      <c r="D265" s="293">
        <f>IF(C263&lt;=C262,E264,0)</f>
        <v>50144.294400000006</v>
      </c>
      <c r="E265" s="293">
        <f>IFERROR(D265/C265,0)</f>
        <v>835.73824000000013</v>
      </c>
      <c r="F265" s="17"/>
      <c r="G265" s="17"/>
      <c r="H265" s="15"/>
      <c r="I265" s="290"/>
      <c r="J265" s="290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1.25" customHeight="1" x14ac:dyDescent="0.2">
      <c r="A266" s="254" t="s">
        <v>260</v>
      </c>
      <c r="B266" s="135"/>
      <c r="C266" s="135"/>
      <c r="D266" s="39"/>
      <c r="E266" s="255">
        <f>E265</f>
        <v>835.73824000000013</v>
      </c>
      <c r="F266" s="17"/>
      <c r="G266" s="17"/>
      <c r="H266" s="15"/>
      <c r="I266" s="290"/>
      <c r="J266" s="290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1.25" customHeight="1" x14ac:dyDescent="0.2">
      <c r="A267" s="262" t="s">
        <v>261</v>
      </c>
      <c r="B267" s="294" t="s">
        <v>238</v>
      </c>
      <c r="C267" s="281">
        <f>'0. Qtdades e Custos'!P67</f>
        <v>1</v>
      </c>
      <c r="D267" s="263">
        <f>E266</f>
        <v>835.73824000000013</v>
      </c>
      <c r="E267" s="255">
        <f>C267*D267</f>
        <v>835.73824000000013</v>
      </c>
      <c r="F267" s="17"/>
      <c r="G267" s="17"/>
      <c r="H267" s="15"/>
      <c r="I267" s="290"/>
      <c r="J267" s="290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1.25" customHeight="1" x14ac:dyDescent="0.2">
      <c r="A268" s="295"/>
      <c r="B268" s="295"/>
      <c r="C268" s="295"/>
      <c r="D268" s="258" t="s">
        <v>217</v>
      </c>
      <c r="E268" s="259">
        <f>$B$58</f>
        <v>1</v>
      </c>
      <c r="F268" s="287">
        <f>E267*E268</f>
        <v>835.73824000000013</v>
      </c>
      <c r="G268" s="17"/>
      <c r="H268" s="15"/>
      <c r="I268" s="290"/>
      <c r="J268" s="290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1.25" customHeight="1" x14ac:dyDescent="0.2">
      <c r="A269" s="15"/>
      <c r="B269" s="15"/>
      <c r="C269" s="15"/>
      <c r="D269" s="17"/>
      <c r="E269" s="17"/>
      <c r="F269" s="17"/>
      <c r="G269" s="17"/>
      <c r="H269" s="15"/>
      <c r="I269" s="290"/>
      <c r="J269" s="290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1.25" customHeight="1" x14ac:dyDescent="0.2">
      <c r="A270" s="288" t="s">
        <v>306</v>
      </c>
      <c r="B270" s="15"/>
      <c r="C270" s="15"/>
      <c r="D270" s="17"/>
      <c r="E270" s="17"/>
      <c r="F270" s="17"/>
      <c r="G270" s="17"/>
      <c r="H270" s="15"/>
      <c r="I270" s="290"/>
      <c r="J270" s="290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1.25" customHeight="1" x14ac:dyDescent="0.2">
      <c r="A271" s="243" t="s">
        <v>202</v>
      </c>
      <c r="B271" s="244" t="s">
        <v>95</v>
      </c>
      <c r="C271" s="244" t="s">
        <v>50</v>
      </c>
      <c r="D271" s="245" t="s">
        <v>203</v>
      </c>
      <c r="E271" s="245" t="s">
        <v>204</v>
      </c>
      <c r="F271" s="246" t="s">
        <v>205</v>
      </c>
      <c r="G271" s="17"/>
      <c r="H271" s="15"/>
      <c r="I271" s="290"/>
      <c r="J271" s="290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1.25" customHeight="1" x14ac:dyDescent="0.2">
      <c r="A272" s="247" t="s">
        <v>263</v>
      </c>
      <c r="B272" s="248" t="s">
        <v>238</v>
      </c>
      <c r="C272" s="248">
        <v>1</v>
      </c>
      <c r="D272" s="250">
        <f>D261</f>
        <v>90058</v>
      </c>
      <c r="E272" s="250">
        <f>C272*D272</f>
        <v>90058</v>
      </c>
      <c r="F272" s="134"/>
      <c r="G272" s="17"/>
      <c r="H272" s="15"/>
      <c r="I272" s="290"/>
      <c r="J272" s="290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1.25" customHeight="1" x14ac:dyDescent="0.2">
      <c r="A273" s="251" t="s">
        <v>264</v>
      </c>
      <c r="B273" s="252" t="s">
        <v>182</v>
      </c>
      <c r="C273" s="257">
        <v>14.25</v>
      </c>
      <c r="D273" s="253"/>
      <c r="E273" s="253"/>
      <c r="F273" s="134"/>
      <c r="G273" s="17"/>
      <c r="H273" s="15"/>
      <c r="I273" s="290"/>
      <c r="J273" s="290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1.25" customHeight="1" x14ac:dyDescent="0.2">
      <c r="A274" s="251" t="s">
        <v>265</v>
      </c>
      <c r="B274" s="252" t="s">
        <v>231</v>
      </c>
      <c r="C274" s="253">
        <f>IFERROR(IF(C263&lt;=C262,E261-(C264/(100*C262)*C263)*E261,E261-E264),0)</f>
        <v>90058</v>
      </c>
      <c r="D274" s="253"/>
      <c r="E274" s="253"/>
      <c r="F274" s="134"/>
      <c r="G274" s="17"/>
      <c r="H274" s="15"/>
      <c r="I274" s="290"/>
      <c r="J274" s="290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1.25" customHeight="1" x14ac:dyDescent="0.2">
      <c r="A275" s="251" t="s">
        <v>266</v>
      </c>
      <c r="B275" s="252" t="s">
        <v>231</v>
      </c>
      <c r="C275" s="253">
        <f>IFERROR(IF(C263&gt;=C262,C274,((((C274)-(E261-E264))*(((C262-C263)+1)/(2*(C262-C263))))+(E261-E264))),0)</f>
        <v>70000.28224</v>
      </c>
      <c r="D275" s="253"/>
      <c r="E275" s="253"/>
      <c r="F275" s="134"/>
      <c r="G275" s="17"/>
      <c r="H275" s="15"/>
      <c r="I275" s="290"/>
      <c r="J275" s="290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1.25" customHeight="1" x14ac:dyDescent="0.2">
      <c r="A276" s="291" t="s">
        <v>267</v>
      </c>
      <c r="B276" s="292" t="s">
        <v>231</v>
      </c>
      <c r="C276" s="292"/>
      <c r="D276" s="293">
        <f>C273*C275/12/100</f>
        <v>831.25335159999997</v>
      </c>
      <c r="E276" s="293">
        <f>D276</f>
        <v>831.25335159999997</v>
      </c>
      <c r="F276" s="134"/>
      <c r="G276" s="17"/>
      <c r="H276" s="15"/>
      <c r="I276" s="290"/>
      <c r="J276" s="290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1.25" customHeight="1" x14ac:dyDescent="0.2">
      <c r="A277" s="254" t="s">
        <v>260</v>
      </c>
      <c r="B277" s="135"/>
      <c r="C277" s="135"/>
      <c r="D277" s="39"/>
      <c r="E277" s="255">
        <f>E276</f>
        <v>831.25335159999997</v>
      </c>
      <c r="F277" s="134"/>
      <c r="G277" s="17"/>
      <c r="H277" s="15"/>
      <c r="I277" s="290"/>
      <c r="J277" s="290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1.25" customHeight="1" x14ac:dyDescent="0.2">
      <c r="A278" s="262" t="s">
        <v>261</v>
      </c>
      <c r="B278" s="294" t="s">
        <v>238</v>
      </c>
      <c r="C278" s="296">
        <f>C267</f>
        <v>1</v>
      </c>
      <c r="D278" s="263">
        <f>E277</f>
        <v>831.25335159999997</v>
      </c>
      <c r="E278" s="255">
        <f>C278*D278</f>
        <v>831.25335159999997</v>
      </c>
      <c r="F278" s="134"/>
      <c r="G278" s="17"/>
      <c r="H278" s="15"/>
      <c r="I278" s="290"/>
      <c r="J278" s="290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1.25" customHeight="1" x14ac:dyDescent="0.2">
      <c r="A279" s="15"/>
      <c r="B279" s="15"/>
      <c r="C279" s="133"/>
      <c r="D279" s="258" t="s">
        <v>217</v>
      </c>
      <c r="E279" s="259">
        <f>$B$58</f>
        <v>1</v>
      </c>
      <c r="F279" s="287">
        <f>E278*E279</f>
        <v>831.25335159999997</v>
      </c>
      <c r="G279" s="17"/>
      <c r="H279" s="15"/>
      <c r="I279" s="290"/>
      <c r="J279" s="290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1.25" customHeight="1" x14ac:dyDescent="0.2">
      <c r="A280" s="15"/>
      <c r="B280" s="15"/>
      <c r="C280" s="15"/>
      <c r="D280" s="17"/>
      <c r="E280" s="17"/>
      <c r="F280" s="17"/>
      <c r="G280" s="17"/>
      <c r="H280" s="15"/>
      <c r="I280" s="290"/>
      <c r="J280" s="290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1.25" customHeight="1" x14ac:dyDescent="0.2">
      <c r="A281" s="15" t="s">
        <v>310</v>
      </c>
      <c r="B281" s="15"/>
      <c r="C281" s="15"/>
      <c r="D281" s="17"/>
      <c r="E281" s="17"/>
      <c r="F281" s="17"/>
      <c r="G281" s="17"/>
      <c r="H281" s="15"/>
      <c r="I281" s="290"/>
      <c r="J281" s="290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1.25" customHeight="1" x14ac:dyDescent="0.2">
      <c r="A282" s="243" t="s">
        <v>202</v>
      </c>
      <c r="B282" s="244" t="s">
        <v>95</v>
      </c>
      <c r="C282" s="244" t="s">
        <v>50</v>
      </c>
      <c r="D282" s="245" t="s">
        <v>203</v>
      </c>
      <c r="E282" s="245" t="s">
        <v>204</v>
      </c>
      <c r="F282" s="246" t="s">
        <v>205</v>
      </c>
      <c r="G282" s="17"/>
      <c r="H282" s="15"/>
      <c r="I282" s="290"/>
      <c r="J282" s="290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1.25" customHeight="1" x14ac:dyDescent="0.2">
      <c r="A283" s="247" t="s">
        <v>269</v>
      </c>
      <c r="B283" s="248" t="s">
        <v>238</v>
      </c>
      <c r="C283" s="250">
        <f>C267</f>
        <v>1</v>
      </c>
      <c r="D283" s="250">
        <f>0.01*($E$205)</f>
        <v>656.9</v>
      </c>
      <c r="E283" s="250">
        <f>C283*D283</f>
        <v>656.9</v>
      </c>
      <c r="F283" s="17"/>
      <c r="G283" s="17"/>
      <c r="H283" s="15"/>
      <c r="I283" s="290"/>
      <c r="J283" s="290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1.25" customHeight="1" x14ac:dyDescent="0.2">
      <c r="A284" s="251" t="s">
        <v>270</v>
      </c>
      <c r="B284" s="252" t="s">
        <v>238</v>
      </c>
      <c r="C284" s="250">
        <f>C267</f>
        <v>1</v>
      </c>
      <c r="D284" s="273">
        <v>218.58</v>
      </c>
      <c r="E284" s="253">
        <f>C284*D284</f>
        <v>218.58</v>
      </c>
      <c r="F284" s="17"/>
      <c r="G284" s="17"/>
      <c r="H284" s="15"/>
      <c r="I284" s="290"/>
      <c r="J284" s="290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1.25" customHeight="1" x14ac:dyDescent="0.2">
      <c r="A285" s="251" t="s">
        <v>271</v>
      </c>
      <c r="B285" s="252" t="s">
        <v>238</v>
      </c>
      <c r="C285" s="250">
        <f>C267</f>
        <v>1</v>
      </c>
      <c r="D285" s="273">
        <v>623.44000000000005</v>
      </c>
      <c r="E285" s="253">
        <f>C285*D285</f>
        <v>623.44000000000005</v>
      </c>
      <c r="F285" s="39"/>
      <c r="G285" s="17"/>
      <c r="H285" s="15"/>
      <c r="I285" s="290"/>
      <c r="J285" s="290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1.25" customHeight="1" x14ac:dyDescent="0.2">
      <c r="A286" s="262" t="s">
        <v>272</v>
      </c>
      <c r="B286" s="294" t="s">
        <v>208</v>
      </c>
      <c r="C286" s="294">
        <v>12</v>
      </c>
      <c r="D286" s="263">
        <f>SUM(E283:E285)</f>
        <v>1498.92</v>
      </c>
      <c r="E286" s="263">
        <f>D286/C286</f>
        <v>124.91000000000001</v>
      </c>
      <c r="F286" s="17"/>
      <c r="G286" s="17"/>
      <c r="H286" s="15"/>
      <c r="I286" s="290"/>
      <c r="J286" s="290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1.25" customHeight="1" x14ac:dyDescent="0.2">
      <c r="A287" s="15"/>
      <c r="B287" s="15"/>
      <c r="C287" s="15"/>
      <c r="D287" s="258" t="s">
        <v>217</v>
      </c>
      <c r="E287" s="259">
        <f>$B$58</f>
        <v>1</v>
      </c>
      <c r="F287" s="260">
        <f>E286*E287</f>
        <v>124.91000000000001</v>
      </c>
      <c r="G287" s="17"/>
      <c r="H287" s="15"/>
      <c r="I287" s="290"/>
      <c r="J287" s="290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1.25" customHeight="1" x14ac:dyDescent="0.2">
      <c r="A288" s="15"/>
      <c r="B288" s="15"/>
      <c r="C288" s="15"/>
      <c r="D288" s="17"/>
      <c r="E288" s="17"/>
      <c r="F288" s="17"/>
      <c r="G288" s="17"/>
      <c r="H288" s="15"/>
      <c r="I288" s="290"/>
      <c r="J288" s="290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1.25" customHeight="1" x14ac:dyDescent="0.2">
      <c r="A289" s="15" t="s">
        <v>312</v>
      </c>
      <c r="B289" s="297"/>
      <c r="C289" s="15"/>
      <c r="D289" s="17"/>
      <c r="E289" s="17"/>
      <c r="F289" s="17"/>
      <c r="G289" s="17"/>
      <c r="H289" s="15"/>
      <c r="I289" s="290"/>
      <c r="J289" s="290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1.25" customHeight="1" x14ac:dyDescent="0.2">
      <c r="A290" s="15"/>
      <c r="B290" s="297"/>
      <c r="C290" s="15"/>
      <c r="D290" s="17"/>
      <c r="E290" s="17"/>
      <c r="F290" s="17"/>
      <c r="G290" s="17"/>
      <c r="H290" s="15"/>
      <c r="I290" s="290"/>
      <c r="J290" s="290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1.25" customHeight="1" x14ac:dyDescent="0.2">
      <c r="A291" s="262" t="s">
        <v>274</v>
      </c>
      <c r="B291" s="298">
        <v>750</v>
      </c>
      <c r="C291" s="15"/>
      <c r="D291" s="17"/>
      <c r="E291" s="17"/>
      <c r="F291" s="17"/>
      <c r="G291" s="17"/>
      <c r="H291" s="15"/>
      <c r="I291" s="290"/>
      <c r="J291" s="290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27.75" customHeight="1" x14ac:dyDescent="0.2">
      <c r="A292" s="299" t="s">
        <v>275</v>
      </c>
      <c r="B292" s="300">
        <f>'0. Qtdades e Custos'!Y67</f>
        <v>492.14143750000005</v>
      </c>
      <c r="C292" s="15"/>
      <c r="D292" s="17"/>
      <c r="E292" s="17"/>
      <c r="F292" s="17"/>
      <c r="G292" s="17"/>
      <c r="H292" s="15"/>
      <c r="I292" s="290"/>
      <c r="J292" s="290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1.25" customHeight="1" x14ac:dyDescent="0.2">
      <c r="A293" s="15"/>
      <c r="B293" s="297"/>
      <c r="C293" s="15"/>
      <c r="D293" s="17"/>
      <c r="E293" s="17"/>
      <c r="F293" s="17"/>
      <c r="G293" s="17"/>
      <c r="H293" s="15"/>
      <c r="I293" s="290"/>
      <c r="J293" s="290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1.25" customHeight="1" x14ac:dyDescent="0.2">
      <c r="A294" s="243" t="s">
        <v>202</v>
      </c>
      <c r="B294" s="244" t="s">
        <v>95</v>
      </c>
      <c r="C294" s="244" t="s">
        <v>276</v>
      </c>
      <c r="D294" s="245" t="s">
        <v>203</v>
      </c>
      <c r="E294" s="245" t="s">
        <v>204</v>
      </c>
      <c r="F294" s="246" t="s">
        <v>205</v>
      </c>
      <c r="G294" s="17"/>
      <c r="H294" s="15"/>
      <c r="I294" s="290"/>
      <c r="J294" s="290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1.25" customHeight="1" x14ac:dyDescent="0.2">
      <c r="A295" s="251" t="s">
        <v>364</v>
      </c>
      <c r="B295" s="248" t="s">
        <v>278</v>
      </c>
      <c r="C295" s="301">
        <f>B292</f>
        <v>492.14143750000005</v>
      </c>
      <c r="D295" s="302">
        <v>6.2</v>
      </c>
      <c r="E295" s="250"/>
      <c r="F295" s="17"/>
      <c r="G295" s="17"/>
      <c r="H295" s="15"/>
      <c r="I295" s="290"/>
      <c r="J295" s="290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2.75" customHeight="1" x14ac:dyDescent="0.2">
      <c r="A296" s="299" t="s">
        <v>279</v>
      </c>
      <c r="B296" s="248" t="s">
        <v>280</v>
      </c>
      <c r="C296" s="267">
        <f>C295</f>
        <v>492.14143750000005</v>
      </c>
      <c r="D296" s="303"/>
      <c r="E296" s="253">
        <f>C296*D295</f>
        <v>3051.2769125000004</v>
      </c>
      <c r="F296" s="17"/>
      <c r="G296" s="17"/>
      <c r="H296" s="15"/>
      <c r="I296" s="290"/>
      <c r="J296" s="290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1.25" customHeight="1" x14ac:dyDescent="0.2">
      <c r="A297" s="15"/>
      <c r="B297" s="15"/>
      <c r="C297" s="15"/>
      <c r="D297" s="17"/>
      <c r="E297" s="17"/>
      <c r="F297" s="287">
        <f>SUM(E295:E296)</f>
        <v>3051.2769125000004</v>
      </c>
      <c r="G297" s="17"/>
      <c r="H297" s="15"/>
      <c r="I297" s="290"/>
      <c r="J297" s="290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1.25" customHeight="1" x14ac:dyDescent="0.2">
      <c r="A298" s="15"/>
      <c r="B298" s="15"/>
      <c r="C298" s="15"/>
      <c r="D298" s="17"/>
      <c r="E298" s="17"/>
      <c r="F298" s="17"/>
      <c r="G298" s="17"/>
      <c r="H298" s="15"/>
      <c r="I298" s="290"/>
      <c r="J298" s="290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1.25" customHeight="1" x14ac:dyDescent="0.2">
      <c r="A299" s="15" t="s">
        <v>314</v>
      </c>
      <c r="B299" s="15"/>
      <c r="C299" s="15"/>
      <c r="D299" s="17"/>
      <c r="E299" s="17"/>
      <c r="F299" s="17"/>
      <c r="G299" s="17"/>
      <c r="H299" s="15"/>
      <c r="I299" s="290"/>
      <c r="J299" s="290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1.25" customHeight="1" x14ac:dyDescent="0.2">
      <c r="A300" s="243" t="s">
        <v>202</v>
      </c>
      <c r="B300" s="244" t="s">
        <v>95</v>
      </c>
      <c r="C300" s="244" t="s">
        <v>50</v>
      </c>
      <c r="D300" s="245" t="s">
        <v>203</v>
      </c>
      <c r="E300" s="245" t="s">
        <v>204</v>
      </c>
      <c r="F300" s="246" t="s">
        <v>205</v>
      </c>
      <c r="G300" s="17"/>
      <c r="H300" s="15"/>
      <c r="I300" s="290"/>
      <c r="J300" s="290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1.25" customHeight="1" x14ac:dyDescent="0.2">
      <c r="A301" s="247" t="s">
        <v>315</v>
      </c>
      <c r="B301" s="248" t="s">
        <v>316</v>
      </c>
      <c r="C301" s="296">
        <f>'0. Qtdades e Custos'!S67/('0. Qtdades e Custos'!Q67*12)</f>
        <v>0.01</v>
      </c>
      <c r="D301" s="249">
        <f>D261</f>
        <v>90058</v>
      </c>
      <c r="E301" s="250">
        <f>C301*D301</f>
        <v>900.58</v>
      </c>
      <c r="F301" s="17"/>
      <c r="G301" s="17"/>
      <c r="H301" s="15"/>
      <c r="I301" s="290"/>
      <c r="J301" s="290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1.25" customHeight="1" x14ac:dyDescent="0.2">
      <c r="A302" s="15"/>
      <c r="B302" s="15"/>
      <c r="C302" s="15"/>
      <c r="D302" s="17"/>
      <c r="E302" s="17"/>
      <c r="F302" s="287">
        <f>E301</f>
        <v>900.58</v>
      </c>
      <c r="G302" s="17"/>
      <c r="H302" s="15"/>
      <c r="I302" s="290"/>
      <c r="J302" s="290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1.25" customHeight="1" x14ac:dyDescent="0.2">
      <c r="A303" s="15"/>
      <c r="B303" s="15"/>
      <c r="C303" s="15"/>
      <c r="D303" s="17"/>
      <c r="E303" s="17"/>
      <c r="F303" s="17"/>
      <c r="G303" s="17"/>
      <c r="H303" s="15"/>
      <c r="I303" s="290"/>
      <c r="J303" s="290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1.25" customHeight="1" x14ac:dyDescent="0.2">
      <c r="A304" s="15" t="s">
        <v>317</v>
      </c>
      <c r="B304" s="15"/>
      <c r="C304" s="15"/>
      <c r="D304" s="17"/>
      <c r="E304" s="17"/>
      <c r="F304" s="17"/>
      <c r="G304" s="17"/>
      <c r="H304" s="15"/>
      <c r="I304" s="290"/>
      <c r="J304" s="290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1.25" customHeight="1" x14ac:dyDescent="0.2">
      <c r="A305" s="243" t="s">
        <v>202</v>
      </c>
      <c r="B305" s="244" t="s">
        <v>95</v>
      </c>
      <c r="C305" s="244" t="s">
        <v>50</v>
      </c>
      <c r="D305" s="245" t="s">
        <v>203</v>
      </c>
      <c r="E305" s="245" t="s">
        <v>204</v>
      </c>
      <c r="F305" s="246" t="s">
        <v>205</v>
      </c>
      <c r="G305" s="17"/>
      <c r="H305" s="15"/>
      <c r="I305" s="290"/>
      <c r="J305" s="290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1.25" customHeight="1" x14ac:dyDescent="0.2">
      <c r="A306" s="247" t="s">
        <v>286</v>
      </c>
      <c r="B306" s="248" t="s">
        <v>238</v>
      </c>
      <c r="C306" s="306">
        <v>4</v>
      </c>
      <c r="D306" s="249">
        <v>314.7</v>
      </c>
      <c r="E306" s="250">
        <f>C306*D306</f>
        <v>1258.8</v>
      </c>
      <c r="F306" s="17"/>
      <c r="G306" s="17"/>
      <c r="H306" s="15"/>
      <c r="I306" s="290"/>
      <c r="J306" s="290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1.25" customHeight="1" x14ac:dyDescent="0.2">
      <c r="A307" s="247" t="s">
        <v>287</v>
      </c>
      <c r="B307" s="248" t="s">
        <v>238</v>
      </c>
      <c r="C307" s="306">
        <v>0</v>
      </c>
      <c r="D307" s="250"/>
      <c r="E307" s="250"/>
      <c r="F307" s="17"/>
      <c r="G307" s="17"/>
      <c r="H307" s="15"/>
      <c r="I307" s="290"/>
      <c r="J307" s="290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1.25" customHeight="1" x14ac:dyDescent="0.2">
      <c r="A308" s="247" t="s">
        <v>430</v>
      </c>
      <c r="B308" s="248" t="s">
        <v>238</v>
      </c>
      <c r="C308" s="250">
        <f>C306*C307</f>
        <v>0</v>
      </c>
      <c r="D308" s="301">
        <v>0</v>
      </c>
      <c r="E308" s="250">
        <f>C308*D308</f>
        <v>0</v>
      </c>
      <c r="F308" s="17"/>
      <c r="G308" s="17"/>
      <c r="H308" s="15"/>
      <c r="I308" s="290"/>
      <c r="J308" s="290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1.25" customHeight="1" x14ac:dyDescent="0.2">
      <c r="A309" s="247" t="s">
        <v>432</v>
      </c>
      <c r="B309" s="370" t="s">
        <v>290</v>
      </c>
      <c r="C309" s="307">
        <v>40000</v>
      </c>
      <c r="D309" s="253">
        <f>E306+E308</f>
        <v>1258.8</v>
      </c>
      <c r="E309" s="253">
        <f>IFERROR(D309/C309,"-")</f>
        <v>3.1469999999999998E-2</v>
      </c>
      <c r="F309" s="17"/>
      <c r="G309" s="17"/>
      <c r="H309" s="15"/>
      <c r="I309" s="290"/>
      <c r="J309" s="290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1.25" customHeight="1" x14ac:dyDescent="0.2">
      <c r="A310" s="251" t="s">
        <v>291</v>
      </c>
      <c r="B310" s="252" t="s">
        <v>292</v>
      </c>
      <c r="C310" s="267">
        <f>B291</f>
        <v>750</v>
      </c>
      <c r="D310" s="253">
        <f>E309</f>
        <v>3.1469999999999998E-2</v>
      </c>
      <c r="E310" s="253">
        <f>IFERROR(C310*D310,0)</f>
        <v>23.602499999999999</v>
      </c>
      <c r="F310" s="17"/>
      <c r="G310" s="17"/>
      <c r="H310" s="15"/>
      <c r="I310" s="290"/>
      <c r="J310" s="290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1.25" customHeight="1" x14ac:dyDescent="0.2">
      <c r="A311" s="15"/>
      <c r="B311" s="15"/>
      <c r="C311" s="15"/>
      <c r="D311" s="17"/>
      <c r="E311" s="17"/>
      <c r="F311" s="287">
        <f>E310</f>
        <v>23.602499999999999</v>
      </c>
      <c r="G311" s="17"/>
      <c r="H311" s="15"/>
      <c r="I311" s="290"/>
      <c r="J311" s="290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1.25" customHeight="1" x14ac:dyDescent="0.2">
      <c r="A312" s="15"/>
      <c r="B312" s="15"/>
      <c r="C312" s="15"/>
      <c r="D312" s="17"/>
      <c r="E312" s="17"/>
      <c r="F312" s="17"/>
      <c r="G312" s="17"/>
      <c r="H312" s="15"/>
      <c r="I312" s="290"/>
      <c r="J312" s="290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1.25" customHeight="1" x14ac:dyDescent="0.2">
      <c r="A313" s="15"/>
      <c r="B313" s="15"/>
      <c r="C313" s="15"/>
      <c r="D313" s="17"/>
      <c r="E313" s="17"/>
      <c r="F313" s="17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2.75" customHeight="1" x14ac:dyDescent="0.2">
      <c r="A314" s="276" t="s">
        <v>369</v>
      </c>
      <c r="B314" s="277"/>
      <c r="C314" s="277"/>
      <c r="D314" s="215"/>
      <c r="E314" s="278"/>
      <c r="F314" s="287">
        <f>+SUM(F205:F313)</f>
        <v>10277.504481580001</v>
      </c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1.25" customHeight="1" x14ac:dyDescent="0.2">
      <c r="A315" s="15"/>
      <c r="B315" s="15"/>
      <c r="C315" s="15"/>
      <c r="D315" s="17"/>
      <c r="E315" s="17"/>
      <c r="F315" s="17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1.25" customHeight="1" x14ac:dyDescent="0.2">
      <c r="A316" s="15"/>
      <c r="B316" s="15"/>
      <c r="C316" s="15"/>
      <c r="D316" s="17"/>
      <c r="E316" s="17"/>
      <c r="F316" s="17"/>
      <c r="G316" s="17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7.25" customHeight="1" x14ac:dyDescent="0.2">
      <c r="A317" s="276" t="s">
        <v>373</v>
      </c>
      <c r="B317" s="284"/>
      <c r="C317" s="284"/>
      <c r="D317" s="285"/>
      <c r="E317" s="286"/>
      <c r="F317" s="272">
        <f>+F137+F197+F314</f>
        <v>44514.954991850725</v>
      </c>
      <c r="G317" s="17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1.25" customHeight="1" x14ac:dyDescent="0.2">
      <c r="A318" s="15"/>
      <c r="B318" s="15"/>
      <c r="C318" s="15"/>
      <c r="D318" s="17"/>
      <c r="E318" s="17"/>
      <c r="F318" s="17"/>
      <c r="G318" s="17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2.75" customHeight="1" x14ac:dyDescent="0.2">
      <c r="A319" s="40" t="s">
        <v>433</v>
      </c>
      <c r="B319" s="15"/>
      <c r="C319" s="15"/>
      <c r="D319" s="17"/>
      <c r="E319" s="17"/>
      <c r="F319" s="17"/>
      <c r="G319" s="17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1.25" customHeight="1" x14ac:dyDescent="0.2">
      <c r="A320" s="15"/>
      <c r="B320" s="15"/>
      <c r="C320" s="15"/>
      <c r="D320" s="17"/>
      <c r="E320" s="17"/>
      <c r="F320" s="17"/>
      <c r="G320" s="17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2.75" customHeight="1" x14ac:dyDescent="0.2">
      <c r="A321" s="243" t="s">
        <v>202</v>
      </c>
      <c r="B321" s="244" t="s">
        <v>95</v>
      </c>
      <c r="C321" s="244" t="s">
        <v>50</v>
      </c>
      <c r="D321" s="245" t="s">
        <v>203</v>
      </c>
      <c r="E321" s="245" t="s">
        <v>204</v>
      </c>
      <c r="F321" s="246" t="s">
        <v>205</v>
      </c>
      <c r="G321" s="17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2.75" customHeight="1" x14ac:dyDescent="0.2">
      <c r="A322" s="247" t="s">
        <v>375</v>
      </c>
      <c r="B322" s="248" t="s">
        <v>182</v>
      </c>
      <c r="C322" s="256">
        <f>'6. BDI'!C20*100</f>
        <v>26.19</v>
      </c>
      <c r="D322" s="250">
        <f>+F317</f>
        <v>44514.954991850725</v>
      </c>
      <c r="E322" s="250">
        <f>C322*D322/100</f>
        <v>11658.466712365705</v>
      </c>
      <c r="F322" s="17"/>
      <c r="G322" s="17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2.75" customHeight="1" x14ac:dyDescent="0.2">
      <c r="A323" s="15"/>
      <c r="B323" s="15"/>
      <c r="C323" s="15"/>
      <c r="D323" s="17"/>
      <c r="E323" s="17"/>
      <c r="F323" s="287">
        <f>+E322</f>
        <v>11658.466712365705</v>
      </c>
      <c r="G323" s="17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1.25" customHeight="1" x14ac:dyDescent="0.2">
      <c r="A324" s="15"/>
      <c r="B324" s="15"/>
      <c r="C324" s="15"/>
      <c r="D324" s="17"/>
      <c r="E324" s="17"/>
      <c r="F324" s="17"/>
      <c r="G324" s="17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2.75" customHeight="1" x14ac:dyDescent="0.2">
      <c r="A325" s="276" t="s">
        <v>376</v>
      </c>
      <c r="B325" s="284"/>
      <c r="C325" s="284"/>
      <c r="D325" s="285"/>
      <c r="E325" s="286"/>
      <c r="F325" s="272">
        <f>F323</f>
        <v>11658.466712365705</v>
      </c>
      <c r="G325" s="17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2.75" customHeight="1" x14ac:dyDescent="0.2">
      <c r="A326" s="40"/>
      <c r="B326" s="40"/>
      <c r="C326" s="40"/>
      <c r="D326" s="45"/>
      <c r="E326" s="45"/>
      <c r="F326" s="39"/>
      <c r="G326" s="17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1.25" customHeight="1" x14ac:dyDescent="0.2">
      <c r="A327" s="15"/>
      <c r="B327" s="15"/>
      <c r="C327" s="15"/>
      <c r="D327" s="17"/>
      <c r="E327" s="17"/>
      <c r="F327" s="17"/>
      <c r="G327" s="17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24.75" customHeight="1" x14ac:dyDescent="0.2">
      <c r="A328" s="276" t="s">
        <v>381</v>
      </c>
      <c r="B328" s="284"/>
      <c r="C328" s="284"/>
      <c r="D328" s="285"/>
      <c r="E328" s="286"/>
      <c r="F328" s="272">
        <f>F317+F325</f>
        <v>56173.421704216431</v>
      </c>
      <c r="G328" s="17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2" customHeight="1" x14ac:dyDescent="0.2"/>
    <row r="330" spans="1:26" ht="9.75" customHeight="1" x14ac:dyDescent="0.2"/>
    <row r="331" spans="1:26" ht="9.75" customHeight="1" x14ac:dyDescent="0.2"/>
    <row r="332" spans="1:26" ht="12.75" customHeight="1" x14ac:dyDescent="0.2"/>
    <row r="333" spans="1:26" ht="12.75" customHeight="1" x14ac:dyDescent="0.2"/>
    <row r="334" spans="1:26" ht="12.75" customHeight="1" x14ac:dyDescent="0.2"/>
    <row r="335" spans="1:26" ht="12.75" customHeight="1" x14ac:dyDescent="0.2"/>
    <row r="336" spans="1:2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9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  <row r="1005" ht="12.75" customHeight="1" x14ac:dyDescent="0.2"/>
  </sheetData>
  <mergeCells count="15">
    <mergeCell ref="A55:D55"/>
    <mergeCell ref="A56:D56"/>
    <mergeCell ref="I121:S122"/>
    <mergeCell ref="A201:F201"/>
    <mergeCell ref="A257:F257"/>
    <mergeCell ref="A33:D33"/>
    <mergeCell ref="A44:E44"/>
    <mergeCell ref="A45:D45"/>
    <mergeCell ref="A53:D53"/>
    <mergeCell ref="A54:D54"/>
    <mergeCell ref="A11:F11"/>
    <mergeCell ref="A12:F12"/>
    <mergeCell ref="A14:F14"/>
    <mergeCell ref="A24:C24"/>
    <mergeCell ref="A26:D26"/>
  </mergeCells>
  <hyperlinks>
    <hyperlink ref="A27" location="Google_Sheet_Link_730534228" display="     3.1.1. Depreciação     "/>
    <hyperlink ref="A28" location="Google_Sheet_Link_508534547" display="     3.1.2. Remuneração do Capital     "/>
    <hyperlink ref="A34" location="Google_Sheet_Link_1900009241" display="     3.2.1. Depreciação     "/>
    <hyperlink ref="A35" location="Google_Sheet_Link_462677635" display="     3.2.2. Remuneração do Capital     "/>
    <hyperlink ref="G74" r:id="rId1"/>
    <hyperlink ref="G84" r:id="rId2"/>
    <hyperlink ref="G94" r:id="rId3"/>
    <hyperlink ref="G121" r:id="rId4"/>
    <hyperlink ref="G122" r:id="rId5"/>
    <hyperlink ref="G127" r:id="rId6"/>
    <hyperlink ref="G128" r:id="rId7"/>
    <hyperlink ref="A203" location="Google_Sheet_Link_730534228" display="3.1.1. Depreciação"/>
    <hyperlink ref="A214" location="Google_Sheet_Link_508534547" display="3.1.2. Remuneração do Capital"/>
    <hyperlink ref="A259" location="Google_Sheet_Link_1900009241" display="3.2.1. Depreciação"/>
    <hyperlink ref="A270" location="Google_Sheet_Link_462677635" display="3.2.2. Remuneração do Capital"/>
  </hyperlinks>
  <pageMargins left="0.74791666666666701" right="0.74791666666666701" top="0.51180555555555496" bottom="0.905555555555556" header="0.51180555555555496" footer="0"/>
  <pageSetup paperSize="9" firstPageNumber="0" fitToHeight="0" orientation="landscape" horizontalDpi="300" verticalDpi="300"/>
  <headerFooter>
    <oddFooter>&amp;R&amp;P de</oddFooter>
  </headerFooter>
  <drawing r:id="rId8"/>
  <legacy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Normal="100" workbookViewId="0"/>
  </sheetViews>
  <sheetFormatPr defaultRowHeight="12.75" x14ac:dyDescent="0.2"/>
  <cols>
    <col min="1" max="1" width="13.5703125" customWidth="1"/>
    <col min="2" max="2" width="39.5703125" customWidth="1"/>
    <col min="3" max="3" width="14.5703125" customWidth="1"/>
    <col min="4" max="4" width="37.28515625" customWidth="1"/>
    <col min="5" max="10" width="9.140625" customWidth="1"/>
    <col min="11" max="11" width="11" customWidth="1"/>
    <col min="12" max="12" width="9.140625" customWidth="1"/>
    <col min="13" max="26" width="8.5703125" customWidth="1"/>
    <col min="27" max="1025" width="12.5703125" customWidth="1"/>
  </cols>
  <sheetData>
    <row r="1" spans="1:26" ht="12.75" customHeight="1" x14ac:dyDescent="0.2">
      <c r="A1" s="40" t="s">
        <v>169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</row>
    <row r="2" spans="1:26" ht="12.75" customHeight="1" x14ac:dyDescent="0.2">
      <c r="A2" s="187" t="s">
        <v>434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</row>
    <row r="3" spans="1:26" ht="15" customHeight="1" x14ac:dyDescent="0.2">
      <c r="A3" s="15"/>
      <c r="B3" s="187"/>
      <c r="C3" s="187"/>
      <c r="D3" s="187"/>
      <c r="E3" s="187"/>
      <c r="F3" s="187"/>
      <c r="G3" s="17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5" customHeight="1" x14ac:dyDescent="0.2">
      <c r="A4" s="18" t="s">
        <v>175</v>
      </c>
      <c r="B4" s="187"/>
      <c r="C4" s="187"/>
      <c r="D4" s="187"/>
      <c r="E4" s="187"/>
      <c r="F4" s="187"/>
      <c r="G4" s="17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6.5" customHeight="1" x14ac:dyDescent="0.2">
      <c r="A5" s="18" t="s">
        <v>176</v>
      </c>
      <c r="B5" s="187"/>
      <c r="C5" s="187"/>
      <c r="D5" s="17"/>
      <c r="E5" s="17"/>
      <c r="F5" s="17"/>
      <c r="G5" s="17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2.75" customHeight="1" x14ac:dyDescent="0.2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</row>
    <row r="7" spans="1:26" ht="12.75" customHeight="1" x14ac:dyDescent="0.2">
      <c r="A7" s="519" t="s">
        <v>435</v>
      </c>
      <c r="B7" s="519"/>
      <c r="C7" s="519"/>
      <c r="D7" s="371"/>
      <c r="E7" s="371"/>
      <c r="F7" s="371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</row>
    <row r="8" spans="1:26" ht="12.75" customHeight="1" x14ac:dyDescent="0.2">
      <c r="A8" s="372" t="s">
        <v>436</v>
      </c>
      <c r="B8" s="373" t="s">
        <v>437</v>
      </c>
      <c r="C8" s="374" t="s">
        <v>49</v>
      </c>
      <c r="D8" s="375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</row>
    <row r="9" spans="1:26" ht="12.75" customHeight="1" x14ac:dyDescent="0.2">
      <c r="A9" s="372" t="s">
        <v>438</v>
      </c>
      <c r="B9" s="373" t="s">
        <v>439</v>
      </c>
      <c r="C9" s="376">
        <v>0.2</v>
      </c>
      <c r="D9" s="375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</row>
    <row r="10" spans="1:26" ht="12.75" customHeight="1" x14ac:dyDescent="0.2">
      <c r="A10" s="372" t="s">
        <v>440</v>
      </c>
      <c r="B10" s="373" t="s">
        <v>441</v>
      </c>
      <c r="C10" s="376">
        <v>1.4999999999999999E-2</v>
      </c>
      <c r="D10" s="375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</row>
    <row r="11" spans="1:26" ht="12.75" customHeight="1" x14ac:dyDescent="0.2">
      <c r="A11" s="372" t="s">
        <v>442</v>
      </c>
      <c r="B11" s="373" t="s">
        <v>443</v>
      </c>
      <c r="C11" s="376">
        <v>0.01</v>
      </c>
      <c r="D11" s="375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</row>
    <row r="12" spans="1:26" ht="12.75" customHeight="1" x14ac:dyDescent="0.2">
      <c r="A12" s="372" t="s">
        <v>444</v>
      </c>
      <c r="B12" s="373" t="s">
        <v>445</v>
      </c>
      <c r="C12" s="376">
        <v>2E-3</v>
      </c>
      <c r="D12" s="375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</row>
    <row r="13" spans="1:26" ht="12.75" customHeight="1" x14ac:dyDescent="0.2">
      <c r="A13" s="372" t="s">
        <v>446</v>
      </c>
      <c r="B13" s="373" t="s">
        <v>447</v>
      </c>
      <c r="C13" s="376">
        <v>6.0000000000000001E-3</v>
      </c>
      <c r="D13" s="375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</row>
    <row r="14" spans="1:26" ht="12.75" customHeight="1" x14ac:dyDescent="0.2">
      <c r="A14" s="372" t="s">
        <v>448</v>
      </c>
      <c r="B14" s="373" t="s">
        <v>449</v>
      </c>
      <c r="C14" s="376">
        <v>2.5000000000000001E-2</v>
      </c>
      <c r="D14" s="375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</row>
    <row r="15" spans="1:26" ht="12.75" customHeight="1" x14ac:dyDescent="0.2">
      <c r="A15" s="372" t="s">
        <v>450</v>
      </c>
      <c r="B15" s="373" t="s">
        <v>451</v>
      </c>
      <c r="C15" s="376">
        <v>0.03</v>
      </c>
      <c r="D15" s="375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</row>
    <row r="16" spans="1:26" ht="12.75" customHeight="1" x14ac:dyDescent="0.2">
      <c r="A16" s="372" t="s">
        <v>452</v>
      </c>
      <c r="B16" s="373" t="s">
        <v>453</v>
      </c>
      <c r="C16" s="376">
        <v>0.08</v>
      </c>
      <c r="D16" s="375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</row>
    <row r="17" spans="1:26" ht="12.75" customHeight="1" x14ac:dyDescent="0.2">
      <c r="A17" s="372" t="s">
        <v>454</v>
      </c>
      <c r="B17" s="377" t="s">
        <v>455</v>
      </c>
      <c r="C17" s="378">
        <f>SUM(C9:C16)</f>
        <v>0.36800000000000005</v>
      </c>
      <c r="D17" s="375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</row>
    <row r="18" spans="1:26" ht="12.75" customHeight="1" x14ac:dyDescent="0.2">
      <c r="A18" s="379"/>
      <c r="B18" s="380"/>
      <c r="C18" s="381"/>
      <c r="D18" s="375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</row>
    <row r="19" spans="1:26" ht="12.75" customHeight="1" x14ac:dyDescent="0.2">
      <c r="A19" s="372" t="s">
        <v>456</v>
      </c>
      <c r="B19" s="373" t="s">
        <v>457</v>
      </c>
      <c r="C19" s="376">
        <f>ROUND(IF('5. CAGED'!C28&gt;24,(1-12/'5. CAGED'!C28)*0.1111,0.1111-C28),4)</f>
        <v>5.0200000000000002E-2</v>
      </c>
      <c r="D19" s="375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</row>
    <row r="20" spans="1:26" ht="12.75" customHeight="1" x14ac:dyDescent="0.2">
      <c r="A20" s="372" t="s">
        <v>458</v>
      </c>
      <c r="B20" s="373" t="s">
        <v>459</v>
      </c>
      <c r="C20" s="376">
        <f>ROUND('5. CAGED'!C32/'5. CAGED'!C29,4)</f>
        <v>8.3299999999999999E-2</v>
      </c>
      <c r="D20" s="375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</row>
    <row r="21" spans="1:26" ht="12.75" customHeight="1" x14ac:dyDescent="0.2">
      <c r="A21" s="372" t="s">
        <v>460</v>
      </c>
      <c r="B21" s="373" t="s">
        <v>461</v>
      </c>
      <c r="C21" s="376">
        <v>5.9999999999999995E-4</v>
      </c>
      <c r="D21" s="375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</row>
    <row r="22" spans="1:26" ht="12.75" customHeight="1" x14ac:dyDescent="0.2">
      <c r="A22" s="372" t="s">
        <v>462</v>
      </c>
      <c r="B22" s="373" t="s">
        <v>463</v>
      </c>
      <c r="C22" s="376">
        <v>8.2000000000000007E-3</v>
      </c>
      <c r="D22" s="375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</row>
    <row r="23" spans="1:26" ht="12.75" customHeight="1" x14ac:dyDescent="0.2">
      <c r="A23" s="372" t="s">
        <v>464</v>
      </c>
      <c r="B23" s="373" t="s">
        <v>465</v>
      </c>
      <c r="C23" s="376">
        <v>3.0999999999999999E-3</v>
      </c>
      <c r="D23" s="375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</row>
    <row r="24" spans="1:26" ht="12.75" customHeight="1" x14ac:dyDescent="0.2">
      <c r="A24" s="372" t="s">
        <v>466</v>
      </c>
      <c r="B24" s="373" t="s">
        <v>467</v>
      </c>
      <c r="C24" s="376">
        <v>1.66E-2</v>
      </c>
      <c r="D24" s="375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</row>
    <row r="25" spans="1:26" ht="12.75" customHeight="1" x14ac:dyDescent="0.2">
      <c r="A25" s="372" t="s">
        <v>468</v>
      </c>
      <c r="B25" s="377" t="s">
        <v>469</v>
      </c>
      <c r="C25" s="378">
        <f>SUM(C19:C24)</f>
        <v>0.16200000000000001</v>
      </c>
      <c r="D25" s="275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</row>
    <row r="26" spans="1:26" ht="12.75" customHeight="1" x14ac:dyDescent="0.2">
      <c r="A26" s="379"/>
      <c r="B26" s="380"/>
      <c r="C26" s="381"/>
      <c r="D26" s="275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</row>
    <row r="27" spans="1:26" ht="12.75" customHeight="1" x14ac:dyDescent="0.2">
      <c r="A27" s="372" t="s">
        <v>470</v>
      </c>
      <c r="B27" s="373" t="s">
        <v>471</v>
      </c>
      <c r="C27" s="376">
        <f>ROUND(('5. CAGED'!C33) *'5. CAGED'!C26/'5. CAGED'!C29,4)</f>
        <v>3.2099999999999997E-2</v>
      </c>
      <c r="D27" s="375"/>
      <c r="E27" s="382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</row>
    <row r="28" spans="1:26" ht="12.75" customHeight="1" x14ac:dyDescent="0.2">
      <c r="A28" s="372" t="s">
        <v>472</v>
      </c>
      <c r="B28" s="373" t="s">
        <v>473</v>
      </c>
      <c r="C28" s="376">
        <f>ROUND(IF('5. CAGED'!C28&gt;12,12/'5. CAGED'!C28*0.1111,0.1111),4)</f>
        <v>6.0900000000000003E-2</v>
      </c>
      <c r="D28" s="375"/>
      <c r="E28" s="117"/>
      <c r="F28" s="117"/>
      <c r="G28" s="117"/>
      <c r="H28" s="383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</row>
    <row r="29" spans="1:26" ht="12.75" customHeight="1" x14ac:dyDescent="0.2">
      <c r="A29" s="372" t="s">
        <v>474</v>
      </c>
      <c r="B29" s="373" t="s">
        <v>475</v>
      </c>
      <c r="C29" s="376">
        <f>C27*C28</f>
        <v>1.9548899999999999E-3</v>
      </c>
      <c r="D29" s="375"/>
      <c r="E29" s="382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</row>
    <row r="30" spans="1:26" ht="12.75" customHeight="1" x14ac:dyDescent="0.2">
      <c r="A30" s="372" t="s">
        <v>476</v>
      </c>
      <c r="B30" s="373" t="s">
        <v>477</v>
      </c>
      <c r="C30" s="376">
        <f>ROUND(('5. CAGED'!C29+'5. CAGED'!C30+'5. CAGED'!C32)/'5. CAGED'!C27*'5. CAGED'!C34*'5. CAGED'!C35*'5. CAGED'!C26/'5. CAGED'!C29,4)</f>
        <v>2.2700000000000001E-2</v>
      </c>
      <c r="D30" s="375"/>
      <c r="E30" s="117"/>
      <c r="F30" s="117"/>
      <c r="G30" s="382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</row>
    <row r="31" spans="1:26" ht="12.75" customHeight="1" x14ac:dyDescent="0.2">
      <c r="A31" s="372" t="s">
        <v>478</v>
      </c>
      <c r="B31" s="373" t="s">
        <v>479</v>
      </c>
      <c r="C31" s="376">
        <f>ROUND(('5. CAGED'!C31/'5. CAGED'!C29)*'5. CAGED'!C26/12,4)</f>
        <v>2.3999999999999998E-3</v>
      </c>
      <c r="D31" s="375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</row>
    <row r="32" spans="1:26" ht="12.75" customHeight="1" x14ac:dyDescent="0.2">
      <c r="A32" s="372" t="s">
        <v>480</v>
      </c>
      <c r="B32" s="377" t="s">
        <v>481</v>
      </c>
      <c r="C32" s="378">
        <f>SUM(C27:C31)</f>
        <v>0.12005489</v>
      </c>
      <c r="D32" s="275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</row>
    <row r="33" spans="1:26" ht="12.75" customHeight="1" x14ac:dyDescent="0.2">
      <c r="A33" s="379"/>
      <c r="B33" s="380"/>
      <c r="C33" s="381"/>
      <c r="D33" s="275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</row>
    <row r="34" spans="1:26" ht="12.75" customHeight="1" x14ac:dyDescent="0.2">
      <c r="A34" s="372" t="s">
        <v>482</v>
      </c>
      <c r="B34" s="373" t="s">
        <v>483</v>
      </c>
      <c r="C34" s="376">
        <f>ROUND(C17*C25,4)</f>
        <v>5.96E-2</v>
      </c>
      <c r="D34" s="375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</row>
    <row r="35" spans="1:26" ht="12.75" customHeight="1" x14ac:dyDescent="0.2">
      <c r="A35" s="372" t="s">
        <v>484</v>
      </c>
      <c r="B35" s="384" t="s">
        <v>485</v>
      </c>
      <c r="C35" s="376">
        <f>ROUND((C27*C16),4)</f>
        <v>2.5999999999999999E-3</v>
      </c>
      <c r="D35" s="375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</row>
    <row r="36" spans="1:26" ht="12.75" customHeight="1" x14ac:dyDescent="0.2">
      <c r="A36" s="372" t="s">
        <v>486</v>
      </c>
      <c r="B36" s="377" t="s">
        <v>487</v>
      </c>
      <c r="C36" s="378">
        <f>SUM(C34:C35)</f>
        <v>6.2199999999999998E-2</v>
      </c>
      <c r="D36" s="275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</row>
    <row r="37" spans="1:26" ht="12.75" customHeight="1" x14ac:dyDescent="0.2">
      <c r="A37" s="385"/>
      <c r="B37" s="386" t="s">
        <v>488</v>
      </c>
      <c r="C37" s="387">
        <f>C36+C32+C25+C17</f>
        <v>0.71225489000000008</v>
      </c>
      <c r="D37" s="275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</row>
    <row r="38" spans="1:26" ht="12.75" customHeight="1" x14ac:dyDescent="0.2">
      <c r="A38" s="375"/>
      <c r="B38" s="388"/>
      <c r="C38" s="389"/>
      <c r="D38" s="390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</row>
    <row r="39" spans="1:26" ht="12.75" customHeight="1" x14ac:dyDescent="0.2">
      <c r="A39" s="375"/>
      <c r="B39" s="375"/>
      <c r="C39" s="391"/>
      <c r="D39" s="392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</row>
    <row r="40" spans="1:26" ht="12.75" customHeight="1" x14ac:dyDescent="0.2"/>
    <row r="41" spans="1:26" ht="12.75" customHeight="1" x14ac:dyDescent="0.2"/>
    <row r="42" spans="1:26" ht="12.75" customHeight="1" x14ac:dyDescent="0.2"/>
    <row r="43" spans="1:26" ht="12.75" customHeight="1" x14ac:dyDescent="0.2"/>
    <row r="44" spans="1:26" ht="12.75" customHeight="1" x14ac:dyDescent="0.2"/>
    <row r="45" spans="1:26" ht="12.75" customHeight="1" x14ac:dyDescent="0.2"/>
    <row r="46" spans="1:26" ht="12.75" customHeight="1" x14ac:dyDescent="0.2"/>
    <row r="47" spans="1:26" ht="12.75" customHeight="1" x14ac:dyDescent="0.2"/>
    <row r="48" spans="1:2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">
    <mergeCell ref="A7:C7"/>
  </mergeCells>
  <pageMargins left="0.74791666666666701" right="0.74791666666666701" top="0.51180555555555496" bottom="0.905555555555556" header="0.51180555555555496" footer="0.51180555555555496"/>
  <pageSetup paperSize="9" firstPageNumber="0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Normal="100" workbookViewId="0"/>
  </sheetViews>
  <sheetFormatPr defaultRowHeight="12.75" x14ac:dyDescent="0.2"/>
  <cols>
    <col min="1" max="1" width="8.5703125" customWidth="1"/>
    <col min="2" max="2" width="67.140625" customWidth="1"/>
    <col min="3" max="3" width="13.7109375" customWidth="1"/>
    <col min="4" max="4" width="10.28515625" customWidth="1"/>
    <col min="5" max="5" width="13.7109375" customWidth="1"/>
    <col min="6" max="6" width="9.140625" customWidth="1"/>
    <col min="7" max="26" width="8.5703125" customWidth="1"/>
    <col min="27" max="1025" width="12.5703125" customWidth="1"/>
  </cols>
  <sheetData>
    <row r="1" spans="1:26" ht="12.75" customHeight="1" x14ac:dyDescent="0.2">
      <c r="A1" s="42" t="s">
        <v>489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</row>
    <row r="2" spans="1:26" ht="12.75" customHeight="1" x14ac:dyDescent="0.2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</row>
    <row r="3" spans="1:26" ht="12.75" customHeight="1" x14ac:dyDescent="0.2">
      <c r="A3" s="393" t="s">
        <v>490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</row>
    <row r="4" spans="1:26" ht="12.75" customHeight="1" x14ac:dyDescent="0.2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</row>
    <row r="5" spans="1:26" ht="12.75" customHeight="1" x14ac:dyDescent="0.2">
      <c r="A5" s="393" t="s">
        <v>491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</row>
    <row r="6" spans="1:26" ht="12.75" customHeight="1" x14ac:dyDescent="0.2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</row>
    <row r="7" spans="1:26" ht="12.75" customHeight="1" x14ac:dyDescent="0.25">
      <c r="A7" s="117"/>
      <c r="B7" s="520" t="s">
        <v>492</v>
      </c>
      <c r="C7" s="520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</row>
    <row r="8" spans="1:26" ht="12.75" customHeight="1" x14ac:dyDescent="0.25">
      <c r="A8" s="117"/>
      <c r="B8" s="394" t="s">
        <v>493</v>
      </c>
      <c r="C8" s="395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</row>
    <row r="9" spans="1:26" ht="12.75" customHeight="1" x14ac:dyDescent="0.25">
      <c r="A9" s="117"/>
      <c r="B9" s="396" t="s">
        <v>494</v>
      </c>
      <c r="C9" s="397">
        <v>2638</v>
      </c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</row>
    <row r="10" spans="1:26" ht="12.75" customHeight="1" x14ac:dyDescent="0.25">
      <c r="A10" s="117"/>
      <c r="B10" s="398" t="s">
        <v>495</v>
      </c>
      <c r="C10" s="397">
        <v>2224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</row>
    <row r="11" spans="1:26" ht="12.75" customHeight="1" x14ac:dyDescent="0.2">
      <c r="A11" s="117"/>
      <c r="B11" s="399" t="s">
        <v>496</v>
      </c>
      <c r="C11" s="400">
        <v>35</v>
      </c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</row>
    <row r="12" spans="1:26" ht="12.75" customHeight="1" x14ac:dyDescent="0.2">
      <c r="A12" s="117"/>
      <c r="B12" s="399" t="s">
        <v>497</v>
      </c>
      <c r="C12" s="400">
        <v>1552</v>
      </c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</row>
    <row r="13" spans="1:26" ht="12.75" customHeight="1" x14ac:dyDescent="0.2">
      <c r="A13" s="117"/>
      <c r="B13" s="399" t="s">
        <v>498</v>
      </c>
      <c r="C13" s="400">
        <v>350</v>
      </c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</row>
    <row r="14" spans="1:26" ht="12.75" customHeight="1" x14ac:dyDescent="0.2">
      <c r="A14" s="117"/>
      <c r="B14" s="399" t="s">
        <v>499</v>
      </c>
      <c r="C14" s="400">
        <v>12</v>
      </c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</row>
    <row r="15" spans="1:26" ht="12.75" customHeight="1" x14ac:dyDescent="0.2">
      <c r="A15" s="117"/>
      <c r="B15" s="399" t="s">
        <v>500</v>
      </c>
      <c r="C15" s="400">
        <v>345</v>
      </c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</row>
    <row r="16" spans="1:26" ht="12.75" customHeight="1" x14ac:dyDescent="0.2">
      <c r="A16" s="117"/>
      <c r="B16" s="399" t="s">
        <v>501</v>
      </c>
      <c r="C16" s="400">
        <v>0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</row>
    <row r="17" spans="1:26" ht="12.75" customHeight="1" x14ac:dyDescent="0.2">
      <c r="A17" s="117"/>
      <c r="B17" s="399" t="s">
        <v>502</v>
      </c>
      <c r="C17" s="400">
        <v>21</v>
      </c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</row>
    <row r="18" spans="1:26" ht="12.75" customHeight="1" x14ac:dyDescent="0.2">
      <c r="A18" s="117"/>
      <c r="B18" s="401" t="s">
        <v>503</v>
      </c>
      <c r="C18" s="402">
        <v>0</v>
      </c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</row>
    <row r="19" spans="1:26" ht="12.75" customHeight="1" x14ac:dyDescent="0.2">
      <c r="A19" s="117"/>
      <c r="B19" s="403" t="s">
        <v>504</v>
      </c>
      <c r="C19" s="402">
        <v>1</v>
      </c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</row>
    <row r="20" spans="1:26" ht="12.75" customHeight="1" x14ac:dyDescent="0.25">
      <c r="A20" s="117" t="s">
        <v>505</v>
      </c>
      <c r="B20" s="394" t="s">
        <v>506</v>
      </c>
      <c r="C20" s="395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</row>
    <row r="21" spans="1:26" ht="12.75" customHeight="1" x14ac:dyDescent="0.2">
      <c r="A21" s="117"/>
      <c r="B21" s="404" t="s">
        <v>507</v>
      </c>
      <c r="C21" s="405">
        <v>4208</v>
      </c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</row>
    <row r="22" spans="1:26" ht="12.75" customHeight="1" x14ac:dyDescent="0.2">
      <c r="A22" s="117"/>
      <c r="B22" s="399" t="s">
        <v>508</v>
      </c>
      <c r="C22" s="406">
        <v>4655</v>
      </c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</row>
    <row r="23" spans="1:26" ht="12.75" customHeight="1" x14ac:dyDescent="0.2">
      <c r="A23" s="117"/>
      <c r="B23" s="399" t="s">
        <v>509</v>
      </c>
      <c r="C23" s="407">
        <f>C9-C10</f>
        <v>414</v>
      </c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</row>
    <row r="24" spans="1:26" ht="12.75" customHeight="1" x14ac:dyDescent="0.2">
      <c r="A24" s="117"/>
      <c r="B24" s="408"/>
      <c r="C24" s="409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</row>
    <row r="25" spans="1:26" ht="12.75" customHeight="1" x14ac:dyDescent="0.25">
      <c r="A25" s="42"/>
      <c r="B25" s="396" t="s">
        <v>510</v>
      </c>
      <c r="C25" s="410">
        <f>MEDIAN(C21,C22)</f>
        <v>4431.5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spans="1:26" ht="12.75" customHeight="1" x14ac:dyDescent="0.25">
      <c r="A26" s="117"/>
      <c r="B26" s="398" t="s">
        <v>511</v>
      </c>
      <c r="C26" s="411">
        <f>C12/C25</f>
        <v>0.35022001579600587</v>
      </c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</row>
    <row r="27" spans="1:26" ht="12.75" customHeight="1" x14ac:dyDescent="0.25">
      <c r="A27" s="117"/>
      <c r="B27" s="398" t="s">
        <v>512</v>
      </c>
      <c r="C27" s="411">
        <f>MEDIAN(C9,C10)/C25</f>
        <v>0.54857271804129526</v>
      </c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</row>
    <row r="28" spans="1:26" ht="12.75" customHeight="1" x14ac:dyDescent="0.25">
      <c r="A28" s="42"/>
      <c r="B28" s="398" t="s">
        <v>513</v>
      </c>
      <c r="C28" s="412">
        <f>12/C27</f>
        <v>21.874948580830935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spans="1:26" ht="12.75" customHeight="1" x14ac:dyDescent="0.25">
      <c r="A29" s="117"/>
      <c r="B29" s="398" t="s">
        <v>514</v>
      </c>
      <c r="C29" s="413">
        <v>360</v>
      </c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</row>
    <row r="30" spans="1:26" ht="12.75" customHeight="1" x14ac:dyDescent="0.25">
      <c r="A30" s="117"/>
      <c r="B30" s="398" t="s">
        <v>515</v>
      </c>
      <c r="C30" s="413">
        <v>10</v>
      </c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</row>
    <row r="31" spans="1:26" ht="12.75" customHeight="1" x14ac:dyDescent="0.25">
      <c r="A31" s="117"/>
      <c r="B31" s="396" t="s">
        <v>516</v>
      </c>
      <c r="C31" s="414">
        <v>30</v>
      </c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</row>
    <row r="32" spans="1:26" ht="12.75" customHeight="1" x14ac:dyDescent="0.25">
      <c r="A32" s="117"/>
      <c r="B32" s="396" t="s">
        <v>517</v>
      </c>
      <c r="C32" s="414">
        <v>30</v>
      </c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</row>
    <row r="33" spans="1:26" ht="12.75" customHeight="1" x14ac:dyDescent="0.25">
      <c r="A33" s="42"/>
      <c r="B33" s="396" t="s">
        <v>518</v>
      </c>
      <c r="C33" s="414">
        <f>30+(3*TRUNC(1/C27))</f>
        <v>33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spans="1:26" ht="12.75" customHeight="1" x14ac:dyDescent="0.25">
      <c r="A34" s="42"/>
      <c r="B34" s="398" t="s">
        <v>453</v>
      </c>
      <c r="C34" s="415">
        <v>0.08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spans="1:26" ht="12.75" customHeight="1" x14ac:dyDescent="0.25">
      <c r="A35" s="42"/>
      <c r="B35" s="416" t="s">
        <v>519</v>
      </c>
      <c r="C35" s="417">
        <v>0.4</v>
      </c>
      <c r="D35" s="42" t="s">
        <v>520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spans="1:26" ht="12.75" customHeight="1" x14ac:dyDescent="0.2"/>
    <row r="37" spans="1:26" ht="12.75" customHeight="1" x14ac:dyDescent="0.2"/>
    <row r="38" spans="1:26" ht="12.75" customHeight="1" x14ac:dyDescent="0.2"/>
    <row r="39" spans="1:26" ht="12.75" customHeight="1" x14ac:dyDescent="0.2"/>
    <row r="40" spans="1:26" ht="12.75" customHeight="1" x14ac:dyDescent="0.2"/>
    <row r="41" spans="1:26" ht="12.75" customHeight="1" x14ac:dyDescent="0.2"/>
    <row r="42" spans="1:26" ht="12.75" customHeight="1" x14ac:dyDescent="0.2"/>
    <row r="43" spans="1:26" ht="12.75" customHeight="1" x14ac:dyDescent="0.2"/>
    <row r="44" spans="1:26" ht="12.75" customHeight="1" x14ac:dyDescent="0.2"/>
    <row r="45" spans="1:26" ht="12.75" customHeight="1" x14ac:dyDescent="0.2"/>
    <row r="46" spans="1:26" ht="12.75" customHeight="1" x14ac:dyDescent="0.2"/>
    <row r="47" spans="1:26" ht="12.75" customHeight="1" x14ac:dyDescent="0.2"/>
    <row r="48" spans="1:2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">
    <mergeCell ref="B7:C7"/>
  </mergeCells>
  <pageMargins left="0.74791666666666701" right="0.74791666666666701" top="0.51180555555555496" bottom="0.905555555555556" header="0.51180555555555496" footer="0.51180555555555496"/>
  <pageSetup paperSize="9" scale="98" firstPageNumber="0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zoomScaleNormal="100" workbookViewId="0"/>
  </sheetViews>
  <sheetFormatPr defaultRowHeight="12.75" x14ac:dyDescent="0.2"/>
  <cols>
    <col min="1" max="1" width="41.85546875" customWidth="1"/>
    <col min="2" max="2" width="5.5703125" customWidth="1"/>
    <col min="3" max="3" width="8.7109375" customWidth="1"/>
    <col min="4" max="4" width="9.7109375" customWidth="1"/>
    <col min="5" max="5" width="8" customWidth="1"/>
    <col min="6" max="6" width="9.7109375" customWidth="1"/>
    <col min="7" max="8" width="8.7109375" customWidth="1"/>
    <col min="9" max="26" width="8.5703125" customWidth="1"/>
    <col min="27" max="1025" width="12.5703125" customWidth="1"/>
  </cols>
  <sheetData>
    <row r="1" spans="1:26" ht="12.75" customHeight="1" x14ac:dyDescent="0.2">
      <c r="A1" s="40" t="s">
        <v>169</v>
      </c>
      <c r="B1" s="36"/>
      <c r="C1" s="36"/>
      <c r="D1" s="418"/>
      <c r="E1" s="16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</row>
    <row r="2" spans="1:26" ht="12.75" customHeight="1" x14ac:dyDescent="0.2">
      <c r="A2" s="187" t="s">
        <v>521</v>
      </c>
      <c r="B2" s="36"/>
      <c r="C2" s="36"/>
      <c r="D2" s="418"/>
      <c r="E2" s="16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</row>
    <row r="3" spans="1:26" ht="12.75" customHeight="1" x14ac:dyDescent="0.2">
      <c r="A3" s="15" t="s">
        <v>522</v>
      </c>
      <c r="B3" s="36"/>
      <c r="C3" s="36"/>
      <c r="D3" s="418"/>
      <c r="E3" s="16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  <c r="Y3" s="418"/>
      <c r="Z3" s="418"/>
    </row>
    <row r="4" spans="1:26" ht="12.75" customHeight="1" x14ac:dyDescent="0.2">
      <c r="A4" s="15"/>
      <c r="B4" s="36"/>
      <c r="C4" s="36"/>
      <c r="D4" s="418"/>
      <c r="E4" s="16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  <c r="Y4" s="418"/>
      <c r="Z4" s="418"/>
    </row>
    <row r="5" spans="1:26" ht="15" customHeight="1" x14ac:dyDescent="0.2">
      <c r="A5" s="18" t="s">
        <v>175</v>
      </c>
      <c r="B5" s="187"/>
      <c r="C5" s="187"/>
      <c r="D5" s="187"/>
      <c r="E5" s="187"/>
      <c r="F5" s="187"/>
      <c r="G5" s="17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6.5" customHeight="1" x14ac:dyDescent="0.2">
      <c r="A6" s="18" t="s">
        <v>176</v>
      </c>
      <c r="B6" s="187"/>
      <c r="C6" s="187"/>
      <c r="D6" s="17"/>
      <c r="E6" s="17"/>
      <c r="F6" s="17"/>
      <c r="G6" s="17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2.75" customHeight="1" x14ac:dyDescent="0.2">
      <c r="A7" s="418"/>
      <c r="B7" s="36"/>
      <c r="C7" s="36"/>
      <c r="D7" s="418"/>
      <c r="E7" s="168"/>
      <c r="F7" s="418"/>
      <c r="G7" s="418"/>
      <c r="H7" s="418"/>
      <c r="I7" s="418"/>
      <c r="J7" s="418"/>
      <c r="K7" s="418"/>
      <c r="L7" s="418"/>
      <c r="M7" s="418"/>
      <c r="N7" s="418"/>
      <c r="O7" s="418"/>
      <c r="P7" s="418"/>
      <c r="Q7" s="418"/>
      <c r="R7" s="418"/>
      <c r="S7" s="418"/>
      <c r="T7" s="418"/>
      <c r="U7" s="418"/>
      <c r="V7" s="418"/>
      <c r="W7" s="418"/>
      <c r="X7" s="418"/>
      <c r="Y7" s="418"/>
      <c r="Z7" s="418"/>
    </row>
    <row r="8" spans="1:26" ht="12.75" customHeight="1" x14ac:dyDescent="0.2">
      <c r="A8" s="521" t="s">
        <v>523</v>
      </c>
      <c r="B8" s="521"/>
      <c r="C8" s="521"/>
      <c r="D8" s="521"/>
      <c r="E8" s="521"/>
      <c r="F8" s="521"/>
    </row>
    <row r="9" spans="1:26" ht="12.75" customHeight="1" x14ac:dyDescent="0.2">
      <c r="A9" s="419"/>
      <c r="B9" s="420"/>
      <c r="C9" s="420"/>
      <c r="D9" s="420"/>
      <c r="E9" s="420"/>
      <c r="F9" s="421"/>
    </row>
    <row r="10" spans="1:26" ht="12.75" customHeight="1" x14ac:dyDescent="0.25">
      <c r="A10" s="422"/>
      <c r="B10" s="36"/>
      <c r="C10" s="36"/>
      <c r="D10" s="522" t="s">
        <v>524</v>
      </c>
      <c r="E10" s="522"/>
      <c r="F10" s="522"/>
      <c r="G10" s="418"/>
      <c r="H10" s="418"/>
    </row>
    <row r="11" spans="1:26" ht="12.75" customHeight="1" x14ac:dyDescent="0.2">
      <c r="A11" s="408"/>
      <c r="B11" s="418"/>
      <c r="C11" s="418"/>
      <c r="D11" s="423" t="s">
        <v>525</v>
      </c>
      <c r="E11" s="424" t="s">
        <v>526</v>
      </c>
      <c r="F11" s="425" t="s">
        <v>527</v>
      </c>
      <c r="G11" s="418"/>
      <c r="H11" s="418"/>
    </row>
    <row r="12" spans="1:26" ht="12.75" customHeight="1" x14ac:dyDescent="0.2">
      <c r="A12" s="426" t="s">
        <v>528</v>
      </c>
      <c r="B12" s="427" t="s">
        <v>529</v>
      </c>
      <c r="C12" s="428">
        <v>2.9700000000000001E-2</v>
      </c>
      <c r="D12" s="429">
        <v>2.9700000000000001E-2</v>
      </c>
      <c r="E12" s="430">
        <v>5.0799999999999998E-2</v>
      </c>
      <c r="F12" s="431">
        <v>6.2700000000000006E-2</v>
      </c>
      <c r="G12" s="418"/>
      <c r="H12" s="418"/>
    </row>
    <row r="13" spans="1:26" ht="12.75" customHeight="1" x14ac:dyDescent="0.2">
      <c r="A13" s="372" t="s">
        <v>530</v>
      </c>
      <c r="B13" s="432" t="s">
        <v>531</v>
      </c>
      <c r="C13" s="433">
        <v>1.3299999999999999E-2</v>
      </c>
      <c r="D13" s="429">
        <f>0.3%+0.56%</f>
        <v>8.6E-3</v>
      </c>
      <c r="E13" s="430">
        <f>0.48%+0.85%</f>
        <v>1.3299999999999999E-2</v>
      </c>
      <c r="F13" s="431">
        <f>0.82%+0.89%</f>
        <v>1.7099999999999997E-2</v>
      </c>
      <c r="G13" s="418"/>
      <c r="H13" s="418"/>
    </row>
    <row r="14" spans="1:26" ht="12.75" customHeight="1" x14ac:dyDescent="0.2">
      <c r="A14" s="372" t="s">
        <v>532</v>
      </c>
      <c r="B14" s="432" t="s">
        <v>533</v>
      </c>
      <c r="C14" s="433">
        <v>0.1085</v>
      </c>
      <c r="D14" s="429">
        <v>7.7799999999999994E-2</v>
      </c>
      <c r="E14" s="430">
        <v>0.1085</v>
      </c>
      <c r="F14" s="431">
        <v>0.13550000000000001</v>
      </c>
      <c r="G14" s="418"/>
      <c r="H14" s="418"/>
    </row>
    <row r="15" spans="1:26" ht="12.75" customHeight="1" x14ac:dyDescent="0.2">
      <c r="A15" s="372" t="s">
        <v>534</v>
      </c>
      <c r="B15" s="432" t="s">
        <v>535</v>
      </c>
      <c r="C15" s="434">
        <f>(1+E15)^(E16/252)-1</f>
        <v>7.9612163669384728E-3</v>
      </c>
      <c r="D15" s="429" t="s">
        <v>536</v>
      </c>
      <c r="E15" s="435">
        <v>0.14249999999999999</v>
      </c>
      <c r="F15" s="436"/>
      <c r="G15" s="418"/>
      <c r="H15" s="418"/>
    </row>
    <row r="16" spans="1:26" ht="12.75" customHeight="1" x14ac:dyDescent="0.2">
      <c r="A16" s="372" t="s">
        <v>537</v>
      </c>
      <c r="B16" s="523" t="s">
        <v>538</v>
      </c>
      <c r="C16" s="433">
        <v>0.04</v>
      </c>
      <c r="D16" s="437" t="s">
        <v>539</v>
      </c>
      <c r="E16" s="438">
        <v>15</v>
      </c>
      <c r="F16" s="439"/>
      <c r="G16" s="418"/>
      <c r="H16" s="418"/>
    </row>
    <row r="17" spans="1:8" ht="12.75" customHeight="1" x14ac:dyDescent="0.2">
      <c r="A17" s="440" t="s">
        <v>540</v>
      </c>
      <c r="B17" s="523"/>
      <c r="C17" s="441">
        <v>3.6499999999999998E-2</v>
      </c>
      <c r="D17" s="399"/>
      <c r="E17" s="177"/>
      <c r="F17" s="439"/>
      <c r="G17" s="418"/>
      <c r="H17" s="418"/>
    </row>
    <row r="18" spans="1:8" ht="12.75" customHeight="1" x14ac:dyDescent="0.2">
      <c r="A18" s="442" t="s">
        <v>541</v>
      </c>
      <c r="B18" s="443"/>
      <c r="C18" s="444"/>
      <c r="D18" s="399"/>
      <c r="E18" s="177"/>
      <c r="F18" s="439"/>
      <c r="G18" s="418"/>
      <c r="H18" s="418"/>
    </row>
    <row r="19" spans="1:8" ht="12.75" customHeight="1" x14ac:dyDescent="0.2">
      <c r="A19" s="445" t="s">
        <v>542</v>
      </c>
      <c r="B19" s="446"/>
      <c r="C19" s="447"/>
      <c r="D19" s="399"/>
      <c r="E19" s="177"/>
      <c r="F19" s="439"/>
      <c r="G19" s="418"/>
      <c r="H19" s="418"/>
    </row>
    <row r="20" spans="1:8" ht="12.75" customHeight="1" x14ac:dyDescent="0.2">
      <c r="A20" s="448" t="s">
        <v>543</v>
      </c>
      <c r="B20" s="449"/>
      <c r="C20" s="450">
        <f>ROUND((((1+C12+C13)*(1+C14)*(1+C15))/(1-(C16+C17))-1),4)</f>
        <v>0.26190000000000002</v>
      </c>
      <c r="D20" s="451">
        <v>0.21429999999999999</v>
      </c>
      <c r="E20" s="452">
        <v>0.2717</v>
      </c>
      <c r="F20" s="453">
        <v>0.3362</v>
      </c>
      <c r="G20" s="418"/>
      <c r="H20" s="418"/>
    </row>
    <row r="21" spans="1:8" ht="12.75" customHeight="1" x14ac:dyDescent="0.2"/>
    <row r="22" spans="1:8" ht="12.75" customHeight="1" x14ac:dyDescent="0.2"/>
    <row r="23" spans="1:8" ht="12.75" customHeight="1" x14ac:dyDescent="0.2"/>
    <row r="24" spans="1:8" ht="12.75" customHeight="1" x14ac:dyDescent="0.2"/>
    <row r="25" spans="1:8" ht="12.75" customHeight="1" x14ac:dyDescent="0.2"/>
    <row r="26" spans="1:8" ht="12.75" customHeight="1" x14ac:dyDescent="0.2"/>
    <row r="27" spans="1:8" ht="12.75" customHeight="1" x14ac:dyDescent="0.2"/>
    <row r="28" spans="1:8" ht="12.75" customHeight="1" x14ac:dyDescent="0.2"/>
    <row r="29" spans="1:8" ht="12.75" customHeight="1" x14ac:dyDescent="0.2"/>
    <row r="30" spans="1:8" ht="12.75" customHeight="1" x14ac:dyDescent="0.2"/>
    <row r="31" spans="1:8" ht="12.75" customHeight="1" x14ac:dyDescent="0.2"/>
    <row r="32" spans="1:8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">
    <mergeCell ref="A8:F8"/>
    <mergeCell ref="D10:F10"/>
    <mergeCell ref="B16:B17"/>
  </mergeCells>
  <pageMargins left="0.74791666666666701" right="0.74791666666666701" top="0.51180555555555496" bottom="0.905555555555556" header="0.51180555555555496" footer="0.51180555555555496"/>
  <pageSetup paperSize="9" firstPageNumber="0" orientation="landscape" horizontalDpi="300" verticalDpi="300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Normal="100" workbookViewId="0"/>
  </sheetViews>
  <sheetFormatPr defaultRowHeight="12.75" x14ac:dyDescent="0.2"/>
  <cols>
    <col min="1" max="1" width="24.5703125" customWidth="1"/>
    <col min="2" max="2" width="20.85546875" customWidth="1"/>
    <col min="3" max="6" width="9.140625" customWidth="1"/>
    <col min="7" max="26" width="8.5703125" customWidth="1"/>
    <col min="27" max="1025" width="12.5703125" customWidth="1"/>
  </cols>
  <sheetData>
    <row r="1" spans="1:26" ht="19.5" customHeight="1" x14ac:dyDescent="0.2">
      <c r="A1" s="524" t="s">
        <v>544</v>
      </c>
      <c r="B1" s="524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</row>
    <row r="2" spans="1:26" ht="19.5" customHeight="1" x14ac:dyDescent="0.2">
      <c r="A2" s="454" t="s">
        <v>545</v>
      </c>
      <c r="B2" s="455" t="s">
        <v>546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 spans="1:26" ht="19.5" customHeight="1" x14ac:dyDescent="0.2">
      <c r="A3" s="456">
        <v>1</v>
      </c>
      <c r="B3" s="457">
        <v>33.630000000000003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</row>
    <row r="4" spans="1:26" ht="19.5" customHeight="1" x14ac:dyDescent="0.2">
      <c r="A4" s="456">
        <v>2</v>
      </c>
      <c r="B4" s="457">
        <v>43.13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</row>
    <row r="5" spans="1:26" ht="19.5" customHeight="1" x14ac:dyDescent="0.2">
      <c r="A5" s="456">
        <v>3</v>
      </c>
      <c r="B5" s="457">
        <v>48.68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</row>
    <row r="6" spans="1:26" ht="19.5" customHeight="1" x14ac:dyDescent="0.2">
      <c r="A6" s="456">
        <v>4</v>
      </c>
      <c r="B6" s="457">
        <v>52.62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</row>
    <row r="7" spans="1:26" ht="19.5" customHeight="1" x14ac:dyDescent="0.2">
      <c r="A7" s="456">
        <v>5</v>
      </c>
      <c r="B7" s="457">
        <v>55.68</v>
      </c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</row>
    <row r="8" spans="1:26" ht="19.5" customHeight="1" x14ac:dyDescent="0.2">
      <c r="A8" s="456">
        <v>6</v>
      </c>
      <c r="B8" s="457">
        <v>58.18</v>
      </c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</row>
    <row r="9" spans="1:26" ht="19.5" customHeight="1" x14ac:dyDescent="0.2">
      <c r="A9" s="456">
        <v>7</v>
      </c>
      <c r="B9" s="457">
        <v>60.29</v>
      </c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</row>
    <row r="10" spans="1:26" ht="19.5" customHeight="1" x14ac:dyDescent="0.2">
      <c r="A10" s="456">
        <v>8</v>
      </c>
      <c r="B10" s="457">
        <v>62.12</v>
      </c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</row>
    <row r="11" spans="1:26" ht="19.5" customHeight="1" x14ac:dyDescent="0.2">
      <c r="A11" s="456">
        <v>9</v>
      </c>
      <c r="B11" s="457">
        <v>63.73</v>
      </c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</row>
    <row r="12" spans="1:26" ht="19.5" customHeight="1" x14ac:dyDescent="0.2">
      <c r="A12" s="456">
        <v>10</v>
      </c>
      <c r="B12" s="457">
        <v>65.180000000000007</v>
      </c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</row>
    <row r="13" spans="1:26" ht="19.5" customHeight="1" x14ac:dyDescent="0.2">
      <c r="A13" s="456">
        <v>11</v>
      </c>
      <c r="B13" s="457">
        <v>66.48</v>
      </c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</row>
    <row r="14" spans="1:26" ht="19.5" customHeight="1" x14ac:dyDescent="0.2">
      <c r="A14" s="456">
        <v>12</v>
      </c>
      <c r="B14" s="457">
        <v>67.67</v>
      </c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</row>
    <row r="15" spans="1:26" ht="19.5" customHeight="1" x14ac:dyDescent="0.2">
      <c r="A15" s="456">
        <v>13</v>
      </c>
      <c r="B15" s="457">
        <v>68.77</v>
      </c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</row>
    <row r="16" spans="1:26" ht="19.5" customHeight="1" x14ac:dyDescent="0.2">
      <c r="A16" s="456">
        <v>14</v>
      </c>
      <c r="B16" s="457">
        <v>69.790000000000006</v>
      </c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</row>
    <row r="17" spans="1:26" ht="19.5" customHeight="1" x14ac:dyDescent="0.2">
      <c r="A17" s="458">
        <v>15</v>
      </c>
      <c r="B17" s="459">
        <v>70.73</v>
      </c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</row>
    <row r="18" spans="1:26" ht="12.75" customHeight="1" x14ac:dyDescent="0.2"/>
    <row r="19" spans="1:26" ht="12.75" customHeight="1" x14ac:dyDescent="0.2"/>
    <row r="20" spans="1:26" ht="12.75" customHeight="1" x14ac:dyDescent="0.2"/>
    <row r="21" spans="1:26" ht="12.75" customHeight="1" x14ac:dyDescent="0.2"/>
    <row r="22" spans="1:26" ht="12.75" customHeight="1" x14ac:dyDescent="0.2"/>
    <row r="23" spans="1:26" ht="12.75" customHeight="1" x14ac:dyDescent="0.2"/>
    <row r="24" spans="1:26" ht="12.75" customHeight="1" x14ac:dyDescent="0.2"/>
    <row r="25" spans="1:26" ht="12.75" customHeight="1" x14ac:dyDescent="0.2"/>
    <row r="26" spans="1:26" ht="12.75" customHeight="1" x14ac:dyDescent="0.2"/>
    <row r="27" spans="1:26" ht="12.75" customHeight="1" x14ac:dyDescent="0.2"/>
    <row r="28" spans="1:26" ht="12.75" customHeight="1" x14ac:dyDescent="0.2"/>
    <row r="29" spans="1:26" ht="12.75" customHeight="1" x14ac:dyDescent="0.2"/>
    <row r="30" spans="1:26" ht="12.75" customHeight="1" x14ac:dyDescent="0.2"/>
    <row r="31" spans="1:26" ht="12.75" customHeight="1" x14ac:dyDescent="0.2"/>
    <row r="32" spans="1:2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">
    <mergeCell ref="A1:B1"/>
  </mergeCells>
  <pageMargins left="0.74791666666666701" right="0.74791666666666701" top="0.51180555555555496" bottom="0.905555555555556" header="0.51180555555555496" footer="0.51180555555555496"/>
  <pageSetup paperSize="9" firstPageNumber="0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Normal="100" workbookViewId="0"/>
  </sheetViews>
  <sheetFormatPr defaultRowHeight="12.75" x14ac:dyDescent="0.2"/>
  <cols>
    <col min="1" max="1" width="70.42578125" customWidth="1"/>
    <col min="2" max="3" width="9.140625" customWidth="1"/>
    <col min="4" max="4" width="12.85546875" customWidth="1"/>
    <col min="5" max="6" width="9.140625" customWidth="1"/>
    <col min="7" max="26" width="8.5703125" customWidth="1"/>
    <col min="27" max="1025" width="12.5703125" customWidth="1"/>
  </cols>
  <sheetData>
    <row r="1" spans="1:26" ht="12.75" customHeight="1" x14ac:dyDescent="0.25">
      <c r="A1" s="460" t="s">
        <v>547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</row>
    <row r="2" spans="1:26" ht="12.75" customHeight="1" x14ac:dyDescent="0.2">
      <c r="A2" s="461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</row>
    <row r="3" spans="1:26" ht="12.75" customHeight="1" x14ac:dyDescent="0.2">
      <c r="A3" s="461" t="s">
        <v>548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</row>
    <row r="4" spans="1:26" ht="12.75" customHeight="1" x14ac:dyDescent="0.2">
      <c r="A4" s="461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</row>
    <row r="5" spans="1:26" ht="12.75" customHeight="1" x14ac:dyDescent="0.2">
      <c r="A5" s="461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</row>
    <row r="6" spans="1:26" ht="12.75" customHeight="1" x14ac:dyDescent="0.2">
      <c r="A6" s="461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</row>
    <row r="7" spans="1:26" ht="12.75" customHeight="1" x14ac:dyDescent="0.2">
      <c r="A7" s="461"/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</row>
    <row r="8" spans="1:26" ht="12.75" customHeight="1" x14ac:dyDescent="0.2">
      <c r="A8" s="461"/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</row>
    <row r="9" spans="1:26" ht="12.75" customHeight="1" x14ac:dyDescent="0.2">
      <c r="A9" s="461"/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</row>
    <row r="10" spans="1:26" ht="12.75" customHeight="1" x14ac:dyDescent="0.2">
      <c r="A10" s="461"/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</row>
    <row r="11" spans="1:26" ht="12.75" customHeight="1" x14ac:dyDescent="0.2">
      <c r="A11" s="461"/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</row>
    <row r="12" spans="1:26" ht="12.75" customHeight="1" x14ac:dyDescent="0.35">
      <c r="A12" s="462" t="s">
        <v>549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</row>
    <row r="13" spans="1:26" ht="12.75" customHeight="1" x14ac:dyDescent="0.2">
      <c r="A13" s="462" t="s">
        <v>550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</row>
    <row r="14" spans="1:26" ht="12.75" customHeight="1" x14ac:dyDescent="0.2">
      <c r="A14" s="462" t="s">
        <v>551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</row>
    <row r="15" spans="1:26" ht="12.75" customHeight="1" x14ac:dyDescent="0.35">
      <c r="A15" s="462" t="s">
        <v>552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</row>
    <row r="16" spans="1:26" ht="12.75" customHeight="1" x14ac:dyDescent="0.35">
      <c r="A16" s="462" t="s">
        <v>553</v>
      </c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</row>
    <row r="17" spans="1:26" ht="12.75" customHeight="1" x14ac:dyDescent="0.2">
      <c r="A17" s="463" t="s">
        <v>554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</row>
    <row r="18" spans="1:26" ht="12.75" customHeight="1" x14ac:dyDescent="0.2"/>
    <row r="19" spans="1:26" ht="12.75" customHeight="1" x14ac:dyDescent="0.2"/>
    <row r="20" spans="1:26" ht="12.75" customHeight="1" x14ac:dyDescent="0.2"/>
    <row r="21" spans="1:26" ht="12.75" customHeight="1" x14ac:dyDescent="0.2"/>
    <row r="22" spans="1:26" ht="12.75" customHeight="1" x14ac:dyDescent="0.2"/>
    <row r="23" spans="1:26" ht="12.75" customHeight="1" x14ac:dyDescent="0.2"/>
    <row r="24" spans="1:26" ht="12.75" customHeight="1" x14ac:dyDescent="0.2"/>
    <row r="25" spans="1:26" ht="12.75" customHeight="1" x14ac:dyDescent="0.2"/>
    <row r="26" spans="1:26" ht="12.75" customHeight="1" x14ac:dyDescent="0.2"/>
    <row r="27" spans="1:26" ht="12.75" customHeight="1" x14ac:dyDescent="0.2"/>
    <row r="28" spans="1:26" ht="12.75" customHeight="1" x14ac:dyDescent="0.2"/>
    <row r="29" spans="1:26" ht="12.75" customHeight="1" x14ac:dyDescent="0.2"/>
    <row r="30" spans="1:26" ht="12.75" customHeight="1" x14ac:dyDescent="0.2"/>
    <row r="31" spans="1:26" ht="12.75" customHeight="1" x14ac:dyDescent="0.2"/>
    <row r="32" spans="1:2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4791666666666701" right="0.74791666666666701" top="0.51180555555555496" bottom="0.905555555555556" header="0.51180555555555496" footer="0.51180555555555496"/>
  <pageSetup paperSize="9" firstPageNumber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26</vt:i4>
      </vt:variant>
    </vt:vector>
  </HeadingPairs>
  <TitlesOfParts>
    <vt:vector size="35" baseType="lpstr">
      <vt:lpstr>0. Qtdades e Custos</vt:lpstr>
      <vt:lpstr>1. Capina e Roçada</vt:lpstr>
      <vt:lpstr>2. Varrição Manual</vt:lpstr>
      <vt:lpstr>3. Equipe Técnica</vt:lpstr>
      <vt:lpstr>4.Encargos Sociais</vt:lpstr>
      <vt:lpstr>5. CAGED</vt:lpstr>
      <vt:lpstr>6. BDI</vt:lpstr>
      <vt:lpstr>7. Depreciação</vt:lpstr>
      <vt:lpstr>8. Remuneração de capital</vt:lpstr>
      <vt:lpstr>AbaDeprec</vt:lpstr>
      <vt:lpstr>AbaRemun</vt:lpstr>
      <vt:lpstr>'0. Qtdades e Custos'!Print_Titles_0</vt:lpstr>
      <vt:lpstr>'1. Capina e Roçada'!Print_Titles_0</vt:lpstr>
      <vt:lpstr>'2. Varrição Manual'!Print_Titles_0</vt:lpstr>
      <vt:lpstr>'3. Equipe Técnica'!Print_Titles_0</vt:lpstr>
      <vt:lpstr>'0. Qtdades e Custos'!Print_Titles_0_0</vt:lpstr>
      <vt:lpstr>'1. Capina e Roçada'!Print_Titles_0_0</vt:lpstr>
      <vt:lpstr>'2. Varrição Manual'!Print_Titles_0_0</vt:lpstr>
      <vt:lpstr>'3. Equipe Técnica'!Print_Titles_0_0</vt:lpstr>
      <vt:lpstr>'0. Qtdades e Custos'!Print_Titles_0_0_0</vt:lpstr>
      <vt:lpstr>'1. Capina e Roçada'!Print_Titles_0_0_0</vt:lpstr>
      <vt:lpstr>'2. Varrição Manual'!Print_Titles_0_0_0</vt:lpstr>
      <vt:lpstr>'3. Equipe Técnica'!Print_Titles_0_0_0</vt:lpstr>
      <vt:lpstr>'0. Qtdades e Custos'!Print_Titles_0_0_0_0</vt:lpstr>
      <vt:lpstr>'1. Capina e Roçada'!Print_Titles_0_0_0_0</vt:lpstr>
      <vt:lpstr>'2. Varrição Manual'!Print_Titles_0_0_0_0</vt:lpstr>
      <vt:lpstr>'3. Equipe Técnica'!Print_Titles_0_0_0_0</vt:lpstr>
      <vt:lpstr>'0. Qtdades e Custos'!Print_Titles_0_0_0_0_0</vt:lpstr>
      <vt:lpstr>'1. Capina e Roçada'!Print_Titles_0_0_0_0_0</vt:lpstr>
      <vt:lpstr>'2. Varrição Manual'!Print_Titles_0_0_0_0_0</vt:lpstr>
      <vt:lpstr>'3. Equipe Técnica'!Print_Titles_0_0_0_0_0</vt:lpstr>
      <vt:lpstr>'0. Qtdades e Custos'!Print_Titles_0_0_0_0_0_0</vt:lpstr>
      <vt:lpstr>'1. Capina e Roçada'!Print_Titles_0_0_0_0_0_0</vt:lpstr>
      <vt:lpstr>'2. Varrição Manual'!Print_Titles_0_0_0_0_0_0</vt:lpstr>
      <vt:lpstr>'3. Equipe Técnica'!Print_Titles_0_0_0_0_0_0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Flavia Burmeister Martins</dc:creator>
  <dc:description/>
  <cp:lastModifiedBy>Jerri Adriano O Goncalves</cp:lastModifiedBy>
  <cp:revision>0</cp:revision>
  <dcterms:created xsi:type="dcterms:W3CDTF">2000-12-13T10:02:50Z</dcterms:created>
  <dcterms:modified xsi:type="dcterms:W3CDTF">2026-02-10T20:34:36Z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