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ndré\Documents\20 CANOAS\Acadepol\Docs Licitação\DOCS Finais - Lote 02 atualizado\"/>
    </mc:Choice>
  </mc:AlternateContent>
  <xr:revisionPtr revIDLastSave="0" documentId="13_ncr:1_{FA1487F5-ECD5-473A-8040-8D90138BE52E}" xr6:coauthVersionLast="47" xr6:coauthVersionMax="47" xr10:uidLastSave="{00000000-0000-0000-0000-000000000000}"/>
  <bookViews>
    <workbookView xWindow="-108" yWindow="-108" windowWidth="23256" windowHeight="12576" activeTab="1" xr2:uid="{BBE27C2A-207B-4092-A2B4-DB878975F3F2}"/>
  </bookViews>
  <sheets>
    <sheet name="Planilha2" sheetId="2" r:id="rId1"/>
    <sheet name="Planilha3" sheetId="3" r:id="rId2"/>
  </sheets>
  <externalReferences>
    <externalReference r:id="rId3"/>
  </externalReferences>
  <definedNames>
    <definedName name="ACOMPANHAMENTO" hidden="1">[1]MENU!$J$4</definedName>
    <definedName name="DESONERACAO" hidden="1">IF(OR(Import.Desoneracao="DESONERADO",Import.Desoneracao="SIM"),"SIM","NÃO")</definedName>
    <definedName name="Excel_BuiltIn_Database" hidden="1">TEXT(Import.DataBase,"mm-aaaa")</definedName>
    <definedName name="Import.Apelido" hidden="1">[1]DADOS!$C$16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Município" hidden="1">[1]DADOS!$C$6</definedName>
    <definedName name="Import.Proponente" hidden="1">[1]DADOS!$C$5</definedName>
    <definedName name="import.recurso" hidden="1">[1]DADOS!$C$4</definedName>
    <definedName name="Import.RegimeExecução" hidden="1">OFFSET([1]DADOS!$D$40,0,-1)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ListaTgov.Unidades" hidden="1">[1]DADOS!$AV$3:$AV$220</definedName>
    <definedName name="ORÇAMENTO.BancoRef" hidden="1">#REF!</definedName>
    <definedName name="ORÇAMENTO.CustoUnitario" hidden="1">ROUND(#REF!,15-13*#REF!)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PrecoUnitarioLicitado" hidden="1">#REF!</definedName>
    <definedName name="REFERENCIA.Descricao" hidden="1">IF(ISNUMBER(#REF!),OFFSET(INDIRECT(ORÇAMENTO.BancoRef),#REF!-1,3,1),#REF!)</definedName>
    <definedName name="REFERENCIA.Unidade" hidden="1">IF(ISNUMBER(#REF!),OFFSET(INDIRECT(ORÇAMENTO.BancoRef),#REF!-1,4,1),"-")</definedName>
    <definedName name="SomaAgrup" hidden="1">SUMIF(OFFSET(#REF!,1,0,#REF!),"S",OFFSET(#REF!,1,0,#REF!))</definedName>
    <definedName name="TIPOORCAMENTO" hidden="1">IF(VALUE([1]MENU!$O$3)=2,"Licitado","Proposto")</definedName>
    <definedName name="VTOTAL1" hidden="1">ROUND(#REF!*#REF!,15-13*#REF!)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" l="1"/>
  <c r="K13" i="3"/>
  <c r="K41" i="3"/>
  <c r="K32" i="3"/>
  <c r="K26" i="3"/>
  <c r="K24" i="3"/>
  <c r="K18" i="3"/>
  <c r="K14" i="3"/>
  <c r="B61" i="3"/>
  <c r="J47" i="3"/>
  <c r="H47" i="3"/>
  <c r="J46" i="3"/>
  <c r="H46" i="3"/>
  <c r="J45" i="3"/>
  <c r="H45" i="3"/>
  <c r="J44" i="3"/>
  <c r="H44" i="3"/>
  <c r="J43" i="3"/>
  <c r="H43" i="3"/>
  <c r="J42" i="3"/>
  <c r="H42" i="3"/>
  <c r="J40" i="3"/>
  <c r="H40" i="3"/>
  <c r="J39" i="3"/>
  <c r="H39" i="3"/>
  <c r="J38" i="3"/>
  <c r="H38" i="3"/>
  <c r="J37" i="3"/>
  <c r="H37" i="3"/>
  <c r="J36" i="3"/>
  <c r="H36" i="3"/>
  <c r="J35" i="3"/>
  <c r="H35" i="3"/>
  <c r="J34" i="3"/>
  <c r="H34" i="3"/>
  <c r="J33" i="3"/>
  <c r="H33" i="3"/>
  <c r="G32" i="3"/>
  <c r="J31" i="3"/>
  <c r="H31" i="3"/>
  <c r="J30" i="3"/>
  <c r="H30" i="3"/>
  <c r="J29" i="3"/>
  <c r="H29" i="3"/>
  <c r="J28" i="3"/>
  <c r="H28" i="3"/>
  <c r="J27" i="3"/>
  <c r="H27" i="3"/>
  <c r="G26" i="3"/>
  <c r="J25" i="3"/>
  <c r="H25" i="3"/>
  <c r="G24" i="3"/>
  <c r="J23" i="3"/>
  <c r="H23" i="3"/>
  <c r="J22" i="3"/>
  <c r="H22" i="3"/>
  <c r="J21" i="3"/>
  <c r="H21" i="3"/>
  <c r="J20" i="3"/>
  <c r="H20" i="3"/>
  <c r="J19" i="3"/>
  <c r="H19" i="3"/>
  <c r="G18" i="3"/>
  <c r="J17" i="3"/>
  <c r="H17" i="3"/>
  <c r="J16" i="3"/>
  <c r="H16" i="3"/>
  <c r="J15" i="3"/>
  <c r="H15" i="3"/>
  <c r="B12" i="3"/>
  <c r="I11" i="3" a="1"/>
  <c r="I11" i="3" s="1"/>
  <c r="H11" i="3" a="1"/>
  <c r="H11" i="3" s="1"/>
  <c r="F9" i="3" a="1"/>
  <c r="F9" i="3" s="1"/>
  <c r="E9" i="3" a="1"/>
  <c r="E9" i="3" s="1"/>
  <c r="K8" i="3" a="1"/>
  <c r="K8" i="3" s="1"/>
  <c r="J8" i="3" a="1"/>
  <c r="J8" i="3" s="1"/>
  <c r="I8" i="3" a="1"/>
  <c r="I8" i="3" s="1"/>
  <c r="F8" i="3" a="1"/>
  <c r="F8" i="3" s="1"/>
  <c r="E8" i="3" a="1"/>
  <c r="E8" i="3" s="1"/>
  <c r="F6" i="3"/>
  <c r="E6" i="3"/>
  <c r="D6" i="3" a="1"/>
  <c r="D6" i="3" s="1"/>
  <c r="B6" i="3"/>
  <c r="E3" i="3" a="1"/>
  <c r="E3" i="3" s="1"/>
  <c r="D68" i="2"/>
  <c r="I67" i="2"/>
  <c r="I67" i="2" a="1"/>
  <c r="I69" i="2" s="1"/>
  <c r="D65" i="2"/>
  <c r="D62" i="2"/>
  <c r="J51" i="2"/>
  <c r="I51" i="2"/>
  <c r="C51" i="2"/>
  <c r="M51" i="2" s="1" a="1"/>
  <c r="M51" i="2" s="1"/>
  <c r="M50" i="2" a="1"/>
  <c r="M50" i="2" s="1"/>
  <c r="J50" i="2"/>
  <c r="I50" i="2"/>
  <c r="C50" i="2"/>
  <c r="L50" i="2" s="1"/>
  <c r="D50" i="2" s="1"/>
  <c r="J49" i="2"/>
  <c r="I49" i="2"/>
  <c r="C49" i="2"/>
  <c r="M49" i="2" s="1" a="1"/>
  <c r="M49" i="2" s="1"/>
  <c r="J48" i="2"/>
  <c r="I48" i="2"/>
  <c r="C48" i="2"/>
  <c r="M48" i="2" s="1" a="1"/>
  <c r="M48" i="2" s="1"/>
  <c r="J47" i="2"/>
  <c r="I47" i="2"/>
  <c r="C47" i="2"/>
  <c r="M47" i="2" s="1" a="1"/>
  <c r="M47" i="2" s="1"/>
  <c r="M46" i="2" a="1"/>
  <c r="M46" i="2" s="1"/>
  <c r="J46" i="2"/>
  <c r="I46" i="2"/>
  <c r="C46" i="2"/>
  <c r="L46" i="2" s="1"/>
  <c r="D46" i="2" s="1"/>
  <c r="L45" i="2"/>
  <c r="I45" i="2"/>
  <c r="C45" i="2"/>
  <c r="D45" i="2" s="1"/>
  <c r="J44" i="2"/>
  <c r="I44" i="2"/>
  <c r="C44" i="2"/>
  <c r="M44" i="2" s="1" a="1"/>
  <c r="M44" i="2" s="1"/>
  <c r="M43" i="2" a="1"/>
  <c r="M43" i="2" s="1"/>
  <c r="J43" i="2"/>
  <c r="I43" i="2"/>
  <c r="C43" i="2"/>
  <c r="L43" i="2" s="1"/>
  <c r="D43" i="2" s="1"/>
  <c r="J42" i="2"/>
  <c r="I42" i="2"/>
  <c r="C42" i="2"/>
  <c r="L42" i="2" s="1"/>
  <c r="M41" i="2" a="1"/>
  <c r="M41" i="2" s="1"/>
  <c r="J41" i="2"/>
  <c r="I41" i="2"/>
  <c r="C41" i="2"/>
  <c r="L41" i="2" s="1"/>
  <c r="D41" i="2" s="1"/>
  <c r="J40" i="2"/>
  <c r="I40" i="2"/>
  <c r="C40" i="2"/>
  <c r="M40" i="2" s="1" a="1"/>
  <c r="M40" i="2" s="1"/>
  <c r="M39" i="2" a="1"/>
  <c r="M39" i="2" s="1"/>
  <c r="J39" i="2"/>
  <c r="I39" i="2"/>
  <c r="C39" i="2"/>
  <c r="L39" i="2" s="1"/>
  <c r="D39" i="2" s="1"/>
  <c r="J38" i="2"/>
  <c r="I38" i="2"/>
  <c r="C38" i="2"/>
  <c r="L38" i="2" s="1"/>
  <c r="M37" i="2" a="1"/>
  <c r="M37" i="2" s="1"/>
  <c r="J37" i="2"/>
  <c r="I37" i="2"/>
  <c r="C37" i="2"/>
  <c r="L37" i="2" s="1"/>
  <c r="D37" i="2" s="1"/>
  <c r="L36" i="2"/>
  <c r="D36" i="2" s="1"/>
  <c r="I36" i="2"/>
  <c r="C36" i="2"/>
  <c r="M36" i="2" s="1" a="1"/>
  <c r="M36" i="2" s="1"/>
  <c r="J35" i="2"/>
  <c r="I35" i="2"/>
  <c r="C35" i="2"/>
  <c r="L35" i="2" s="1"/>
  <c r="M34" i="2" a="1"/>
  <c r="M34" i="2" s="1"/>
  <c r="J34" i="2"/>
  <c r="I34" i="2"/>
  <c r="C34" i="2"/>
  <c r="L34" i="2" s="1"/>
  <c r="D34" i="2" s="1"/>
  <c r="J33" i="2"/>
  <c r="I33" i="2"/>
  <c r="C33" i="2"/>
  <c r="M33" i="2" s="1" a="1"/>
  <c r="M33" i="2" s="1"/>
  <c r="M32" i="2" a="1"/>
  <c r="M32" i="2" s="1"/>
  <c r="J32" i="2"/>
  <c r="I32" i="2"/>
  <c r="C32" i="2"/>
  <c r="L32" i="2" s="1"/>
  <c r="D32" i="2" s="1"/>
  <c r="J31" i="2"/>
  <c r="I31" i="2"/>
  <c r="C31" i="2"/>
  <c r="L31" i="2" s="1"/>
  <c r="I30" i="2"/>
  <c r="C30" i="2"/>
  <c r="M29" i="2" a="1"/>
  <c r="M29" i="2" s="1"/>
  <c r="J29" i="2"/>
  <c r="I29" i="2"/>
  <c r="C29" i="2"/>
  <c r="L29" i="2" s="1"/>
  <c r="D29" i="2" s="1"/>
  <c r="L28" i="2"/>
  <c r="D28" i="2" s="1"/>
  <c r="I28" i="2"/>
  <c r="C28" i="2"/>
  <c r="M28" i="2" s="1" a="1"/>
  <c r="M28" i="2" s="1"/>
  <c r="J27" i="2"/>
  <c r="I27" i="2"/>
  <c r="C27" i="2"/>
  <c r="M27" i="2" s="1" a="1"/>
  <c r="M27" i="2" s="1"/>
  <c r="M26" i="2" a="1"/>
  <c r="M26" i="2" s="1"/>
  <c r="J26" i="2"/>
  <c r="I26" i="2"/>
  <c r="C26" i="2"/>
  <c r="L26" i="2" s="1"/>
  <c r="D26" i="2" s="1"/>
  <c r="J25" i="2"/>
  <c r="I25" i="2"/>
  <c r="C25" i="2"/>
  <c r="L25" i="2" s="1"/>
  <c r="M24" i="2" a="1"/>
  <c r="M24" i="2" s="1"/>
  <c r="J24" i="2"/>
  <c r="I24" i="2"/>
  <c r="C24" i="2"/>
  <c r="L24" i="2" s="1"/>
  <c r="D24" i="2" s="1"/>
  <c r="J23" i="2"/>
  <c r="I23" i="2"/>
  <c r="C23" i="2"/>
  <c r="M23" i="2" s="1" a="1"/>
  <c r="M23" i="2" s="1"/>
  <c r="I22" i="2"/>
  <c r="C22" i="2"/>
  <c r="L22" i="2" s="1"/>
  <c r="M21" i="2" a="1"/>
  <c r="M21" i="2" s="1"/>
  <c r="J21" i="2"/>
  <c r="I21" i="2"/>
  <c r="C21" i="2"/>
  <c r="L21" i="2" s="1"/>
  <c r="D21" i="2" s="1"/>
  <c r="J20" i="2"/>
  <c r="I20" i="2"/>
  <c r="C20" i="2"/>
  <c r="M20" i="2" s="1" a="1"/>
  <c r="M20" i="2" s="1"/>
  <c r="M19" i="2" a="1"/>
  <c r="M19" i="2" s="1"/>
  <c r="J19" i="2"/>
  <c r="I19" i="2"/>
  <c r="C19" i="2"/>
  <c r="L19" i="2" s="1"/>
  <c r="D19" i="2" s="1"/>
  <c r="L18" i="2"/>
  <c r="D18" i="2" s="1"/>
  <c r="I18" i="2"/>
  <c r="C18" i="2"/>
  <c r="M18" i="2" s="1" a="1"/>
  <c r="M18" i="2" s="1"/>
  <c r="L17" i="2"/>
  <c r="D17" i="2" s="1"/>
  <c r="I17" i="2"/>
  <c r="C17" i="2"/>
  <c r="M17" i="2" s="1" a="1"/>
  <c r="M17" i="2" s="1"/>
  <c r="D16" i="2"/>
  <c r="C16" i="2"/>
  <c r="B16" i="2"/>
  <c r="L15" i="2"/>
  <c r="D15" i="2" s="1"/>
  <c r="I15" i="2"/>
  <c r="H15" i="2"/>
  <c r="C15" i="2"/>
  <c r="M15" i="2" s="1" a="1"/>
  <c r="M15" i="2" s="1"/>
  <c r="K14" i="2"/>
  <c r="K14" i="2" a="1"/>
  <c r="J14" i="2"/>
  <c r="J14" i="2" a="1"/>
  <c r="D13" i="2" a="1"/>
  <c r="D13" i="2" s="1"/>
  <c r="M10" i="2"/>
  <c r="L10" i="2"/>
  <c r="K10" i="2"/>
  <c r="J10" i="2"/>
  <c r="I10" i="2"/>
  <c r="M9" i="2" a="1"/>
  <c r="M9" i="2" s="1"/>
  <c r="L9" i="2" a="1"/>
  <c r="L9" i="2" s="1"/>
  <c r="K9" i="2" a="1"/>
  <c r="K9" i="2" s="1"/>
  <c r="H9" i="2" a="1"/>
  <c r="H9" i="2" s="1"/>
  <c r="G9" i="2" a="1"/>
  <c r="G9" i="2" s="1"/>
  <c r="F9" i="2" a="1"/>
  <c r="F9" i="2" s="1"/>
  <c r="M8" i="2" a="1"/>
  <c r="M8" i="2" s="1"/>
  <c r="L8" i="2"/>
  <c r="L8" i="2" a="1"/>
  <c r="K8" i="2" a="1"/>
  <c r="K8" i="2" s="1"/>
  <c r="H8" i="2"/>
  <c r="H8" i="2" a="1"/>
  <c r="G8" i="2" a="1"/>
  <c r="G8" i="2" s="1"/>
  <c r="H6" i="2"/>
  <c r="G6" i="2"/>
  <c r="F6" i="2" a="1"/>
  <c r="F6" i="2" s="1"/>
  <c r="D6" i="2"/>
  <c r="G3" i="2" a="1"/>
  <c r="G3" i="2" s="1"/>
  <c r="L49" i="2" l="1"/>
  <c r="D49" i="2" s="1"/>
  <c r="G15" i="2"/>
  <c r="D22" i="2"/>
  <c r="D25" i="2"/>
  <c r="M25" i="2" a="1"/>
  <c r="M25" i="2" s="1"/>
  <c r="L30" i="2"/>
  <c r="D30" i="2" s="1"/>
  <c r="D31" i="2"/>
  <c r="M31" i="2" a="1"/>
  <c r="M31" i="2" s="1"/>
  <c r="D35" i="2"/>
  <c r="M35" i="2" a="1"/>
  <c r="M35" i="2" s="1"/>
  <c r="D38" i="2"/>
  <c r="M38" i="2" a="1"/>
  <c r="M38" i="2" s="1"/>
  <c r="D42" i="2"/>
  <c r="M42" i="2" a="1"/>
  <c r="M42" i="2" s="1"/>
  <c r="M45" i="2" a="1"/>
  <c r="M45" i="2" s="1"/>
  <c r="L48" i="2"/>
  <c r="D48" i="2" s="1"/>
  <c r="I68" i="2"/>
  <c r="M16" i="2"/>
  <c r="L20" i="2"/>
  <c r="D20" i="2" s="1"/>
  <c r="L23" i="2"/>
  <c r="L27" i="2"/>
  <c r="M30" i="2" a="1"/>
  <c r="M30" i="2" s="1"/>
  <c r="L33" i="2"/>
  <c r="D33" i="2" s="1"/>
  <c r="L40" i="2"/>
  <c r="D40" i="2" s="1"/>
  <c r="L44" i="2"/>
  <c r="D44" i="2" s="1"/>
  <c r="L47" i="2"/>
  <c r="D47" i="2" s="1"/>
  <c r="L51" i="2"/>
  <c r="D51" i="2" s="1"/>
  <c r="M22" i="2" a="1"/>
  <c r="M22" i="2" s="1"/>
  <c r="D23" i="2"/>
  <c r="D27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<sst xmlns="http://schemas.openxmlformats.org/spreadsheetml/2006/main" count="457" uniqueCount="147">
  <si>
    <t>PO - PLANILHA ORÇAMENTÁRIA</t>
  </si>
  <si>
    <t>Grau de Sigilo</t>
  </si>
  <si>
    <t>#PUBLICO</t>
  </si>
  <si>
    <t>Nº OPERAÇÃO</t>
  </si>
  <si>
    <t>Nº TransfereGOV</t>
  </si>
  <si>
    <t>PROPONENTE / TOMADOR</t>
  </si>
  <si>
    <t>APELIDO DO EMPREENDIMENTO</t>
  </si>
  <si>
    <t>LOCALIDADE SINAPI</t>
  </si>
  <si>
    <t>DATA BASE</t>
  </si>
  <si>
    <t>Nível</t>
  </si>
  <si>
    <t>Nível Corrigido</t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</si>
  <si>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</si>
  <si>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</si>
  <si>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</si>
  <si>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</si>
  <si>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</si>
  <si>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</si>
  <si>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</si>
  <si>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
(R$)</t>
  </si>
  <si>
    <t>Serviço</t>
  </si>
  <si>
    <t>SINAPI</t>
  </si>
  <si>
    <t>BDI 1</t>
  </si>
  <si>
    <t>Meta</t>
  </si>
  <si>
    <t>LOTE 02 - INFRAESTRUTURA COMPLEMENTAR</t>
  </si>
  <si>
    <t>-</t>
  </si>
  <si>
    <t>Nível 2</t>
  </si>
  <si>
    <t>Administração Local e serviços iniciais</t>
  </si>
  <si>
    <t>90779</t>
  </si>
  <si>
    <t>Composição</t>
  </si>
  <si>
    <t>01</t>
  </si>
  <si>
    <t>93572</t>
  </si>
  <si>
    <t>Instalações provisórias, montagem do canteiro de obras e serviços iniciais</t>
  </si>
  <si>
    <t>100952</t>
  </si>
  <si>
    <t>100953</t>
  </si>
  <si>
    <t>105114</t>
  </si>
  <si>
    <t>105115</t>
  </si>
  <si>
    <t>Cotação</t>
  </si>
  <si>
    <t xml:space="preserve"> 4175 ORSE</t>
  </si>
  <si>
    <t>Cercamento</t>
  </si>
  <si>
    <t>102363</t>
  </si>
  <si>
    <t>Esgoto cloacal e pluvial</t>
  </si>
  <si>
    <t>89714</t>
  </si>
  <si>
    <t>97897</t>
  </si>
  <si>
    <t>102279</t>
  </si>
  <si>
    <t>101618</t>
  </si>
  <si>
    <t>104737</t>
  </si>
  <si>
    <t>Pavimentação externa (passeio público)</t>
  </si>
  <si>
    <t>96622</t>
  </si>
  <si>
    <t>97113</t>
  </si>
  <si>
    <t>94991</t>
  </si>
  <si>
    <t>94994</t>
  </si>
  <si>
    <t>104658</t>
  </si>
  <si>
    <t>105002</t>
  </si>
  <si>
    <t>97935</t>
  </si>
  <si>
    <t>97735</t>
  </si>
  <si>
    <t>Limpeza e arremates finais</t>
  </si>
  <si>
    <t>13</t>
  </si>
  <si>
    <t>98504</t>
  </si>
  <si>
    <t>100324</t>
  </si>
  <si>
    <t>95876</t>
  </si>
  <si>
    <t>08</t>
  </si>
  <si>
    <t>09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</si>
  <si>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</si>
  <si>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</si>
  <si>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</si>
  <si>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</si>
  <si>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</si>
  <si>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</si>
  <si>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</si>
  <si>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</si>
  <si>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</si>
  <si>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</si>
  <si>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ENGENHEIRO CIVIL DE OBRA SENIOR COM ENCARGOS COMPLEMENTARES</t>
  </si>
  <si>
    <t>H</t>
  </si>
  <si>
    <t>VIGIA NOTURNO COM ENCARGOS COMPLEMENTARES</t>
  </si>
  <si>
    <t>MES</t>
  </si>
  <si>
    <t>ENCARREGADO GERAL DE OBRAS COM ENCARGOS COMPLEMENTARES</t>
  </si>
  <si>
    <t>TRANSPORTE COM CAMINHÃO CARROCERIA COM GUINDAUTO (MUNCK), MOMENTO MÁXIMO DE CARGA 11,7 TM, EM VIA URBANA PAVIMENTADA, DMT ATÉ 30KM (UNIDADE: TXKM). AF_02/2026</t>
  </si>
  <si>
    <t>TXKM</t>
  </si>
  <si>
    <t>TRANSPORTE COM CAMINHÃO CARROCERIA COM GUINDAUTO (MUNCK), MOMENTO MÁXIMO DE CARGA 11,7 TM, EM VIA URBANA PAVIMENTADA, ADICIONAL PARA DMT EXCEDENTE A 30 KM (UNIDADE: TXKM). AF_02/2026</t>
  </si>
  <si>
    <t>EXECUÇÃO DOS APOIOS PARA CONTÊINER OU MÓDULO HABITÁVEL. AF_03/2024</t>
  </si>
  <si>
    <t>M3</t>
  </si>
  <si>
    <t>INSTALAÇÃO E DESINSTALAÇÃO MECANIZADA DE CONTÊINER OU MÓDULO HABITÁVEL DE USOS DIVERSOS. AF_03/2024</t>
  </si>
  <si>
    <t>UN</t>
  </si>
  <si>
    <t>Locação de loteamento com piquetes de madeira</t>
  </si>
  <si>
    <t>m2</t>
  </si>
  <si>
    <t>ALAMBRADO PARA QUADRA POLIESPORTIVA, ESTRUTURADO POR TUBOS DE AÇO GALVANIZADO, (MONTANTES COM DIÂMETRO 2", TRAVESSAS E ESCORAS COM DIÂMETRO 1 ¼"), COM TELA DE ARAME GALVANIZADO, FIO 12 BWG E MALHA QUADRADA 5X5CM (EXCETO MURETA). AF_12/2025</t>
  </si>
  <si>
    <t>M2</t>
  </si>
  <si>
    <t>TUBO PVC, SERIE NORMAL, ESGOTO PREDIAL, DN 100 MM, FORNECIDO E INSTALADO EM RAMAL DE DESCARGA OU RAMAL DE ESGOTO SANITÁRIO. AF_08/2022</t>
  </si>
  <si>
    <t>M</t>
  </si>
  <si>
    <t>CAIXA ENTERRADA HIDRÁULICA RETANGULAR, EM CONCRETO PRÉ-MOLDADO, DIMENSÕES INTERNAS: 0,6X0,6X0,5 M. AF_12/2020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</si>
  <si>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</si>
  <si>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PREPARO DE FUNDO DE VALA COM LARGURA MENOR QUE 1,5 M, COM CAMADA DE AREIA, LANÇAMENTO MANUAL. AF_01/2026</t>
  </si>
  <si>
    <t>REATERRO MANUAL DE VALAS, COM PLACA VIBRATÓRIA. AF_08/2023</t>
  </si>
  <si>
    <t>LASTRO COM MATERIAL GRANULAR, APLICADO EM PISOS OU LAJES SOBRE SOLO, ESPESSURA DE *5 CM*. AF_01/2024</t>
  </si>
  <si>
    <t>APLICAÇÃO DE LONA PLÁSTICA PARA EXECUÇÃO DE PAVIMENTOS DE CONCRETO. AF_04/2022</t>
  </si>
  <si>
    <t>EXECUÇÃO DE PASSEIO (CALÇADA) OU PISO DE CONCRETO COM CONCRETO MOLDADO IN LOCO, USINADO C20, ACABAMENTO CONVENCIONAL, NÃO ARMADO. AF_08/2022</t>
  </si>
  <si>
    <t>EXECUÇÃO DE PASSEIO (CALÇADA) OU PISO DE CONCRETO COM CONCRETO MOLDADO IN LOCO, FEITO EM OBRA, ACABAMENTO CONVENCIONAL, ESPESSURA 8 CM, ARMADO. AF_08/2022</t>
  </si>
  <si>
    <t>PISO PODOTÁTIL DE ALERTA OU DIRECIONAL, DE CONCRETO, ASSENTADO SOBRE ARGAMASSA. AF_03/2024</t>
  </si>
  <si>
    <t>RAMPA DE ACESSIBILIDADE EM CONCRETO MOLDADO IN LOCO, EM CALÇADA NOVA COM LARGURA MAIOR OU IGUAL À 3,00 M, FCK 25MPA, COM PISO PODOTÁTIL. AF_03/2024</t>
  </si>
  <si>
    <t>CAIXA PARA BOCA DE LOBO SIMPLES RETANGULAR, EM CONCRETO PRÉ-MOLDADO, DIMENSÕES INTERNAS: 0,6X1,0X1,2 M. AF_12/2020</t>
  </si>
  <si>
    <t>PEÇA RETANGULAR PRÉ-MOLDADA, VOLUME DE CONCRETO DE 30 A 100 LITROS, TAXA DE AÇO APROXIMADA DE 30KG/M³. AF_03/2024</t>
  </si>
  <si>
    <t>Regularização e nivelamento da superfície (taludamento) do terreno para aplicação de grama e/ou lastro de brita</t>
  </si>
  <si>
    <t>PLANTIO DE GRAMA BATATAIS EM PLACAS. AF_07/2024</t>
  </si>
  <si>
    <t>LASTRO COM MATERIAL GRANULAR (PEDRA BRITADA N.1 E PEDRA BRITADA N.2), APLICADO EM PISOS OU LAJES SOBRE SOLO, ESPESSURA DE *10 CM*. AF_01/2024</t>
  </si>
  <si>
    <t>TRANSPORTE COM CAMINHÃO BASCULANTE DE 14 M³, EM VIA URBANA PAVIMENTADA, DMT ATÉ 30 KM (UNIDADE: M3XKM). AF_02/2026</t>
  </si>
  <si>
    <t>M3XKM</t>
  </si>
  <si>
    <t>LIMPEZA DE PISO EM CONCRETO COM VASSOURA A SECO.</t>
  </si>
  <si>
    <t>PROJETO AS BUILT</t>
  </si>
  <si>
    <t>Porto Alegre</t>
  </si>
  <si>
    <t>07-26 (N. DES)</t>
  </si>
  <si>
    <t>1.</t>
  </si>
  <si>
    <t>1.1</t>
  </si>
  <si>
    <t>1.1.1</t>
  </si>
  <si>
    <t>1.1.2</t>
  </si>
  <si>
    <t>1.1.3</t>
  </si>
  <si>
    <t>1.2</t>
  </si>
  <si>
    <t>1.2.1</t>
  </si>
  <si>
    <t>1.2.2</t>
  </si>
  <si>
    <t>1.2.3</t>
  </si>
  <si>
    <t>1.2.4</t>
  </si>
  <si>
    <t>1.2.5</t>
  </si>
  <si>
    <t>1.3</t>
  </si>
  <si>
    <t>1.3.1</t>
  </si>
  <si>
    <t>1.4</t>
  </si>
  <si>
    <t>1.4.1</t>
  </si>
  <si>
    <t>1.4.2</t>
  </si>
  <si>
    <t>1.4.3</t>
  </si>
  <si>
    <t>1.4.4</t>
  </si>
  <si>
    <t>1.4.5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</si>
  <si>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</si>
  <si>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</si>
  <si>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</si>
  <si>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</si>
  <si>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</si>
  <si>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</si>
  <si>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</si>
  <si>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</si>
  <si>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</si>
  <si>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1.6</t>
  </si>
  <si>
    <t>1.6.1</t>
  </si>
  <si>
    <t>1.6.2</t>
  </si>
  <si>
    <t>1.6.3</t>
  </si>
  <si>
    <t>1.6.4</t>
  </si>
  <si>
    <t>1.6.5</t>
  </si>
  <si>
    <t>1.6.6</t>
  </si>
  <si>
    <t>Foi considerado arredondamento de duas casas decimais para Quantidade; Custo Unitário; BDI; Preço Unitário; Preço Total.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</si>
</sst>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7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42"/>
      </patternFill>
    </fill>
    <fill>
      <patternFill patternType="solid">
        <fgColor theme="0" tint="-0.34998626667073579"/>
        <bgColor indexed="26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2" fillId="0" borderId="0"/>
  </cellStyleXfs>
  <cellXfs count="8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6" fillId="0" borderId="1" xfId="3" applyFont="1" applyBorder="1" applyAlignment="1">
      <alignment horizontal="left" vertical="top"/>
    </xf>
    <xf numFmtId="0" fontId="6" fillId="0" borderId="1" xfId="3" applyFont="1" applyBorder="1" applyAlignment="1">
      <alignment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4" xfId="4" applyFont="1" applyBorder="1" applyAlignment="1">
      <alignment horizontal="left" vertical="top" wrapText="1"/>
    </xf>
    <xf numFmtId="0" fontId="0" fillId="0" borderId="4" xfId="4" applyFont="1" applyBorder="1" applyAlignment="1">
      <alignment vertical="top" wrapText="1"/>
    </xf>
    <xf numFmtId="0" fontId="6" fillId="0" borderId="5" xfId="3" applyFont="1" applyBorder="1" applyAlignment="1">
      <alignment horizontal="left" vertical="top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6" xfId="4" applyFont="1" applyBorder="1" applyAlignment="1">
      <alignment horizontal="left" vertical="top" wrapText="1"/>
    </xf>
    <xf numFmtId="0" fontId="0" fillId="0" borderId="7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 shrinkToFit="1"/>
    </xf>
    <xf numFmtId="49" fontId="0" fillId="2" borderId="11" xfId="0" applyNumberFormat="1" applyFill="1" applyBorder="1" applyAlignment="1" applyProtection="1">
      <alignment horizontal="center" vertical="center" wrapText="1"/>
      <protection locked="0"/>
    </xf>
    <xf numFmtId="49" fontId="0" fillId="3" borderId="11" xfId="0" applyNumberFormat="1" applyFill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left" vertical="center" wrapText="1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43" fontId="0" fillId="0" borderId="11" xfId="1" applyFont="1" applyFill="1" applyBorder="1" applyAlignment="1" applyProtection="1">
      <alignment vertical="center" shrinkToFit="1"/>
    </xf>
    <xf numFmtId="43" fontId="0" fillId="3" borderId="11" xfId="1" applyFont="1" applyFill="1" applyBorder="1" applyAlignment="1" applyProtection="1">
      <alignment vertical="center" wrapText="1"/>
      <protection locked="0"/>
    </xf>
    <xf numFmtId="10" fontId="0" fillId="2" borderId="11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2" xfId="1" applyFont="1" applyFill="1" applyBorder="1" applyAlignment="1" applyProtection="1">
      <alignment horizontal="center" vertical="center" shrinkToFit="1"/>
    </xf>
    <xf numFmtId="0" fontId="6" fillId="4" borderId="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/>
    </xf>
    <xf numFmtId="43" fontId="6" fillId="4" borderId="14" xfId="1" applyFont="1" applyFill="1" applyBorder="1" applyAlignment="1" applyProtection="1">
      <alignment horizontal="center" vertical="center"/>
    </xf>
    <xf numFmtId="10" fontId="6" fillId="4" borderId="14" xfId="2" applyNumberFormat="1" applyFont="1" applyFill="1" applyBorder="1" applyAlignment="1" applyProtection="1">
      <alignment horizontal="center" vertical="center"/>
    </xf>
    <xf numFmtId="43" fontId="6" fillId="4" borderId="15" xfId="1" applyFont="1" applyFill="1" applyBorder="1" applyAlignment="1" applyProtection="1">
      <alignment horizontal="center" vertical="center" shrinkToFit="1"/>
    </xf>
    <xf numFmtId="0" fontId="0" fillId="5" borderId="13" xfId="0" applyFill="1" applyBorder="1"/>
    <xf numFmtId="0" fontId="0" fillId="5" borderId="15" xfId="0" applyFill="1" applyBorder="1"/>
    <xf numFmtId="0" fontId="0" fillId="5" borderId="14" xfId="0" applyFill="1" applyBorder="1"/>
    <xf numFmtId="0" fontId="11" fillId="0" borderId="0" xfId="0" applyFont="1"/>
    <xf numFmtId="0" fontId="11" fillId="0" borderId="8" xfId="0" applyFont="1" applyBorder="1" applyAlignment="1" applyProtection="1">
      <alignment horizontal="left" vertical="center"/>
      <protection locked="0"/>
    </xf>
    <xf numFmtId="0" fontId="11" fillId="0" borderId="5" xfId="0" applyFont="1" applyBorder="1" applyAlignment="1">
      <alignment horizontal="left" vertical="center"/>
    </xf>
    <xf numFmtId="0" fontId="0" fillId="0" borderId="16" xfId="0" applyBorder="1"/>
    <xf numFmtId="0" fontId="11" fillId="3" borderId="2" xfId="0" applyFont="1" applyFill="1" applyBorder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left" wrapText="1"/>
    </xf>
    <xf numFmtId="0" fontId="12" fillId="0" borderId="8" xfId="0" applyFont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166" fontId="0" fillId="0" borderId="7" xfId="0" applyNumberFormat="1" applyBorder="1" applyAlignment="1">
      <alignment horizontal="left"/>
    </xf>
    <xf numFmtId="0" fontId="12" fillId="0" borderId="17" xfId="4" applyFont="1" applyBorder="1" applyAlignment="1">
      <alignment vertical="center"/>
    </xf>
    <xf numFmtId="0" fontId="0" fillId="0" borderId="17" xfId="0" applyBorder="1"/>
    <xf numFmtId="0" fontId="6" fillId="0" borderId="0" xfId="0" applyFont="1"/>
    <xf numFmtId="0" fontId="0" fillId="0" borderId="0" xfId="4" applyFont="1" applyAlignment="1">
      <alignment vertical="center"/>
    </xf>
    <xf numFmtId="0" fontId="6" fillId="0" borderId="0" xfId="3" applyFont="1" applyAlignment="1">
      <alignment horizontal="left" vertical="top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6" fillId="0" borderId="4" xfId="0" applyFont="1" applyBorder="1"/>
    <xf numFmtId="0" fontId="0" fillId="0" borderId="4" xfId="0" applyBorder="1"/>
    <xf numFmtId="0" fontId="13" fillId="0" borderId="2" xfId="4" applyFont="1" applyBorder="1" applyAlignment="1">
      <alignment horizontal="left" vertical="top" wrapText="1"/>
    </xf>
    <xf numFmtId="0" fontId="14" fillId="0" borderId="2" xfId="4" applyFont="1" applyBorder="1" applyAlignment="1">
      <alignment horizontal="left" vertical="top" wrapText="1"/>
    </xf>
    <xf numFmtId="10" fontId="0" fillId="0" borderId="7" xfId="2" applyNumberFormat="1" applyFont="1" applyBorder="1" applyAlignment="1">
      <alignment horizontal="center" vertical="top" wrapText="1"/>
    </xf>
    <xf numFmtId="10" fontId="0" fillId="0" borderId="2" xfId="2" applyNumberFormat="1" applyFont="1" applyBorder="1" applyAlignment="1">
      <alignment horizontal="center" vertical="top" wrapText="1"/>
    </xf>
    <xf numFmtId="0" fontId="6" fillId="0" borderId="19" xfId="3" applyFont="1" applyBorder="1" applyAlignment="1">
      <alignment horizontal="left" vertical="top"/>
    </xf>
    <xf numFmtId="0" fontId="0" fillId="0" borderId="18" xfId="4" applyFont="1" applyBorder="1" applyAlignment="1">
      <alignment horizontal="left" vertical="top" wrapText="1"/>
    </xf>
    <xf numFmtId="0" fontId="6" fillId="0" borderId="21" xfId="3" applyFont="1" applyBorder="1" applyAlignment="1">
      <alignment horizontal="center" vertical="top"/>
    </xf>
    <xf numFmtId="10" fontId="0" fillId="0" borderId="20" xfId="2" applyNumberFormat="1" applyFont="1" applyBorder="1" applyAlignment="1">
      <alignment horizontal="center" vertical="top" wrapText="1"/>
    </xf>
    <xf numFmtId="0" fontId="0" fillId="6" borderId="10" xfId="0" applyFill="1" applyBorder="1" applyAlignment="1">
      <alignment vertical="center" wrapText="1" shrinkToFit="1"/>
    </xf>
    <xf numFmtId="49" fontId="0" fillId="7" borderId="11" xfId="0" applyNumberFormat="1" applyFill="1" applyBorder="1" applyAlignment="1" applyProtection="1">
      <alignment horizontal="center" vertical="center" wrapText="1"/>
      <protection locked="0"/>
    </xf>
    <xf numFmtId="49" fontId="0" fillId="8" borderId="11" xfId="0" applyNumberFormat="1" applyFill="1" applyBorder="1" applyAlignment="1" applyProtection="1">
      <alignment horizontal="center" vertical="center" wrapText="1"/>
      <protection locked="0"/>
    </xf>
    <xf numFmtId="0" fontId="0" fillId="8" borderId="11" xfId="0" applyFill="1" applyBorder="1" applyAlignment="1" applyProtection="1">
      <alignment horizontal="left" vertical="center" wrapText="1"/>
      <protection locked="0"/>
    </xf>
    <xf numFmtId="0" fontId="0" fillId="8" borderId="11" xfId="0" applyFill="1" applyBorder="1" applyAlignment="1" applyProtection="1">
      <alignment horizontal="center" vertical="center" wrapText="1"/>
      <protection locked="0"/>
    </xf>
    <xf numFmtId="43" fontId="0" fillId="6" borderId="11" xfId="1" applyFont="1" applyFill="1" applyBorder="1" applyAlignment="1" applyProtection="1">
      <alignment vertical="center" shrinkToFit="1"/>
    </xf>
    <xf numFmtId="43" fontId="0" fillId="8" borderId="11" xfId="1" applyFont="1" applyFill="1" applyBorder="1" applyAlignment="1" applyProtection="1">
      <alignment vertical="center" wrapText="1"/>
      <protection locked="0"/>
    </xf>
    <xf numFmtId="10" fontId="0" fillId="7" borderId="11" xfId="2" applyNumberFormat="1" applyFont="1" applyFill="1" applyBorder="1" applyAlignment="1" applyProtection="1">
      <alignment horizontal="center" vertical="center" wrapText="1"/>
      <protection locked="0"/>
    </xf>
    <xf numFmtId="43" fontId="0" fillId="6" borderId="12" xfId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4" xr:uid="{B97B6046-3D36-4A49-A7F6-D852B59AF8E3}"/>
    <cellStyle name="Normal_FICHA DE VERIFICAÇÃO PRELIMINAR - Plano R" xfId="3" xr:uid="{B6DE3068-0EFE-4EBA-AB67-8FFF36BBAC78}"/>
    <cellStyle name="Porcentagem" xfId="2" builtinId="5"/>
    <cellStyle name="Vírgula" xfId="1" builtinId="3"/>
  </cellStyles>
  <dxfs count="79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AF$7"/>
</file>

<file path=xl/ctrlProps/ctrlProp2.xml><?xml version="1.0" encoding="utf-8"?>
<formControlPr xmlns="http://schemas.microsoft.com/office/spreadsheetml/2009/9/main" objectType="CheckBox" fmlaLink="$AF$8"/>
</file>

<file path=xl/ctrlProps/ctrlProp3.xml><?xml version="1.0" encoding="utf-8"?>
<formControlPr xmlns="http://schemas.microsoft.com/office/spreadsheetml/2009/9/main" objectType="CheckBox" fmlaLink="$AF$9"/>
</file>

<file path=xl/ctrlProps/ctrlProp4.xml><?xml version="1.0" encoding="utf-8"?>
<formControlPr xmlns="http://schemas.microsoft.com/office/spreadsheetml/2009/9/main" objectType="CheckBox" fmlaLink="$AF$10"/>
</file>

<file path=xl/ctrlProps/ctrlProp5.xml><?xml version="1.0" encoding="utf-8"?>
<formControlPr xmlns="http://schemas.microsoft.com/office/spreadsheetml/2009/9/main" objectType="CheckBox" fmlaLink="$AF$1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</xdr:colOff>
      <xdr:row>1</xdr:row>
      <xdr:rowOff>15240</xdr:rowOff>
    </xdr:from>
    <xdr:to>
      <xdr:col>4</xdr:col>
      <xdr:colOff>1036320</xdr:colOff>
      <xdr:row>2</xdr:row>
      <xdr:rowOff>167640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475AEF2-039A-4947-9D00-075979A37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15240"/>
          <a:ext cx="183642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9102</xdr:colOff>
      <xdr:row>9</xdr:row>
      <xdr:rowOff>95250</xdr:rowOff>
    </xdr:from>
    <xdr:to>
      <xdr:col>13</xdr:col>
      <xdr:colOff>3810</xdr:colOff>
      <xdr:row>11</xdr:row>
      <xdr:rowOff>141018</xdr:rowOff>
    </xdr:to>
    <xdr:sp macro="" textlink="" fLocksText="0">
      <xdr:nvSpPr>
        <xdr:cNvPr id="3" name="TextBoxArred">
          <a:extLst>
            <a:ext uri="{FF2B5EF4-FFF2-40B4-BE49-F238E27FC236}">
              <a16:creationId xmlns:a16="http://schemas.microsoft.com/office/drawing/2014/main" id="{0448EC4D-4EA0-46A2-A45B-6123DB46A104}"/>
            </a:ext>
          </a:extLst>
        </xdr:cNvPr>
        <xdr:cNvSpPr txBox="1">
          <a:spLocks noChangeArrowheads="1"/>
        </xdr:cNvSpPr>
      </xdr:nvSpPr>
      <xdr:spPr bwMode="auto">
        <a:xfrm flipH="1">
          <a:off x="9640782" y="1383030"/>
          <a:ext cx="4780068" cy="373428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10</xdr:row>
          <xdr:rowOff>68580</xdr:rowOff>
        </xdr:from>
        <xdr:to>
          <xdr:col>8</xdr:col>
          <xdr:colOff>830580</xdr:colOff>
          <xdr:row>11</xdr:row>
          <xdr:rowOff>144780</xdr:rowOff>
        </xdr:to>
        <xdr:sp macro="" textlink="">
          <xdr:nvSpPr>
            <xdr:cNvPr id="2049" name="CaixaArredQuan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F48E635-C638-4F36-9D92-2DEB15DEBD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388620</xdr:colOff>
          <xdr:row>10</xdr:row>
          <xdr:rowOff>68580</xdr:rowOff>
        </xdr:from>
        <xdr:to>
          <xdr:col>9</xdr:col>
          <xdr:colOff>822960</xdr:colOff>
          <xdr:row>11</xdr:row>
          <xdr:rowOff>144780</xdr:rowOff>
        </xdr:to>
        <xdr:sp macro="" textlink="">
          <xdr:nvSpPr>
            <xdr:cNvPr id="2050" name="CaixaArredCustoUnit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D77D904F-F7EB-483A-8A5E-40910B830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10</xdr:row>
          <xdr:rowOff>68580</xdr:rowOff>
        </xdr:from>
        <xdr:to>
          <xdr:col>10</xdr:col>
          <xdr:colOff>678180</xdr:colOff>
          <xdr:row>11</xdr:row>
          <xdr:rowOff>144780</xdr:rowOff>
        </xdr:to>
        <xdr:sp macro="" textlink="">
          <xdr:nvSpPr>
            <xdr:cNvPr id="2051" name="CaixaArredBDI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8A9FF304-B3BE-46C9-8249-5232125BBD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388620</xdr:colOff>
          <xdr:row>10</xdr:row>
          <xdr:rowOff>68580</xdr:rowOff>
        </xdr:from>
        <xdr:to>
          <xdr:col>11</xdr:col>
          <xdr:colOff>807720</xdr:colOff>
          <xdr:row>11</xdr:row>
          <xdr:rowOff>144780</xdr:rowOff>
        </xdr:to>
        <xdr:sp macro="" textlink="">
          <xdr:nvSpPr>
            <xdr:cNvPr id="2052" name="CaixaArredPrecoUnit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54DCD95B-D049-4F6C-B485-546C887857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426720</xdr:colOff>
          <xdr:row>10</xdr:row>
          <xdr:rowOff>45720</xdr:rowOff>
        </xdr:from>
        <xdr:to>
          <xdr:col>12</xdr:col>
          <xdr:colOff>861060</xdr:colOff>
          <xdr:row>11</xdr:row>
          <xdr:rowOff>144780</xdr:rowOff>
        </xdr:to>
        <xdr:sp macro="" textlink="">
          <xdr:nvSpPr>
            <xdr:cNvPr id="2053" name="CaixaArredPrecoTotal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B2014BD9-F7EF-468A-9950-F16B2D579F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6</xdr:col>
      <xdr:colOff>2535551</xdr:colOff>
      <xdr:row>9</xdr:row>
      <xdr:rowOff>38090</xdr:rowOff>
    </xdr:from>
    <xdr:to>
      <xdr:col>6</xdr:col>
      <xdr:colOff>3765071</xdr:colOff>
      <xdr:row>12</xdr:row>
      <xdr:rowOff>20315</xdr:rowOff>
    </xdr:to>
    <xdr:sp macro="[1]!recuperar" textlink="">
      <xdr:nvSpPr>
        <xdr:cNvPr id="8" name="AutoShape 67">
          <a:extLst>
            <a:ext uri="{FF2B5EF4-FFF2-40B4-BE49-F238E27FC236}">
              <a16:creationId xmlns:a16="http://schemas.microsoft.com/office/drawing/2014/main" id="{F4AA99E3-4927-464B-AAFF-8C07E4B6D11A}"/>
            </a:ext>
          </a:extLst>
        </xdr:cNvPr>
        <xdr:cNvSpPr>
          <a:spLocks noChangeArrowheads="1"/>
        </xdr:cNvSpPr>
      </xdr:nvSpPr>
      <xdr:spPr bwMode="auto">
        <a:xfrm>
          <a:off x="6947531" y="1325870"/>
          <a:ext cx="1229520" cy="477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1</xdr:row>
      <xdr:rowOff>0</xdr:rowOff>
    </xdr:from>
    <xdr:to>
      <xdr:col>2</xdr:col>
      <xdr:colOff>637127</xdr:colOff>
      <xdr:row>3</xdr:row>
      <xdr:rowOff>76200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77141134-8D5B-6CB0-C7D4-7B6CE1DF7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82880"/>
          <a:ext cx="1124807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Andr&#233;\Documents\20%20CANOAS\Acadepol\Docs%20Licita&#231;&#227;o\DOCS%20Finais%20-%20Lote%2002%20atualizado\Planilha_M&#250;ltipla_ACADEPOL_49_lotes_LOTE_02_sinapi_07_2026.xlsm" TargetMode="External"/><Relationship Id="rId1" Type="http://schemas.openxmlformats.org/officeDocument/2006/relationships/externalLinkPath" Target="Planilha_M&#250;ltipla_ACADEPOL_49_lotes_LOTE_02_sinapi_07_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definedNames>
      <definedName name="recuperar"/>
    </definedNames>
    <sheetDataSet>
      <sheetData sheetId="0" refreshError="1"/>
      <sheetData sheetId="1">
        <row r="3">
          <cell r="O3">
            <v>1</v>
          </cell>
        </row>
        <row r="4">
          <cell r="J4" t="str">
            <v>BM</v>
          </cell>
        </row>
      </sheetData>
      <sheetData sheetId="2">
        <row r="3">
          <cell r="AV3" t="str">
            <v>%CT</v>
          </cell>
        </row>
        <row r="4">
          <cell r="C4" t="str">
            <v>OGU</v>
          </cell>
          <cell r="AV4" t="str">
            <v>°C</v>
          </cell>
        </row>
        <row r="5">
          <cell r="C5" t="str">
            <v>Prefeitura Municipal de Canoas</v>
          </cell>
          <cell r="AV5" t="str">
            <v>°F</v>
          </cell>
        </row>
        <row r="6">
          <cell r="C6" t="str">
            <v>Canoas/RS</v>
          </cell>
          <cell r="AV6" t="str">
            <v>100M</v>
          </cell>
        </row>
        <row r="7">
          <cell r="C7" t="str">
            <v>-</v>
          </cell>
          <cell r="AV7" t="str">
            <v>18L</v>
          </cell>
        </row>
        <row r="8">
          <cell r="C8" t="str">
            <v>-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CJ. HAB. ACADEPOL</v>
          </cell>
          <cell r="AV16" t="str">
            <v>AM</v>
          </cell>
        </row>
        <row r="17">
          <cell r="C17" t="str">
            <v>Infraestrutura para moradias de Interesse Social</v>
          </cell>
          <cell r="AV17" t="str">
            <v>AM0/4ML</v>
          </cell>
        </row>
        <row r="18"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André Luís Abitante</v>
          </cell>
          <cell r="AV22" t="str">
            <v>AM2/5ML</v>
          </cell>
        </row>
        <row r="23">
          <cell r="C23" t="str">
            <v>125460</v>
          </cell>
          <cell r="AV23" t="str">
            <v>AM2ML</v>
          </cell>
        </row>
        <row r="24">
          <cell r="C24" t="str">
            <v>13944109</v>
          </cell>
          <cell r="AV24" t="str">
            <v>AM3ML</v>
          </cell>
        </row>
        <row r="25">
          <cell r="C25">
            <v>46266</v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Tradicional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 refreshError="1"/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6A126-3FF7-457B-8856-6644C02125FC}">
  <dimension ref="B2:M69"/>
  <sheetViews>
    <sheetView workbookViewId="0">
      <selection activeCell="N14" sqref="N14"/>
    </sheetView>
  </sheetViews>
  <sheetFormatPr defaultRowHeight="14.4" x14ac:dyDescent="0.3"/>
  <cols>
    <col min="7" max="7" width="27" customWidth="1"/>
  </cols>
  <sheetData>
    <row r="2" spans="2:13" ht="17.399999999999999" x14ac:dyDescent="0.3">
      <c r="B2" s="1"/>
      <c r="C2" s="1"/>
      <c r="G2" s="2" t="s">
        <v>0</v>
      </c>
      <c r="I2" s="2"/>
      <c r="M2" s="3" t="s">
        <v>1</v>
      </c>
    </row>
    <row r="3" spans="2:13" ht="15" x14ac:dyDescent="0.3">
      <c r="G3" s="4" t="str" cm="1">
        <f t="array" ref="G3">IF(TIPOORCAMENTO="licitado","Orçamento Licitado","Orçamento Base para Licitação")&amp;" - "&amp;import.recurso</f>
        <v>Orçamento Base para Licitação - OGU</v>
      </c>
      <c r="M3" s="5" t="s">
        <v>2</v>
      </c>
    </row>
    <row r="4" spans="2:13" x14ac:dyDescent="0.3">
      <c r="G4" s="6"/>
    </row>
    <row r="5" spans="2:13" x14ac:dyDescent="0.3">
      <c r="D5" s="7" t="s">
        <v>3</v>
      </c>
      <c r="E5" s="7"/>
      <c r="F5" s="8" t="s">
        <v>4</v>
      </c>
      <c r="G5" s="8" t="s">
        <v>5</v>
      </c>
      <c r="H5" s="7" t="s">
        <v>6</v>
      </c>
      <c r="I5" s="7"/>
      <c r="J5" s="7"/>
      <c r="K5" s="7"/>
      <c r="L5" s="7"/>
      <c r="M5" s="7"/>
    </row>
    <row r="6" spans="2:13" x14ac:dyDescent="0.3">
      <c r="D6" s="9" t="str">
        <f>Import.CR</f>
        <v>-</v>
      </c>
      <c r="E6" s="9"/>
      <c r="F6" s="10" t="str" cm="1">
        <f t="array" ref="F6">Import.TransfereGOV</f>
        <v>-</v>
      </c>
      <c r="G6" s="11" t="str">
        <f>Import.Proponente</f>
        <v>Prefeitura Municipal de Canoas</v>
      </c>
      <c r="H6" s="9" t="str">
        <f>Import.Apelido</f>
        <v>CJ. HAB. ACADEPOL</v>
      </c>
      <c r="I6" s="9"/>
      <c r="J6" s="9"/>
      <c r="K6" s="9"/>
      <c r="L6" s="9"/>
      <c r="M6" s="9"/>
    </row>
    <row r="7" spans="2:13" x14ac:dyDescent="0.3">
      <c r="D7" s="12"/>
      <c r="E7" s="12"/>
      <c r="F7" s="13"/>
      <c r="G7" s="13"/>
      <c r="H7" s="12"/>
      <c r="I7" s="12"/>
      <c r="J7" s="12"/>
      <c r="K7" s="12"/>
      <c r="L7" s="12"/>
      <c r="M7" s="12"/>
    </row>
    <row r="8" spans="2:13" x14ac:dyDescent="0.3">
      <c r="D8" s="7" t="s">
        <v>7</v>
      </c>
      <c r="E8" s="7"/>
      <c r="F8" s="8" t="s">
        <v>8</v>
      </c>
      <c r="G8" s="8" t="str" cm="1">
        <f t="array" ref="G8">IF(TIPOORCAMENTO="Licitado","NOME DA EMPRESA","DESCRIÇÃO DO LOTE")</f>
        <v>DESCRIÇÃO DO LOTE</v>
      </c>
      <c r="H8" s="14" t="str" cm="1">
        <f t="array" ref="H8">IF(TIPOORCAMENTO="Licitado","REGIME DE EXECUÇÃO","MUNICÍPIO / UF")</f>
        <v>MUNICÍPIO / UF</v>
      </c>
      <c r="I8" s="14"/>
      <c r="J8" s="14"/>
      <c r="K8" s="15" t="str" cm="1">
        <f t="array" ref="K8">IF(TIPOORCAMENTO="Licitado","","BDI 1")</f>
        <v>BDI 1</v>
      </c>
      <c r="L8" s="15" t="str" cm="1">
        <f t="array" ref="L8">IF(TIPOORCAMENTO="Licitado","","BDI 2")</f>
        <v>BDI 2</v>
      </c>
      <c r="M8" s="16" t="str" cm="1">
        <f t="array" ref="M8">IF(TIPOORCAMENTO="Licitado","Nº CTEF","BDI 3")</f>
        <v>BDI 3</v>
      </c>
    </row>
    <row r="9" spans="2:13" ht="28.8" x14ac:dyDescent="0.3">
      <c r="D9" s="66" t="s">
        <v>109</v>
      </c>
      <c r="E9" s="66"/>
      <c r="F9" s="17" t="e" cm="1">
        <f t="array" aca="1" ref="F9" ca="1">TEXT(Import.DataBase,"mm-aa")&amp;IF(DESONERACAO="Sim"," (DES.)"," (N DES.)")</f>
        <v>#VALUE!</v>
      </c>
      <c r="G9" s="11" t="str" cm="1">
        <f t="array" ref="G9">IF(TIPOORCAMENTO="Licitado",Import.empresa,Import.DescLote)</f>
        <v>Infraestrutura para moradias de Interesse Social</v>
      </c>
      <c r="H9" s="18" t="str" cm="1">
        <f t="array" ref="H9">IF(TIPOORCAMENTO="Licitado",Import.RegimeExecução,Import.Município)</f>
        <v>Canoas/RS</v>
      </c>
      <c r="I9" s="18"/>
      <c r="J9" s="18"/>
      <c r="K9" s="19" t="e" cm="1">
        <f t="array" ref="K9">IF(TIPOORCAMENTO="Licitado","",TEXT(#REF!,"0,00%"))</f>
        <v>#REF!</v>
      </c>
      <c r="L9" s="19" t="e" cm="1">
        <f t="array" ref="L9">IF(TIPOORCAMENTO="Licitado","",TEXT(#REF!,"0,00%"))</f>
        <v>#REF!</v>
      </c>
      <c r="M9" s="20" t="e" cm="1">
        <f t="array" ref="M9">IF(TIPOORCAMENTO="Licitado",Import.CTEF,TEXT(#REF!,"0,00%"))</f>
        <v>#REF!</v>
      </c>
    </row>
    <row r="10" spans="2:13" x14ac:dyDescent="0.3">
      <c r="I10" s="21" t="str">
        <f>IF(AND(Import.TipoArredondamento="TransfereGOV",$AF$7=FALSE),"▼","")</f>
        <v/>
      </c>
      <c r="J10" s="21" t="str">
        <f>IF(AND(Import.TipoArredondamento="TransfereGOV",$AF$8=FALSE),"▼","")</f>
        <v/>
      </c>
      <c r="K10" s="21" t="str">
        <f>IF(AND(Import.TipoArredondamento="TransfereGOV",$AF$9=FALSE),"▼","")</f>
        <v/>
      </c>
      <c r="L10" s="21" t="str">
        <f>IF(AND(Import.TipoArredondamento="TransfereGOV",$AF$10=FALSE),"▼","")</f>
        <v/>
      </c>
      <c r="M10" s="21" t="str">
        <f>IF(AND(Import.TipoArredondamento="TransfereGOV",$AF$11=FALSE),"▼","")</f>
        <v/>
      </c>
    </row>
    <row r="13" spans="2:13" x14ac:dyDescent="0.3">
      <c r="D13" s="22" t="str" cm="1">
        <f t="array" ref="D13">IF(AND(Import.TipoArredondamento="TransfereGOV",COUNTIF($AF$7:$AF$11,TRUE)&lt;&gt;5),"Para contratos que tramitam no Transferegov todos os valores devem ser arredondados para duas casas decimais",
 IF(AND($F$11&lt;&gt;"",$G$11&lt;&gt;"",$F$11&lt;&gt;$G$11),"O arquivo "&amp;MID($F$10,2,SEARCH("]",$F$10)-1)&amp;" está com a data base errada ("&amp;#REF!&amp;"). Corrija a data base antes de continuar.",
IF(COUNTIF($AC$15:$AC$51,"FONTE")&gt;0,"Falta preencher a Fonte (coluna P) na Linha "&amp;(14+MATCH("FONTE",$AC$15:$AC$51,0)),
 IF(COUNTIF($AC$15:$AC$51,"CÓDIGO")&gt;0,"Falta preencher o Código (coluna Q) na Linha "&amp;(14+MATCH("CÓDIGO",$AC$15:$AC$51,0)),
 IF(COUNTIF($AC$15:$AC$51,"CÓDIGO N/ID")&gt;0,"Código (coluna Q) não identificado na Linha "&amp;(14+MATCH("CÓDIGO N/ID",$AC$15:$AC$51,0))&amp;". Verifique se o código está correto ou busque outro código",
 IF(COUNTIF($AC$15:$AC$51,"DESCRIÇÃO")&gt;0,"Falta preencher a Descrição (coluna R) na Linha "&amp;(14+MATCH("DESCRIÇÃO",$AC$15:$AC$51,0)),
 IF(COUNTIF($AC$15:$AC$51,"UNIDADE")&gt;0,"Falta preencher a Unidade (coluna S) na Linha "&amp;(14+MATCH("UNIDADE",$AC$15:$AC$51,0)),
 IF(COUNTIF($AC$15:$AC$51,"SEM CUSTO")&gt;0,"Falta preencher o Custo Unitário (coluna U) na Linha "&amp;(14+MATCH("SEM CUSTO",$AC$15:$AC$51,0)),
 IF(COUNTIF($AC$15:$AC$51,"SEM PREÇO")&gt;0,"Falta preencher o Preço Unitário licitado (coluna AL) na Linha "&amp;(14+MATCH("SEM CUSTO",$AC$15:$AC$51,0)),
 IF(COUNTIF($AC$15:$AC$51,"BDI")&gt;0,"Falta definir o BDI (coluna V) na Linha "&amp;(14+MATCH("BDI",$AC$15:$AC$51,0)),
 IF(COUNTIF($AC$15:$AC$51,"ACIMA REF.")&gt;0,
         IF(TIPOORCAMENTO="Proposto","O custo unitário (coluna U) na Linha "&amp;(14+MATCH("ACIMA REF.",$AC$15:$AC$51,0))&amp;" está acima do custo referencial (coluna AG)",
            "O preço unitário licitado (coluna AL) na Linha "&amp;(14+MATCH("ACIMA REF.",$AC$15:$AC$51,0))&amp;" está acima do preço referencial do edital (coluna AN)"),
 IF(COUNTIF($AC$15:$AC$51,"QUANT.")&gt;0,"Falta a Quantidade do serviço na Linha "&amp;(14+MATCH("QUANT.",$AC$15:$AC$51,0))&amp;IF(ACOMPANHAMENTO="PLE",". Preencher na aba CÁLCULO",". Preencher na coluna AJ"),
 IF(COUNTIF($AC$15:$AC$51,"Código &gt;13")&gt;0,"O tamanho do código do serviço no TransfereGOV é limitado a 13 caracteres. Resuma o código (coluna Q) na Linha "&amp;(14+MATCH("Código &gt;13",$AC$15:$AC$51,0)),
 IF(COUNTIF($AC$15:$AC$51,"Descrição &gt;100")&gt;0,"O tamanho da descrição de macrosserviço no TransfereGOV é limitado a 100 caracteres. Resuma a descrição (coluna R) na Linha "&amp;(14+MATCH("Descrição &gt;100",$AC$15:$AC$51,0)),
 IF(COUNTIF($AC$15:$AC$51,"Descrição &gt;500")&gt;0,"O tamanho da descrição de serviço no TransfereGOV é limitado a 500 caracteres. Resuma a descrição (coluna R) na Linha "&amp;(14+MATCH("Descrição &gt;500",$AC$15:$AC$51,0)),
 IF(COUNTIF($AC$15:$AC$51,"Unid. Não Disp")&gt;0,"Unidade não disponível na lista do TransfereGOV. Reveja a unidade (coluna S) na Linha "&amp;(14+MATCH("Unid. Não Disp",$AC$15:$AC$51,0)),
 IF(AND(TIPOORCAMENTO="Proposto",LEFT($O$8,5)="(N/D:"),"Abra o arquivo Referência "&amp;_xlfn.SINGLE(Excel_BuiltIn_Database)&amp;".xlsm","")))))))))))))))))</f>
        <v/>
      </c>
    </row>
    <row r="14" spans="2:13" ht="66" x14ac:dyDescent="0.3">
      <c r="B14" s="23" t="s">
        <v>9</v>
      </c>
      <c r="C14" s="24" t="s">
        <v>10</v>
      </c>
      <c r="D14" s="23" t="s">
        <v>11</v>
      </c>
      <c r="E14" s="23" t="s">
        <v>12</v>
      </c>
      <c r="F14" s="23" t="s">
        <v>13</v>
      </c>
      <c r="G14" s="23" t="s">
        <v>14</v>
      </c>
      <c r="H14" s="25" t="s">
        <v>15</v>
      </c>
      <c r="I14" s="23" t="s">
        <v>16</v>
      </c>
      <c r="J14" s="23" t="str" cm="1">
        <f t="array" ref="J14">IF(TIPOORCAMENTO="Licitado","","Custo Unitário (sem BDI) (R$)")</f>
        <v>Custo Unitário (sem BDI) (R$)</v>
      </c>
      <c r="K14" s="23" t="str" cm="1">
        <f t="array" ref="K14">IF(TIPOORCAMENTO="Licitado","","BDI
(%)")</f>
        <v>BDI
(%)</v>
      </c>
      <c r="L14" s="23" t="s">
        <v>17</v>
      </c>
      <c r="M14" s="23" t="s">
        <v>18</v>
      </c>
    </row>
    <row r="15" spans="2:13" ht="28.8" x14ac:dyDescent="0.3">
      <c r="B15" s="26" t="s">
        <v>19</v>
      </c>
      <c r="C15" s="27" t="e">
        <f>CHOOSE(1+LOG(1+2*(#REF!=1)+4*(#REF!=2)+8*(#REF!=3)+16*(#REF!=4)+32*(#REF!="S"),2),"","Meta","Nível 2","Nível 3","Nível 4","Serviço")</f>
        <v>#REF!</v>
      </c>
      <c r="D15" s="28" t="e">
        <f>IF(OR($C15=0,$L15=""),"-",CONCATENATE(#REF!&amp;".",IF(AND($A$5&gt;=2,$C15&gt;=2),#REF!&amp;".",""),IF(AND($A$5&gt;=3,$C15&gt;=3),#REF!&amp;".",""),IF(AND($A$5&gt;=4,$C15&gt;=4),#REF!&amp;".",""),IF($C15="S",#REF!&amp;".","")))</f>
        <v>#REF!</v>
      </c>
      <c r="E15" s="29" t="s">
        <v>20</v>
      </c>
      <c r="F15" s="30"/>
      <c r="G15" s="31" t="e">
        <f>IF($C15="S",REFERENCIA.Descricao,"(digite a descrição aqui)")</f>
        <v>#REF!</v>
      </c>
      <c r="H15" s="32" t="str">
        <f ca="1">REFERENCIA.Unidade</f>
        <v>-</v>
      </c>
      <c r="I15" s="33" t="e">
        <f ca="1">OFFSET([1]CÁLCULO!#REF!,ROW($T15)-ROW(I$15),0)</f>
        <v>#REF!</v>
      </c>
      <c r="J15" s="34"/>
      <c r="K15" s="35" t="s">
        <v>21</v>
      </c>
      <c r="L15" s="33" t="e">
        <f>IF($C15="S",ROUND(IF(TIPOORCAMENTO="Proposto",ORÇAMENTO.CustoUnitario*(1+$AH15),ORÇAMENTO.PrecoUnitarioLicitado),15-13*$AF$10),0)</f>
        <v>#REF!</v>
      </c>
      <c r="M15" s="36" t="e" cm="1">
        <f t="array" aca="1" ref="M15" ca="1">IF($C15="S",IF(OR(Import.TipoArredondamento&lt;&gt;"TransfereGOV",ACOMPANHAMENTO="BM"),VTOTAL1,SUM(OFFSET([1]CÁLCULO!$AA$15,ROW($X15)-ROW($X$15),1):OFFSET([1]CÁLCULO!$AL$15,ROW($X15)-ROW($X$15),-1))),IF($C15=0,0,ROUND(SomaAgrup,15-13*$AF$11)))</f>
        <v>#REF!</v>
      </c>
    </row>
    <row r="16" spans="2:13" x14ac:dyDescent="0.3">
      <c r="B16" s="37" t="str">
        <f>IF(TIPOORCAMENTO="LICITADO","CTEF","LOTE")</f>
        <v>LOTE</v>
      </c>
      <c r="C16" s="37" t="str">
        <f>IF(TIPOORCAMENTO="LICITADO","CTEF","LOTE")</f>
        <v>LOTE</v>
      </c>
      <c r="D16" s="38" t="str">
        <f>Import.DescLote</f>
        <v>Infraestrutura para moradias de Interesse Social</v>
      </c>
      <c r="E16" s="39"/>
      <c r="F16" s="39"/>
      <c r="G16" s="39"/>
      <c r="H16" s="40"/>
      <c r="I16" s="41"/>
      <c r="J16" s="41"/>
      <c r="K16" s="42"/>
      <c r="L16" s="41"/>
      <c r="M16" s="43">
        <f ca="1">SUMIF(OFFSET($C16,1,0,ROW(M52)-ROW(M16)-1),"S",OFFSET(M16,1,0,ROW(M52)-ROW(M16)-1))</f>
        <v>0</v>
      </c>
    </row>
    <row r="17" spans="2:13" ht="72" x14ac:dyDescent="0.3">
      <c r="B17" s="26" t="s">
        <v>22</v>
      </c>
      <c r="C17" s="27" t="e">
        <f>CHOOSE(1+LOG(1+2*(#REF!=1)+4*(#REF!=2)+8*(#REF!=3)+16*(#REF!=4)+32*(#REF!="S"),2),"","Meta","Nível 2","Nível 3","Nível 4","Serviço")</f>
        <v>#REF!</v>
      </c>
      <c r="D17" s="28" t="e">
        <f>IF(OR($C17=0,$L17=""),"-",CONCATENATE(#REF!&amp;".",IF(AND($A$5&gt;=2,$C17&gt;=2),#REF!&amp;".",""),IF(AND($A$5&gt;=3,$C17&gt;=3),#REF!&amp;".",""),IF(AND($A$5&gt;=4,$C17&gt;=4),#REF!&amp;".",""),IF($C17="S",#REF!&amp;".","")))</f>
        <v>#REF!</v>
      </c>
      <c r="E17" s="29" t="s">
        <v>20</v>
      </c>
      <c r="F17" s="30"/>
      <c r="G17" s="31" t="s">
        <v>23</v>
      </c>
      <c r="H17" s="32" t="s">
        <v>24</v>
      </c>
      <c r="I17" s="33" t="e">
        <f ca="1">OFFSET([1]CÁLCULO!#REF!,ROW($T17)-ROW(I$15),0)</f>
        <v>#REF!</v>
      </c>
      <c r="J17" s="34"/>
      <c r="K17" s="35" t="s">
        <v>21</v>
      </c>
      <c r="L17" s="33" t="e">
        <f>IF($C17="S",ROUND(IF(TIPOORCAMENTO="Proposto",ORÇAMENTO.CustoUnitario*(1+$AH17),ORÇAMENTO.PrecoUnitarioLicitado),15-13*$AF$10),0)</f>
        <v>#REF!</v>
      </c>
      <c r="M17" s="36" t="e" cm="1">
        <f t="array" aca="1" ref="M17" ca="1">IF($C17="S",IF(OR(Import.TipoArredondamento&lt;&gt;"TransfereGOV",ACOMPANHAMENTO="BM"),VTOTAL1,SUM(OFFSET([1]CÁLCULO!$AA$15,ROW($X17)-ROW($X$15),1):OFFSET([1]CÁLCULO!$AL$15,ROW($X17)-ROW($X$15),-1))),IF($C17=0,0,ROUND(SomaAgrup,15-13*$AF$11)))</f>
        <v>#REF!</v>
      </c>
    </row>
    <row r="18" spans="2:13" ht="72" x14ac:dyDescent="0.3">
      <c r="B18" s="26" t="s">
        <v>25</v>
      </c>
      <c r="C18" s="27" t="e">
        <f t="shared" ref="C18:C27" si="0">CHOOSE(1+LOG(1+2*(#REF!=1)+4*(#REF!=2)+8*(#REF!=3)+16*(#REF!=4)+32*(#REF!="S"),2),"","Meta","Nível 2","Nível 3","Nível 4","Serviço")</f>
        <v>#REF!</v>
      </c>
      <c r="D18" s="28" t="e">
        <f t="shared" ref="D18:D27" si="1">IF(OR($C18=0,$L18=""),"-",CONCATENATE(#REF!&amp;".",IF(AND($A$5&gt;=2,$C18&gt;=2),#REF!&amp;".",""),IF(AND($A$5&gt;=3,$C18&gt;=3),#REF!&amp;".",""),IF(AND($A$5&gt;=4,$C18&gt;=4),#REF!&amp;".",""),IF($C18="S",#REF!&amp;".","")))</f>
        <v>#REF!</v>
      </c>
      <c r="E18" s="29" t="s">
        <v>20</v>
      </c>
      <c r="F18" s="30"/>
      <c r="G18" s="31" t="s">
        <v>26</v>
      </c>
      <c r="H18" s="32" t="s">
        <v>24</v>
      </c>
      <c r="I18" s="33" t="e">
        <f ca="1">OFFSET([1]CÁLCULO!#REF!,ROW($T18)-ROW(I$15),0)</f>
        <v>#REF!</v>
      </c>
      <c r="J18" s="34"/>
      <c r="K18" s="35" t="s">
        <v>21</v>
      </c>
      <c r="L18" s="33" t="e">
        <f>IF($C18="S",ROUND(IF(TIPOORCAMENTO="Proposto",ORÇAMENTO.CustoUnitario*(1+$AH18),ORÇAMENTO.PrecoUnitarioLicitado),15-13*$AF$10),0)</f>
        <v>#REF!</v>
      </c>
      <c r="M18" s="36" t="e" cm="1">
        <f t="array" aca="1" ref="M18" ca="1">IF($C18="S",IF(OR(Import.TipoArredondamento&lt;&gt;"TransfereGOV",ACOMPANHAMENTO="BM"),VTOTAL1,SUM(OFFSET([1]CÁLCULO!$AA$15,ROW($X18)-ROW($X$15),1):OFFSET([1]CÁLCULO!$AL$15,ROW($X18)-ROW($X$15),-1))),IF($C18=0,0,ROUND(SomaAgrup,15-13*$AF$11)))</f>
        <v>#REF!</v>
      </c>
    </row>
    <row r="19" spans="2:13" ht="158.4" x14ac:dyDescent="0.3">
      <c r="B19" s="26" t="s">
        <v>19</v>
      </c>
      <c r="C19" s="27" t="e">
        <f t="shared" ref="C19:C28" si="2">CHOOSE(1+LOG(1+2*(#REF!=1)+4*(#REF!=2)+8*(#REF!=3)+16*(#REF!=4)+32*(#REF!="S"),2),"","Meta","Nível 2","Nível 3","Nível 4","Serviço")</f>
        <v>#REF!</v>
      </c>
      <c r="D19" s="28" t="e">
        <f t="shared" ref="D19:D28" si="3">IF(OR($C19=0,$L19=""),"-",CONCATENATE(#REF!&amp;".",IF(AND($A$5&gt;=2,$C19&gt;=2),#REF!&amp;".",""),IF(AND($A$5&gt;=3,$C19&gt;=3),#REF!&amp;".",""),IF(AND($A$5&gt;=4,$C19&gt;=4),#REF!&amp;".",""),IF($C19="S",#REF!&amp;".","")))</f>
        <v>#REF!</v>
      </c>
      <c r="E19" s="29" t="s">
        <v>20</v>
      </c>
      <c r="F19" s="30" t="s">
        <v>27</v>
      </c>
      <c r="G19" s="31" t="s">
        <v>72</v>
      </c>
      <c r="H19" s="32" t="s">
        <v>73</v>
      </c>
      <c r="I19" s="33" t="e">
        <f ca="1">OFFSET([1]CÁLCULO!#REF!,ROW($T19)-ROW(I$15),0)</f>
        <v>#REF!</v>
      </c>
      <c r="J19" s="34">
        <f>V19</f>
        <v>0</v>
      </c>
      <c r="K19" s="35" t="s">
        <v>21</v>
      </c>
      <c r="L19" s="33" t="e">
        <f>IF($C19="S",ROUND(IF(TIPOORCAMENTO="Proposto",ORÇAMENTO.CustoUnitario*(1+$AH19),ORÇAMENTO.PrecoUnitarioLicitado),15-13*$AF$10),0)</f>
        <v>#REF!</v>
      </c>
      <c r="M19" s="36" t="e" cm="1">
        <f t="array" aca="1" ref="M19" ca="1">IF($C19="S",IF(OR(Import.TipoArredondamento&lt;&gt;"TransfereGOV",ACOMPANHAMENTO="BM"),VTOTAL1,SUM(OFFSET([1]CÁLCULO!$AA$15,ROW($X19)-ROW($X$15),1):OFFSET([1]CÁLCULO!$AL$15,ROW($X19)-ROW($X$15),-1))),IF($C19=0,0,ROUND(SomaAgrup,15-13*$AF$11)))</f>
        <v>#REF!</v>
      </c>
    </row>
    <row r="20" spans="2:13" ht="115.2" x14ac:dyDescent="0.3">
      <c r="B20" s="26" t="s">
        <v>19</v>
      </c>
      <c r="C20" s="27" t="e">
        <f t="shared" ref="C20:C29" si="4">CHOOSE(1+LOG(1+2*(#REF!=1)+4*(#REF!=2)+8*(#REF!=3)+16*(#REF!=4)+32*(#REF!="S"),2),"","Meta","Nível 2","Nível 3","Nível 4","Serviço")</f>
        <v>#REF!</v>
      </c>
      <c r="D20" s="28" t="e">
        <f t="shared" ref="D20:D29" si="5">IF(OR($C20=0,$L20=""),"-",CONCATENATE(#REF!&amp;".",IF(AND($A$5&gt;=2,$C20&gt;=2),#REF!&amp;".",""),IF(AND($A$5&gt;=3,$C20&gt;=3),#REF!&amp;".",""),IF(AND($A$5&gt;=4,$C20&gt;=4),#REF!&amp;".",""),IF($C20="S",#REF!&amp;".","")))</f>
        <v>#REF!</v>
      </c>
      <c r="E20" s="29" t="s">
        <v>28</v>
      </c>
      <c r="F20" s="30" t="s">
        <v>29</v>
      </c>
      <c r="G20" s="31" t="s">
        <v>74</v>
      </c>
      <c r="H20" s="32" t="s">
        <v>75</v>
      </c>
      <c r="I20" s="33" t="e">
        <f ca="1">OFFSET([1]CÁLCULO!#REF!,ROW($T20)-ROW(I$15),0)</f>
        <v>#REF!</v>
      </c>
      <c r="J20" s="34">
        <f>V20</f>
        <v>0</v>
      </c>
      <c r="K20" s="35" t="s">
        <v>21</v>
      </c>
      <c r="L20" s="33" t="e">
        <f>IF($C20="S",ROUND(IF(TIPOORCAMENTO="Proposto",ORÇAMENTO.CustoUnitario*(1+$AH20),ORÇAMENTO.PrecoUnitarioLicitado),15-13*$AF$10),0)</f>
        <v>#REF!</v>
      </c>
      <c r="M20" s="36" t="e" cm="1">
        <f t="array" aca="1" ref="M20" ca="1">IF($C20="S",IF(OR(Import.TipoArredondamento&lt;&gt;"TransfereGOV",ACOMPANHAMENTO="BM"),VTOTAL1,SUM(OFFSET([1]CÁLCULO!$AA$15,ROW($X20)-ROW($X$15),1):OFFSET([1]CÁLCULO!$AL$15,ROW($X20)-ROW($X$15),-1))),IF($C20=0,0,ROUND(SomaAgrup,15-13*$AF$11)))</f>
        <v>#REF!</v>
      </c>
    </row>
    <row r="21" spans="2:13" ht="158.4" x14ac:dyDescent="0.3">
      <c r="B21" s="26" t="s">
        <v>19</v>
      </c>
      <c r="C21" s="27" t="e">
        <f t="shared" ref="C21:C30" si="6">CHOOSE(1+LOG(1+2*(#REF!=1)+4*(#REF!=2)+8*(#REF!=3)+16*(#REF!=4)+32*(#REF!="S"),2),"","Meta","Nível 2","Nível 3","Nível 4","Serviço")</f>
        <v>#REF!</v>
      </c>
      <c r="D21" s="28" t="e">
        <f t="shared" ref="D21:D30" si="7">IF(OR($C21=0,$L21=""),"-",CONCATENATE(#REF!&amp;".",IF(AND($A$5&gt;=2,$C21&gt;=2),#REF!&amp;".",""),IF(AND($A$5&gt;=3,$C21&gt;=3),#REF!&amp;".",""),IF(AND($A$5&gt;=4,$C21&gt;=4),#REF!&amp;".",""),IF($C21="S",#REF!&amp;".","")))</f>
        <v>#REF!</v>
      </c>
      <c r="E21" s="29" t="s">
        <v>20</v>
      </c>
      <c r="F21" s="30" t="s">
        <v>30</v>
      </c>
      <c r="G21" s="31" t="s">
        <v>76</v>
      </c>
      <c r="H21" s="32" t="s">
        <v>75</v>
      </c>
      <c r="I21" s="33" t="e">
        <f ca="1">OFFSET([1]CÁLCULO!#REF!,ROW($T21)-ROW(I$15),0)</f>
        <v>#REF!</v>
      </c>
      <c r="J21" s="34">
        <f>V21</f>
        <v>0</v>
      </c>
      <c r="K21" s="35" t="s">
        <v>21</v>
      </c>
      <c r="L21" s="33" t="e">
        <f>IF($C21="S",ROUND(IF(TIPOORCAMENTO="Proposto",ORÇAMENTO.CustoUnitario*(1+$AH21),ORÇAMENTO.PrecoUnitarioLicitado),15-13*$AF$10),0)</f>
        <v>#REF!</v>
      </c>
      <c r="M21" s="36" t="e" cm="1">
        <f t="array" aca="1" ref="M21" ca="1">IF($C21="S",IF(OR(Import.TipoArredondamento&lt;&gt;"TransfereGOV",ACOMPANHAMENTO="BM"),VTOTAL1,SUM(OFFSET([1]CÁLCULO!$AA$15,ROW($X21)-ROW($X$15),1):OFFSET([1]CÁLCULO!$AL$15,ROW($X21)-ROW($X$15),-1))),IF($C21=0,0,ROUND(SomaAgrup,15-13*$AF$11)))</f>
        <v>#REF!</v>
      </c>
    </row>
    <row r="22" spans="2:13" ht="158.4" x14ac:dyDescent="0.3">
      <c r="B22" s="26" t="s">
        <v>25</v>
      </c>
      <c r="C22" s="27" t="e">
        <f>CHOOSE(1+LOG(1+2*(#REF!=1)+4*(#REF!=2)+8*(#REF!=3)+16*(#REF!=4)+32*(#REF!="S"),2),"","Meta","Nível 2","Nível 3","Nível 4","Serviço")</f>
        <v>#REF!</v>
      </c>
      <c r="D22" s="28" t="e">
        <f>IF(OR($C22=0,$L22=""),"-",CONCATENATE(#REF!&amp;".",IF(AND($A$5&gt;=2,$C22&gt;=2),#REF!&amp;".",""),IF(AND($A$5&gt;=3,$C22&gt;=3),#REF!&amp;".",""),IF(AND($A$5&gt;=4,$C22&gt;=4),#REF!&amp;".",""),IF($C22="S",#REF!&amp;".","")))</f>
        <v>#REF!</v>
      </c>
      <c r="E22" s="29" t="s">
        <v>20</v>
      </c>
      <c r="F22" s="30"/>
      <c r="G22" s="31" t="s">
        <v>31</v>
      </c>
      <c r="H22" s="32" t="s">
        <v>24</v>
      </c>
      <c r="I22" s="33" t="e">
        <f ca="1">OFFSET([1]CÁLCULO!#REF!,ROW($T22)-ROW(I$15),0)</f>
        <v>#REF!</v>
      </c>
      <c r="J22" s="34"/>
      <c r="K22" s="35" t="s">
        <v>21</v>
      </c>
      <c r="L22" s="33" t="e">
        <f>IF($C22="S",ROUND(IF(TIPOORCAMENTO="Proposto",ORÇAMENTO.CustoUnitario*(1+$AH22),ORÇAMENTO.PrecoUnitarioLicitado),15-13*$AF$10),0)</f>
        <v>#REF!</v>
      </c>
      <c r="M22" s="36" t="e" cm="1">
        <f t="array" aca="1" ref="M22" ca="1">IF($C22="S",IF(OR(Import.TipoArredondamento&lt;&gt;"TransfereGOV",ACOMPANHAMENTO="BM"),VTOTAL1,SUM(OFFSET([1]CÁLCULO!$AA$15,ROW($X22)-ROW($X$15),1):OFFSET([1]CÁLCULO!$AL$15,ROW($X22)-ROW($X$15),-1))),IF($C22=0,0,ROUND(SomaAgrup,15-13*$AF$11)))</f>
        <v>#REF!</v>
      </c>
    </row>
    <row r="23" spans="2:13" ht="374.4" x14ac:dyDescent="0.3">
      <c r="B23" s="26" t="s">
        <v>19</v>
      </c>
      <c r="C23" s="27" t="e">
        <f t="shared" ref="C23:C32" si="8">CHOOSE(1+LOG(1+2*(#REF!=1)+4*(#REF!=2)+8*(#REF!=3)+16*(#REF!=4)+32*(#REF!="S"),2),"","Meta","Nível 2","Nível 3","Nível 4","Serviço")</f>
        <v>#REF!</v>
      </c>
      <c r="D23" s="28" t="e">
        <f t="shared" ref="D23:D32" si="9">IF(OR($C23=0,$L23=""),"-",CONCATENATE(#REF!&amp;".",IF(AND($A$5&gt;=2,$C23&gt;=2),#REF!&amp;".",""),IF(AND($A$5&gt;=3,$C23&gt;=3),#REF!&amp;".",""),IF(AND($A$5&gt;=4,$C23&gt;=4),#REF!&amp;".",""),IF($C23="S",#REF!&amp;".","")))</f>
        <v>#REF!</v>
      </c>
      <c r="E23" s="29" t="s">
        <v>20</v>
      </c>
      <c r="F23" s="30" t="s">
        <v>32</v>
      </c>
      <c r="G23" s="31" t="s">
        <v>77</v>
      </c>
      <c r="H23" s="32" t="s">
        <v>78</v>
      </c>
      <c r="I23" s="33" t="e">
        <f ca="1">OFFSET([1]CÁLCULO!#REF!,ROW($T23)-ROW(I$15),0)</f>
        <v>#REF!</v>
      </c>
      <c r="J23" s="34">
        <f>V23</f>
        <v>0</v>
      </c>
      <c r="K23" s="35" t="s">
        <v>21</v>
      </c>
      <c r="L23" s="33" t="e">
        <f>IF($C23="S",ROUND(IF(TIPOORCAMENTO="Proposto",ORÇAMENTO.CustoUnitario*(1+$AH23),ORÇAMENTO.PrecoUnitarioLicitado),15-13*$AF$10),0)</f>
        <v>#REF!</v>
      </c>
      <c r="M23" s="36" t="e" cm="1">
        <f t="array" aca="1" ref="M23" ca="1">IF($C23="S",IF(OR(Import.TipoArredondamento&lt;&gt;"TransfereGOV",ACOMPANHAMENTO="BM"),VTOTAL1,SUM(OFFSET([1]CÁLCULO!$AA$15,ROW($X23)-ROW($X$15),1):OFFSET([1]CÁLCULO!$AL$15,ROW($X23)-ROW($X$15),-1))),IF($C23=0,0,ROUND(SomaAgrup,15-13*$AF$11)))</f>
        <v>#REF!</v>
      </c>
    </row>
    <row r="24" spans="2:13" ht="409.6" x14ac:dyDescent="0.3">
      <c r="B24" s="26" t="s">
        <v>19</v>
      </c>
      <c r="C24" s="27" t="e">
        <f t="shared" ref="C24:C33" si="10">CHOOSE(1+LOG(1+2*(#REF!=1)+4*(#REF!=2)+8*(#REF!=3)+16*(#REF!=4)+32*(#REF!="S"),2),"","Meta","Nível 2","Nível 3","Nível 4","Serviço")</f>
        <v>#REF!</v>
      </c>
      <c r="D24" s="28" t="e">
        <f t="shared" ref="D24:D33" si="11">IF(OR($C24=0,$L24=""),"-",CONCATENATE(#REF!&amp;".",IF(AND($A$5&gt;=2,$C24&gt;=2),#REF!&amp;".",""),IF(AND($A$5&gt;=3,$C24&gt;=3),#REF!&amp;".",""),IF(AND($A$5&gt;=4,$C24&gt;=4),#REF!&amp;".",""),IF($C24="S",#REF!&amp;".","")))</f>
        <v>#REF!</v>
      </c>
      <c r="E24" s="29" t="s">
        <v>20</v>
      </c>
      <c r="F24" s="30" t="s">
        <v>33</v>
      </c>
      <c r="G24" s="31" t="s">
        <v>79</v>
      </c>
      <c r="H24" s="32" t="s">
        <v>78</v>
      </c>
      <c r="I24" s="33" t="e">
        <f ca="1">OFFSET([1]CÁLCULO!#REF!,ROW($T24)-ROW(I$15),0)</f>
        <v>#REF!</v>
      </c>
      <c r="J24" s="34">
        <f>V24</f>
        <v>0</v>
      </c>
      <c r="K24" s="35" t="s">
        <v>21</v>
      </c>
      <c r="L24" s="33" t="e">
        <f>IF($C24="S",ROUND(IF(TIPOORCAMENTO="Proposto",ORÇAMENTO.CustoUnitario*(1+$AH24),ORÇAMENTO.PrecoUnitarioLicitado),15-13*$AF$10),0)</f>
        <v>#REF!</v>
      </c>
      <c r="M24" s="36" t="e" cm="1">
        <f t="array" aca="1" ref="M24" ca="1">IF($C24="S",IF(OR(Import.TipoArredondamento&lt;&gt;"TransfereGOV",ACOMPANHAMENTO="BM"),VTOTAL1,SUM(OFFSET([1]CÁLCULO!$AA$15,ROW($X24)-ROW($X$15),1):OFFSET([1]CÁLCULO!$AL$15,ROW($X24)-ROW($X$15),-1))),IF($C24=0,0,ROUND(SomaAgrup,15-13*$AF$11)))</f>
        <v>#REF!</v>
      </c>
    </row>
    <row r="25" spans="2:13" ht="158.4" x14ac:dyDescent="0.3">
      <c r="B25" s="26" t="s">
        <v>19</v>
      </c>
      <c r="C25" s="27" t="e">
        <f t="shared" ref="C25:C34" si="12">CHOOSE(1+LOG(1+2*(#REF!=1)+4*(#REF!=2)+8*(#REF!=3)+16*(#REF!=4)+32*(#REF!="S"),2),"","Meta","Nível 2","Nível 3","Nível 4","Serviço")</f>
        <v>#REF!</v>
      </c>
      <c r="D25" s="28" t="e">
        <f t="shared" ref="D25:D34" si="13">IF(OR($C25=0,$L25=""),"-",CONCATENATE(#REF!&amp;".",IF(AND($A$5&gt;=2,$C25&gt;=2),#REF!&amp;".",""),IF(AND($A$5&gt;=3,$C25&gt;=3),#REF!&amp;".",""),IF(AND($A$5&gt;=4,$C25&gt;=4),#REF!&amp;".",""),IF($C25="S",#REF!&amp;".","")))</f>
        <v>#REF!</v>
      </c>
      <c r="E25" s="29" t="s">
        <v>20</v>
      </c>
      <c r="F25" s="30" t="s">
        <v>34</v>
      </c>
      <c r="G25" s="31" t="s">
        <v>80</v>
      </c>
      <c r="H25" s="32" t="s">
        <v>81</v>
      </c>
      <c r="I25" s="33" t="e">
        <f ca="1">OFFSET([1]CÁLCULO!#REF!,ROW($T25)-ROW(I$15),0)</f>
        <v>#REF!</v>
      </c>
      <c r="J25" s="34">
        <f>V25</f>
        <v>0</v>
      </c>
      <c r="K25" s="35" t="s">
        <v>21</v>
      </c>
      <c r="L25" s="33" t="e">
        <f>IF($C25="S",ROUND(IF(TIPOORCAMENTO="Proposto",ORÇAMENTO.CustoUnitario*(1+$AH25),ORÇAMENTO.PrecoUnitarioLicitado),15-13*$AF$10),0)</f>
        <v>#REF!</v>
      </c>
      <c r="M25" s="36" t="e" cm="1">
        <f t="array" aca="1" ref="M25" ca="1">IF($C25="S",IF(OR(Import.TipoArredondamento&lt;&gt;"TransfereGOV",ACOMPANHAMENTO="BM"),VTOTAL1,SUM(OFFSET([1]CÁLCULO!$AA$15,ROW($X25)-ROW($X$15),1):OFFSET([1]CÁLCULO!$AL$15,ROW($X25)-ROW($X$15),-1))),IF($C25=0,0,ROUND(SomaAgrup,15-13*$AF$11)))</f>
        <v>#REF!</v>
      </c>
    </row>
    <row r="26" spans="2:13" ht="230.4" x14ac:dyDescent="0.3">
      <c r="B26" s="26" t="s">
        <v>19</v>
      </c>
      <c r="C26" s="27" t="e">
        <f t="shared" ref="C26:C35" si="14">CHOOSE(1+LOG(1+2*(#REF!=1)+4*(#REF!=2)+8*(#REF!=3)+16*(#REF!=4)+32*(#REF!="S"),2),"","Meta","Nível 2","Nível 3","Nível 4","Serviço")</f>
        <v>#REF!</v>
      </c>
      <c r="D26" s="28" t="e">
        <f t="shared" ref="D26:D35" si="15">IF(OR($C26=0,$L26=""),"-",CONCATENATE(#REF!&amp;".",IF(AND($A$5&gt;=2,$C26&gt;=2),#REF!&amp;".",""),IF(AND($A$5&gt;=3,$C26&gt;=3),#REF!&amp;".",""),IF(AND($A$5&gt;=4,$C26&gt;=4),#REF!&amp;".",""),IF($C26="S",#REF!&amp;".","")))</f>
        <v>#REF!</v>
      </c>
      <c r="E26" s="29" t="s">
        <v>20</v>
      </c>
      <c r="F26" s="30" t="s">
        <v>35</v>
      </c>
      <c r="G26" s="31" t="s">
        <v>82</v>
      </c>
      <c r="H26" s="32" t="s">
        <v>83</v>
      </c>
      <c r="I26" s="33" t="e">
        <f ca="1">OFFSET([1]CÁLCULO!#REF!,ROW($T26)-ROW(I$15),0)</f>
        <v>#REF!</v>
      </c>
      <c r="J26" s="34">
        <f>V26</f>
        <v>0</v>
      </c>
      <c r="K26" s="35" t="s">
        <v>21</v>
      </c>
      <c r="L26" s="33" t="e">
        <f>IF($C26="S",ROUND(IF(TIPOORCAMENTO="Proposto",ORÇAMENTO.CustoUnitario*(1+$AH26),ORÇAMENTO.PrecoUnitarioLicitado),15-13*$AF$10),0)</f>
        <v>#REF!</v>
      </c>
      <c r="M26" s="36" t="e" cm="1">
        <f t="array" aca="1" ref="M26" ca="1">IF($C26="S",IF(OR(Import.TipoArredondamento&lt;&gt;"TransfereGOV",ACOMPANHAMENTO="BM"),VTOTAL1,SUM(OFFSET([1]CÁLCULO!$AA$15,ROW($X26)-ROW($X$15),1):OFFSET([1]CÁLCULO!$AL$15,ROW($X26)-ROW($X$15),-1))),IF($C26=0,0,ROUND(SomaAgrup,15-13*$AF$11)))</f>
        <v>#REF!</v>
      </c>
    </row>
    <row r="27" spans="2:13" ht="100.8" x14ac:dyDescent="0.3">
      <c r="B27" s="26" t="s">
        <v>19</v>
      </c>
      <c r="C27" s="27" t="e">
        <f t="shared" ref="C27:C36" si="16">CHOOSE(1+LOG(1+2*(#REF!=1)+4*(#REF!=2)+8*(#REF!=3)+16*(#REF!=4)+32*(#REF!="S"),2),"","Meta","Nível 2","Nível 3","Nível 4","Serviço")</f>
        <v>#REF!</v>
      </c>
      <c r="D27" s="28" t="e">
        <f t="shared" ref="D27:D36" si="17">IF(OR($C27=0,$L27=""),"-",CONCATENATE(#REF!&amp;".",IF(AND($A$5&gt;=2,$C27&gt;=2),#REF!&amp;".",""),IF(AND($A$5&gt;=3,$C27&gt;=3),#REF!&amp;".",""),IF(AND($A$5&gt;=4,$C27&gt;=4),#REF!&amp;".",""),IF($C27="S",#REF!&amp;".","")))</f>
        <v>#REF!</v>
      </c>
      <c r="E27" s="29" t="s">
        <v>36</v>
      </c>
      <c r="F27" s="30" t="s">
        <v>37</v>
      </c>
      <c r="G27" s="31" t="s">
        <v>84</v>
      </c>
      <c r="H27" s="32" t="s">
        <v>85</v>
      </c>
      <c r="I27" s="33" t="e">
        <f ca="1">OFFSET([1]CÁLCULO!#REF!,ROW($T27)-ROW(I$15),0)</f>
        <v>#REF!</v>
      </c>
      <c r="J27" s="34">
        <f>V27</f>
        <v>0</v>
      </c>
      <c r="K27" s="35" t="s">
        <v>21</v>
      </c>
      <c r="L27" s="33" t="e">
        <f>IF($C27="S",ROUND(IF(TIPOORCAMENTO="Proposto",ORÇAMENTO.CustoUnitario*(1+$AH27),ORÇAMENTO.PrecoUnitarioLicitado),15-13*$AF$10),0)</f>
        <v>#REF!</v>
      </c>
      <c r="M27" s="36" t="e" cm="1">
        <f t="array" aca="1" ref="M27" ca="1">IF($C27="S",IF(OR(Import.TipoArredondamento&lt;&gt;"TransfereGOV",ACOMPANHAMENTO="BM"),VTOTAL1,SUM(OFFSET([1]CÁLCULO!$AA$15,ROW($X27)-ROW($X$15),1):OFFSET([1]CÁLCULO!$AL$15,ROW($X27)-ROW($X$15),-1))),IF($C27=0,0,ROUND(SomaAgrup,15-13*$AF$11)))</f>
        <v>#REF!</v>
      </c>
    </row>
    <row r="28" spans="2:13" ht="28.8" x14ac:dyDescent="0.3">
      <c r="B28" s="26" t="s">
        <v>25</v>
      </c>
      <c r="C28" s="27" t="e">
        <f>CHOOSE(1+LOG(1+2*(#REF!=1)+4*(#REF!=2)+8*(#REF!=3)+16*(#REF!=4)+32*(#REF!="S"),2),"","Meta","Nível 2","Nível 3","Nível 4","Serviço")</f>
        <v>#REF!</v>
      </c>
      <c r="D28" s="28" t="e">
        <f>IF(OR($C28=0,$L28=""),"-",CONCATENATE(#REF!&amp;".",IF(AND($A$5&gt;=2,$C28&gt;=2),#REF!&amp;".",""),IF(AND($A$5&gt;=3,$C28&gt;=3),#REF!&amp;".",""),IF(AND($A$5&gt;=4,$C28&gt;=4),#REF!&amp;".",""),IF($C28="S",#REF!&amp;".","")))</f>
        <v>#REF!</v>
      </c>
      <c r="E28" s="29" t="s">
        <v>20</v>
      </c>
      <c r="F28" s="30"/>
      <c r="G28" s="31" t="s">
        <v>38</v>
      </c>
      <c r="H28" s="32" t="s">
        <v>24</v>
      </c>
      <c r="I28" s="33" t="e">
        <f ca="1">OFFSET([1]CÁLCULO!#REF!,ROW($T28)-ROW(I$15),0)</f>
        <v>#REF!</v>
      </c>
      <c r="J28" s="34"/>
      <c r="K28" s="35" t="s">
        <v>21</v>
      </c>
      <c r="L28" s="33" t="e">
        <f>IF($C28="S",ROUND(IF(TIPOORCAMENTO="Proposto",ORÇAMENTO.CustoUnitario*(1+$AH28),ORÇAMENTO.PrecoUnitarioLicitado),15-13*$AF$10),0)</f>
        <v>#REF!</v>
      </c>
      <c r="M28" s="36" t="e" cm="1">
        <f t="array" aca="1" ref="M28" ca="1">IF($C28="S",IF(OR(Import.TipoArredondamento&lt;&gt;"TransfereGOV",ACOMPANHAMENTO="BM"),VTOTAL1,SUM(OFFSET([1]CÁLCULO!$AA$15,ROW($X28)-ROW($X$15),1):OFFSET([1]CÁLCULO!$AL$15,ROW($X28)-ROW($X$15),-1))),IF($C28=0,0,ROUND(SomaAgrup,15-13*$AF$11)))</f>
        <v>#REF!</v>
      </c>
    </row>
    <row r="29" spans="2:13" ht="409.6" x14ac:dyDescent="0.3">
      <c r="B29" s="26" t="s">
        <v>19</v>
      </c>
      <c r="C29" s="27" t="e">
        <f t="shared" ref="C29:C49" si="18">CHOOSE(1+LOG(1+2*(#REF!=1)+4*(#REF!=2)+8*(#REF!=3)+16*(#REF!=4)+32*(#REF!="S"),2),"","Meta","Nível 2","Nível 3","Nível 4","Serviço")</f>
        <v>#REF!</v>
      </c>
      <c r="D29" s="28" t="e">
        <f t="shared" ref="D29:D49" si="19">IF(OR($C29=0,$L29=""),"-",CONCATENATE(#REF!&amp;".",IF(AND($A$5&gt;=2,$C29&gt;=2),#REF!&amp;".",""),IF(AND($A$5&gt;=3,$C29&gt;=3),#REF!&amp;".",""),IF(AND($A$5&gt;=4,$C29&gt;=4),#REF!&amp;".",""),IF($C29="S",#REF!&amp;".","")))</f>
        <v>#REF!</v>
      </c>
      <c r="E29" s="29" t="s">
        <v>20</v>
      </c>
      <c r="F29" s="30" t="s">
        <v>39</v>
      </c>
      <c r="G29" s="31" t="s">
        <v>86</v>
      </c>
      <c r="H29" s="32" t="s">
        <v>87</v>
      </c>
      <c r="I29" s="33" t="e">
        <f ca="1">OFFSET([1]CÁLCULO!#REF!,ROW($T29)-ROW(I$15),0)</f>
        <v>#REF!</v>
      </c>
      <c r="J29" s="34">
        <f>V29</f>
        <v>0</v>
      </c>
      <c r="K29" s="35" t="s">
        <v>21</v>
      </c>
      <c r="L29" s="33" t="e">
        <f>IF($C29="S",ROUND(IF(TIPOORCAMENTO="Proposto",ORÇAMENTO.CustoUnitario*(1+$AH29),ORÇAMENTO.PrecoUnitarioLicitado),15-13*$AF$10),0)</f>
        <v>#REF!</v>
      </c>
      <c r="M29" s="36" t="e" cm="1">
        <f t="array" aca="1" ref="M29" ca="1">IF($C29="S",IF(OR(Import.TipoArredondamento&lt;&gt;"TransfereGOV",ACOMPANHAMENTO="BM"),VTOTAL1,SUM(OFFSET([1]CÁLCULO!$AA$15,ROW($X29)-ROW($X$15),1):OFFSET([1]CÁLCULO!$AL$15,ROW($X29)-ROW($X$15),-1))),IF($C29=0,0,ROUND(SomaAgrup,15-13*$AF$11)))</f>
        <v>#REF!</v>
      </c>
    </row>
    <row r="30" spans="2:13" ht="43.2" x14ac:dyDescent="0.3">
      <c r="B30" s="26" t="s">
        <v>25</v>
      </c>
      <c r="C30" s="27" t="e">
        <f t="shared" ref="C30:C50" si="20">CHOOSE(1+LOG(1+2*(#REF!=1)+4*(#REF!=2)+8*(#REF!=3)+16*(#REF!=4)+32*(#REF!="S"),2),"","Meta","Nível 2","Nível 3","Nível 4","Serviço")</f>
        <v>#REF!</v>
      </c>
      <c r="D30" s="28" t="e">
        <f t="shared" ref="D30:D50" si="21">IF(OR($C30=0,$L30=""),"-",CONCATENATE(#REF!&amp;".",IF(AND($A$5&gt;=2,$C30&gt;=2),#REF!&amp;".",""),IF(AND($A$5&gt;=3,$C30&gt;=3),#REF!&amp;".",""),IF(AND($A$5&gt;=4,$C30&gt;=4),#REF!&amp;".",""),IF($C30="S",#REF!&amp;".","")))</f>
        <v>#REF!</v>
      </c>
      <c r="E30" s="29" t="s">
        <v>20</v>
      </c>
      <c r="F30" s="30"/>
      <c r="G30" s="31" t="s">
        <v>40</v>
      </c>
      <c r="H30" s="32" t="s">
        <v>24</v>
      </c>
      <c r="I30" s="33" t="e">
        <f ca="1">OFFSET([1]CÁLCULO!#REF!,ROW($T30)-ROW(I$15),0)</f>
        <v>#REF!</v>
      </c>
      <c r="J30" s="34"/>
      <c r="K30" s="35" t="s">
        <v>21</v>
      </c>
      <c r="L30" s="33" t="e">
        <f>IF($C30="S",ROUND(IF(TIPOORCAMENTO="Proposto",ORÇAMENTO.CustoUnitario*(1+$AH30),ORÇAMENTO.PrecoUnitarioLicitado),15-13*$AF$10),0)</f>
        <v>#REF!</v>
      </c>
      <c r="M30" s="36" t="e" cm="1">
        <f t="array" aca="1" ref="M30" ca="1">IF($C30="S",IF(OR(Import.TipoArredondamento&lt;&gt;"TransfereGOV",ACOMPANHAMENTO="BM"),VTOTAL1,SUM(OFFSET([1]CÁLCULO!$AA$15,ROW($X30)-ROW($X$15),1):OFFSET([1]CÁLCULO!$AL$15,ROW($X30)-ROW($X$15),-1))),IF($C30=0,0,ROUND(SomaAgrup,15-13*$AF$11)))</f>
        <v>#REF!</v>
      </c>
    </row>
    <row r="31" spans="2:13" ht="331.2" x14ac:dyDescent="0.3">
      <c r="B31" s="26" t="s">
        <v>19</v>
      </c>
      <c r="C31" s="27" t="e">
        <f t="shared" ref="C31:C51" si="22">CHOOSE(1+LOG(1+2*(#REF!=1)+4*(#REF!=2)+8*(#REF!=3)+16*(#REF!=4)+32*(#REF!="S"),2),"","Meta","Nível 2","Nível 3","Nível 4","Serviço")</f>
        <v>#REF!</v>
      </c>
      <c r="D31" s="28" t="e">
        <f t="shared" ref="D31:D51" si="23">IF(OR($C31=0,$L31=""),"-",CONCATENATE(#REF!&amp;".",IF(AND($A$5&gt;=2,$C31&gt;=2),#REF!&amp;".",""),IF(AND($A$5&gt;=3,$C31&gt;=3),#REF!&amp;".",""),IF(AND($A$5&gt;=4,$C31&gt;=4),#REF!&amp;".",""),IF($C31="S",#REF!&amp;".","")))</f>
        <v>#REF!</v>
      </c>
      <c r="E31" s="29" t="s">
        <v>20</v>
      </c>
      <c r="F31" s="30" t="s">
        <v>41</v>
      </c>
      <c r="G31" s="31" t="s">
        <v>88</v>
      </c>
      <c r="H31" s="32" t="s">
        <v>89</v>
      </c>
      <c r="I31" s="33" t="e">
        <f ca="1">OFFSET([1]CÁLCULO!#REF!,ROW($T31)-ROW(I$15),0)</f>
        <v>#REF!</v>
      </c>
      <c r="J31" s="34">
        <f t="shared" ref="J31:J35" si="24">V31</f>
        <v>0</v>
      </c>
      <c r="K31" s="35" t="s">
        <v>21</v>
      </c>
      <c r="L31" s="33" t="e">
        <f>IF($C31="S",ROUND(IF(TIPOORCAMENTO="Proposto",ORÇAMENTO.CustoUnitario*(1+$AH31),ORÇAMENTO.PrecoUnitarioLicitado),15-13*$AF$10),0)</f>
        <v>#REF!</v>
      </c>
      <c r="M31" s="36" t="e" cm="1">
        <f t="array" aca="1" ref="M31" ca="1">IF($C31="S",IF(OR(Import.TipoArredondamento&lt;&gt;"TransfereGOV",ACOMPANHAMENTO="BM"),VTOTAL1,SUM(OFFSET([1]CÁLCULO!$AA$15,ROW($X31)-ROW($X$15),1):OFFSET([1]CÁLCULO!$AL$15,ROW($X31)-ROW($X$15),-1))),IF($C31=0,0,ROUND(SomaAgrup,15-13*$AF$11)))</f>
        <v>#REF!</v>
      </c>
    </row>
    <row r="32" spans="2:13" ht="273.60000000000002" x14ac:dyDescent="0.3">
      <c r="B32" s="26" t="s">
        <v>19</v>
      </c>
      <c r="C32" s="27" t="e">
        <f t="shared" ref="C32:C52" si="25">CHOOSE(1+LOG(1+2*(#REF!=1)+4*(#REF!=2)+8*(#REF!=3)+16*(#REF!=4)+32*(#REF!="S"),2),"","Meta","Nível 2","Nível 3","Nível 4","Serviço")</f>
        <v>#REF!</v>
      </c>
      <c r="D32" s="28" t="e">
        <f t="shared" ref="D32:D52" si="26">IF(OR($C32=0,$L32=""),"-",CONCATENATE(#REF!&amp;".",IF(AND($A$5&gt;=2,$C32&gt;=2),#REF!&amp;".",""),IF(AND($A$5&gt;=3,$C32&gt;=3),#REF!&amp;".",""),IF(AND($A$5&gt;=4,$C32&gt;=4),#REF!&amp;".",""),IF($C32="S",#REF!&amp;".","")))</f>
        <v>#REF!</v>
      </c>
      <c r="E32" s="29" t="s">
        <v>20</v>
      </c>
      <c r="F32" s="30" t="s">
        <v>42</v>
      </c>
      <c r="G32" s="31" t="s">
        <v>90</v>
      </c>
      <c r="H32" s="32" t="s">
        <v>83</v>
      </c>
      <c r="I32" s="33" t="e">
        <f ca="1">OFFSET([1]CÁLCULO!#REF!,ROW($T32)-ROW(I$15),0)</f>
        <v>#REF!</v>
      </c>
      <c r="J32" s="34">
        <f t="shared" si="24"/>
        <v>0</v>
      </c>
      <c r="K32" s="35" t="s">
        <v>21</v>
      </c>
      <c r="L32" s="33" t="e">
        <f>IF($C32="S",ROUND(IF(TIPOORCAMENTO="Proposto",ORÇAMENTO.CustoUnitario*(1+$AH32),ORÇAMENTO.PrecoUnitarioLicitado),15-13*$AF$10),0)</f>
        <v>#REF!</v>
      </c>
      <c r="M32" s="36" t="e" cm="1">
        <f t="array" aca="1" ref="M32" ca="1">IF($C32="S",IF(OR(Import.TipoArredondamento&lt;&gt;"TransfereGOV",ACOMPANHAMENTO="BM"),VTOTAL1,SUM(OFFSET([1]CÁLCULO!$AA$15,ROW($X32)-ROW($X$15),1):OFFSET([1]CÁLCULO!$AL$15,ROW($X32)-ROW($X$15),-1))),IF($C32=0,0,ROUND(SomaAgrup,15-13*$AF$11)))</f>
        <v>#REF!</v>
      </c>
    </row>
    <row r="33" spans="2:13" ht="409.6" x14ac:dyDescent="0.3">
      <c r="B33" s="26" t="s">
        <v>19</v>
      </c>
      <c r="C33" s="27" t="e">
        <f t="shared" ref="C33:C53" si="27">CHOOSE(1+LOG(1+2*(#REF!=1)+4*(#REF!=2)+8*(#REF!=3)+16*(#REF!=4)+32*(#REF!="S"),2),"","Meta","Nível 2","Nível 3","Nível 4","Serviço")</f>
        <v>#REF!</v>
      </c>
      <c r="D33" s="28" t="e">
        <f t="shared" ref="D33:D53" si="28">IF(OR($C33=0,$L33=""),"-",CONCATENATE(#REF!&amp;".",IF(AND($A$5&gt;=2,$C33&gt;=2),#REF!&amp;".",""),IF(AND($A$5&gt;=3,$C33&gt;=3),#REF!&amp;".",""),IF(AND($A$5&gt;=4,$C33&gt;=4),#REF!&amp;".",""),IF($C33="S",#REF!&amp;".","")))</f>
        <v>#REF!</v>
      </c>
      <c r="E33" s="29" t="s">
        <v>20</v>
      </c>
      <c r="F33" s="30" t="s">
        <v>43</v>
      </c>
      <c r="G33" s="31" t="s">
        <v>91</v>
      </c>
      <c r="H33" s="32" t="s">
        <v>81</v>
      </c>
      <c r="I33" s="33" t="e">
        <f ca="1">OFFSET([1]CÁLCULO!#REF!,ROW($T33)-ROW(I$15),0)</f>
        <v>#REF!</v>
      </c>
      <c r="J33" s="34">
        <f t="shared" si="24"/>
        <v>0</v>
      </c>
      <c r="K33" s="35" t="s">
        <v>21</v>
      </c>
      <c r="L33" s="33" t="e">
        <f>IF($C33="S",ROUND(IF(TIPOORCAMENTO="Proposto",ORÇAMENTO.CustoUnitario*(1+$AH33),ORÇAMENTO.PrecoUnitarioLicitado),15-13*$AF$10),0)</f>
        <v>#REF!</v>
      </c>
      <c r="M33" s="36" t="e" cm="1">
        <f t="array" aca="1" ref="M33" ca="1">IF($C33="S",IF(OR(Import.TipoArredondamento&lt;&gt;"TransfereGOV",ACOMPANHAMENTO="BM"),VTOTAL1,SUM(OFFSET([1]CÁLCULO!$AA$15,ROW($X33)-ROW($X$15),1):OFFSET([1]CÁLCULO!$AL$15,ROW($X33)-ROW($X$15),-1))),IF($C33=0,0,ROUND(SomaAgrup,15-13*$AF$11)))</f>
        <v>#REF!</v>
      </c>
    </row>
    <row r="34" spans="2:13" ht="230.4" x14ac:dyDescent="0.3">
      <c r="B34" s="26" t="s">
        <v>19</v>
      </c>
      <c r="C34" s="27" t="e">
        <f>CHOOSE(1+LOG(1+2*(#REF!=1)+4*(#REF!=2)+8*(#REF!=3)+16*(#REF!=4)+32*(#REF!="S"),2),"","Meta","Nível 2","Nível 3","Nível 4","Serviço")</f>
        <v>#REF!</v>
      </c>
      <c r="D34" s="28" t="e">
        <f>IF(OR($C34=0,$L34=""),"-",CONCATENATE(#REF!&amp;".",IF(AND($A$5&gt;=2,$C34&gt;=2),#REF!&amp;".",""),IF(AND($A$5&gt;=3,$C34&gt;=3),#REF!&amp;".",""),IF(AND($A$5&gt;=4,$C34&gt;=4),#REF!&amp;".",""),IF($C34="S",#REF!&amp;".","")))</f>
        <v>#REF!</v>
      </c>
      <c r="E34" s="29" t="s">
        <v>20</v>
      </c>
      <c r="F34" s="30" t="s">
        <v>44</v>
      </c>
      <c r="G34" s="31" t="s">
        <v>92</v>
      </c>
      <c r="H34" s="32" t="s">
        <v>81</v>
      </c>
      <c r="I34" s="33" t="e">
        <f ca="1">OFFSET([1]CÁLCULO!#REF!,ROW($T34)-ROW(I$15),0)</f>
        <v>#REF!</v>
      </c>
      <c r="J34" s="34">
        <f t="shared" si="24"/>
        <v>0</v>
      </c>
      <c r="K34" s="35" t="s">
        <v>21</v>
      </c>
      <c r="L34" s="33" t="e">
        <f>IF($C34="S",ROUND(IF(TIPOORCAMENTO="Proposto",ORÇAMENTO.CustoUnitario*(1+$AH34),ORÇAMENTO.PrecoUnitarioLicitado),15-13*$AF$10),0)</f>
        <v>#REF!</v>
      </c>
      <c r="M34" s="36" t="e" cm="1">
        <f t="array" aca="1" ref="M34" ca="1">IF($C34="S",IF(OR(Import.TipoArredondamento&lt;&gt;"TransfereGOV",ACOMPANHAMENTO="BM"),VTOTAL1,SUM(OFFSET([1]CÁLCULO!$AA$15,ROW($X34)-ROW($X$15),1):OFFSET([1]CÁLCULO!$AL$15,ROW($X34)-ROW($X$15),-1))),IF($C34=0,0,ROUND(SomaAgrup,15-13*$AF$11)))</f>
        <v>#REF!</v>
      </c>
    </row>
    <row r="35" spans="2:13" ht="158.4" x14ac:dyDescent="0.3">
      <c r="B35" s="26" t="s">
        <v>19</v>
      </c>
      <c r="C35" s="27" t="e">
        <f t="shared" ref="C35:C55" si="29">CHOOSE(1+LOG(1+2*(#REF!=1)+4*(#REF!=2)+8*(#REF!=3)+16*(#REF!=4)+32*(#REF!="S"),2),"","Meta","Nível 2","Nível 3","Nível 4","Serviço")</f>
        <v>#REF!</v>
      </c>
      <c r="D35" s="28" t="e">
        <f t="shared" ref="D35:D55" si="30">IF(OR($C35=0,$L35=""),"-",CONCATENATE(#REF!&amp;".",IF(AND($A$5&gt;=2,$C35&gt;=2),#REF!&amp;".",""),IF(AND($A$5&gt;=3,$C35&gt;=3),#REF!&amp;".",""),IF(AND($A$5&gt;=4,$C35&gt;=4),#REF!&amp;".",""),IF($C35="S",#REF!&amp;".","")))</f>
        <v>#REF!</v>
      </c>
      <c r="E35" s="29" t="s">
        <v>20</v>
      </c>
      <c r="F35" s="30" t="s">
        <v>45</v>
      </c>
      <c r="G35" s="31" t="s">
        <v>93</v>
      </c>
      <c r="H35" s="32" t="s">
        <v>81</v>
      </c>
      <c r="I35" s="33" t="e">
        <f ca="1">OFFSET([1]CÁLCULO!#REF!,ROW($T35)-ROW(I$15),0)</f>
        <v>#REF!</v>
      </c>
      <c r="J35" s="34">
        <f t="shared" si="24"/>
        <v>0</v>
      </c>
      <c r="K35" s="35" t="s">
        <v>21</v>
      </c>
      <c r="L35" s="33" t="e">
        <f>IF($C35="S",ROUND(IF(TIPOORCAMENTO="Proposto",ORÇAMENTO.CustoUnitario*(1+$AH35),ORÇAMENTO.PrecoUnitarioLicitado),15-13*$AF$10),0)</f>
        <v>#REF!</v>
      </c>
      <c r="M35" s="36" t="e" cm="1">
        <f t="array" aca="1" ref="M35" ca="1">IF($C35="S",IF(OR(Import.TipoArredondamento&lt;&gt;"TransfereGOV",ACOMPANHAMENTO="BM"),VTOTAL1,SUM(OFFSET([1]CÁLCULO!$AA$15,ROW($X35)-ROW($X$15),1):OFFSET([1]CÁLCULO!$AL$15,ROW($X35)-ROW($X$15),-1))),IF($C35=0,0,ROUND(SomaAgrup,15-13*$AF$11)))</f>
        <v>#REF!</v>
      </c>
    </row>
    <row r="36" spans="2:13" ht="72" x14ac:dyDescent="0.3">
      <c r="B36" s="26" t="s">
        <v>25</v>
      </c>
      <c r="C36" s="27" t="e">
        <f>CHOOSE(1+LOG(1+2*(#REF!=1)+4*(#REF!=2)+8*(#REF!=3)+16*(#REF!=4)+32*(#REF!="S"),2),"","Meta","Nível 2","Nível 3","Nível 4","Serviço")</f>
        <v>#REF!</v>
      </c>
      <c r="D36" s="28" t="e">
        <f>IF(OR($C36=0,$L36=""),"-",CONCATENATE(#REF!&amp;".",IF(AND($A$5&gt;=2,$C36&gt;=2),#REF!&amp;".",""),IF(AND($A$5&gt;=3,$C36&gt;=3),#REF!&amp;".",""),IF(AND($A$5&gt;=4,$C36&gt;=4),#REF!&amp;".",""),IF($C36="S",#REF!&amp;".","")))</f>
        <v>#REF!</v>
      </c>
      <c r="E36" s="29" t="s">
        <v>20</v>
      </c>
      <c r="F36" s="30"/>
      <c r="G36" s="31" t="s">
        <v>46</v>
      </c>
      <c r="H36" s="32" t="s">
        <v>24</v>
      </c>
      <c r="I36" s="33" t="e">
        <f ca="1">OFFSET([1]CÁLCULO!#REF!,ROW($T36)-ROW(I$15),0)</f>
        <v>#REF!</v>
      </c>
      <c r="J36" s="34"/>
      <c r="K36" s="35" t="s">
        <v>21</v>
      </c>
      <c r="L36" s="33" t="e">
        <f>IF($C36="S",ROUND(IF(TIPOORCAMENTO="Proposto",ORÇAMENTO.CustoUnitario*(1+$AH36),ORÇAMENTO.PrecoUnitarioLicitado),15-13*$AF$10),0)</f>
        <v>#REF!</v>
      </c>
      <c r="M36" s="36" t="e" cm="1">
        <f t="array" aca="1" ref="M36" ca="1">IF($C36="S",IF(OR(Import.TipoArredondamento&lt;&gt;"TransfereGOV",ACOMPANHAMENTO="BM"),VTOTAL1,SUM(OFFSET([1]CÁLCULO!$AA$15,ROW($X36)-ROW($X$15),1):OFFSET([1]CÁLCULO!$AL$15,ROW($X36)-ROW($X$15),-1))),IF($C36=0,0,ROUND(SomaAgrup,15-13*$AF$11)))</f>
        <v>#REF!</v>
      </c>
    </row>
    <row r="37" spans="2:13" ht="244.8" x14ac:dyDescent="0.3">
      <c r="B37" s="26" t="s">
        <v>19</v>
      </c>
      <c r="C37" s="27" t="e">
        <f t="shared" ref="C37:C57" si="31">CHOOSE(1+LOG(1+2*(#REF!=1)+4*(#REF!=2)+8*(#REF!=3)+16*(#REF!=4)+32*(#REF!="S"),2),"","Meta","Nível 2","Nível 3","Nível 4","Serviço")</f>
        <v>#REF!</v>
      </c>
      <c r="D37" s="28" t="e">
        <f t="shared" ref="D37:D57" si="32">IF(OR($C37=0,$L37=""),"-",CONCATENATE(#REF!&amp;".",IF(AND($A$5&gt;=2,$C37&gt;=2),#REF!&amp;".",""),IF(AND($A$5&gt;=3,$C37&gt;=3),#REF!&amp;".",""),IF(AND($A$5&gt;=4,$C37&gt;=4),#REF!&amp;".",""),IF($C37="S",#REF!&amp;".","")))</f>
        <v>#REF!</v>
      </c>
      <c r="E37" s="29" t="s">
        <v>20</v>
      </c>
      <c r="F37" s="30" t="s">
        <v>47</v>
      </c>
      <c r="G37" s="31" t="s">
        <v>94</v>
      </c>
      <c r="H37" s="32" t="s">
        <v>81</v>
      </c>
      <c r="I37" s="33" t="e">
        <f ca="1">OFFSET([1]CÁLCULO!#REF!,ROW($T37)-ROW(I$15),0)</f>
        <v>#REF!</v>
      </c>
      <c r="J37" s="34">
        <f t="shared" ref="J37:J44" si="33">V37</f>
        <v>0</v>
      </c>
      <c r="K37" s="35" t="s">
        <v>21</v>
      </c>
      <c r="L37" s="33" t="e">
        <f>IF($C37="S",ROUND(IF(TIPOORCAMENTO="Proposto",ORÇAMENTO.CustoUnitario*(1+$AH37),ORÇAMENTO.PrecoUnitarioLicitado),15-13*$AF$10),0)</f>
        <v>#REF!</v>
      </c>
      <c r="M37" s="36" t="e" cm="1">
        <f t="array" aca="1" ref="M37" ca="1">IF($C37="S",IF(OR(Import.TipoArredondamento&lt;&gt;"TransfereGOV",ACOMPANHAMENTO="BM"),VTOTAL1,SUM(OFFSET([1]CÁLCULO!$AA$15,ROW($X37)-ROW($X$15),1):OFFSET([1]CÁLCULO!$AL$15,ROW($X37)-ROW($X$15),-1))),IF($C37=0,0,ROUND(SomaAgrup,15-13*$AF$11)))</f>
        <v>#REF!</v>
      </c>
    </row>
    <row r="38" spans="2:13" ht="187.2" x14ac:dyDescent="0.3">
      <c r="B38" s="26" t="s">
        <v>19</v>
      </c>
      <c r="C38" s="27" t="e">
        <f t="shared" ref="C38:C58" si="34">CHOOSE(1+LOG(1+2*(#REF!=1)+4*(#REF!=2)+8*(#REF!=3)+16*(#REF!=4)+32*(#REF!="S"),2),"","Meta","Nível 2","Nível 3","Nível 4","Serviço")</f>
        <v>#REF!</v>
      </c>
      <c r="D38" s="28" t="e">
        <f t="shared" ref="D38:D58" si="35">IF(OR($C38=0,$L38=""),"-",CONCATENATE(#REF!&amp;".",IF(AND($A$5&gt;=2,$C38&gt;=2),#REF!&amp;".",""),IF(AND($A$5&gt;=3,$C38&gt;=3),#REF!&amp;".",""),IF(AND($A$5&gt;=4,$C38&gt;=4),#REF!&amp;".",""),IF($C38="S",#REF!&amp;".","")))</f>
        <v>#REF!</v>
      </c>
      <c r="E38" s="29" t="s">
        <v>20</v>
      </c>
      <c r="F38" s="30" t="s">
        <v>48</v>
      </c>
      <c r="G38" s="31" t="s">
        <v>95</v>
      </c>
      <c r="H38" s="32" t="s">
        <v>87</v>
      </c>
      <c r="I38" s="33" t="e">
        <f ca="1">OFFSET([1]CÁLCULO!#REF!,ROW($T38)-ROW(I$15),0)</f>
        <v>#REF!</v>
      </c>
      <c r="J38" s="34">
        <f t="shared" si="33"/>
        <v>0</v>
      </c>
      <c r="K38" s="35" t="s">
        <v>21</v>
      </c>
      <c r="L38" s="33" t="e">
        <f>IF($C38="S",ROUND(IF(TIPOORCAMENTO="Proposto",ORÇAMENTO.CustoUnitario*(1+$AH38),ORÇAMENTO.PrecoUnitarioLicitado),15-13*$AF$10),0)</f>
        <v>#REF!</v>
      </c>
      <c r="M38" s="36" t="e" cm="1">
        <f t="array" aca="1" ref="M38" ca="1">IF($C38="S",IF(OR(Import.TipoArredondamento&lt;&gt;"TransfereGOV",ACOMPANHAMENTO="BM"),VTOTAL1,SUM(OFFSET([1]CÁLCULO!$AA$15,ROW($X38)-ROW($X$15),1):OFFSET([1]CÁLCULO!$AL$15,ROW($X38)-ROW($X$15),-1))),IF($C38=0,0,ROUND(SomaAgrup,15-13*$AF$11)))</f>
        <v>#REF!</v>
      </c>
    </row>
    <row r="39" spans="2:13" ht="331.2" x14ac:dyDescent="0.3">
      <c r="B39" s="26" t="s">
        <v>19</v>
      </c>
      <c r="C39" s="27" t="e">
        <f t="shared" ref="C39:C59" si="36">CHOOSE(1+LOG(1+2*(#REF!=1)+4*(#REF!=2)+8*(#REF!=3)+16*(#REF!=4)+32*(#REF!="S"),2),"","Meta","Nível 2","Nível 3","Nível 4","Serviço")</f>
        <v>#REF!</v>
      </c>
      <c r="D39" s="28" t="e">
        <f t="shared" ref="D39:D59" si="37">IF(OR($C39=0,$L39=""),"-",CONCATENATE(#REF!&amp;".",IF(AND($A$5&gt;=2,$C39&gt;=2),#REF!&amp;".",""),IF(AND($A$5&gt;=3,$C39&gt;=3),#REF!&amp;".",""),IF(AND($A$5&gt;=4,$C39&gt;=4),#REF!&amp;".",""),IF($C39="S",#REF!&amp;".","")))</f>
        <v>#REF!</v>
      </c>
      <c r="E39" s="29" t="s">
        <v>20</v>
      </c>
      <c r="F39" s="30" t="s">
        <v>49</v>
      </c>
      <c r="G39" s="31" t="s">
        <v>96</v>
      </c>
      <c r="H39" s="32" t="s">
        <v>81</v>
      </c>
      <c r="I39" s="33" t="e">
        <f ca="1">OFFSET([1]CÁLCULO!#REF!,ROW($T39)-ROW(I$15),0)</f>
        <v>#REF!</v>
      </c>
      <c r="J39" s="34">
        <f t="shared" si="33"/>
        <v>0</v>
      </c>
      <c r="K39" s="35" t="s">
        <v>21</v>
      </c>
      <c r="L39" s="33" t="e">
        <f>IF($C39="S",ROUND(IF(TIPOORCAMENTO="Proposto",ORÇAMENTO.CustoUnitario*(1+$AH39),ORÇAMENTO.PrecoUnitarioLicitado),15-13*$AF$10),0)</f>
        <v>#REF!</v>
      </c>
      <c r="M39" s="36" t="e" cm="1">
        <f t="array" aca="1" ref="M39" ca="1">IF($C39="S",IF(OR(Import.TipoArredondamento&lt;&gt;"TransfereGOV",ACOMPANHAMENTO="BM"),VTOTAL1,SUM(OFFSET([1]CÁLCULO!$AA$15,ROW($X39)-ROW($X$15),1):OFFSET([1]CÁLCULO!$AL$15,ROW($X39)-ROW($X$15),-1))),IF($C39=0,0,ROUND(SomaAgrup,15-13*$AF$11)))</f>
        <v>#REF!</v>
      </c>
    </row>
    <row r="40" spans="2:13" ht="345.6" x14ac:dyDescent="0.3">
      <c r="B40" s="26" t="s">
        <v>19</v>
      </c>
      <c r="C40" s="27" t="e">
        <f t="shared" ref="C40:C60" si="38">CHOOSE(1+LOG(1+2*(#REF!=1)+4*(#REF!=2)+8*(#REF!=3)+16*(#REF!=4)+32*(#REF!="S"),2),"","Meta","Nível 2","Nível 3","Nível 4","Serviço")</f>
        <v>#REF!</v>
      </c>
      <c r="D40" s="28" t="e">
        <f t="shared" ref="D40:D60" si="39">IF(OR($C40=0,$L40=""),"-",CONCATENATE(#REF!&amp;".",IF(AND($A$5&gt;=2,$C40&gt;=2),#REF!&amp;".",""),IF(AND($A$5&gt;=3,$C40&gt;=3),#REF!&amp;".",""),IF(AND($A$5&gt;=4,$C40&gt;=4),#REF!&amp;".",""),IF($C40="S",#REF!&amp;".","")))</f>
        <v>#REF!</v>
      </c>
      <c r="E40" s="29" t="s">
        <v>20</v>
      </c>
      <c r="F40" s="30" t="s">
        <v>50</v>
      </c>
      <c r="G40" s="31" t="s">
        <v>97</v>
      </c>
      <c r="H40" s="32" t="s">
        <v>87</v>
      </c>
      <c r="I40" s="33" t="e">
        <f ca="1">OFFSET([1]CÁLCULO!#REF!,ROW($T40)-ROW(I$15),0)</f>
        <v>#REF!</v>
      </c>
      <c r="J40" s="34">
        <f t="shared" si="33"/>
        <v>0</v>
      </c>
      <c r="K40" s="35" t="s">
        <v>21</v>
      </c>
      <c r="L40" s="33" t="e">
        <f>IF($C40="S",ROUND(IF(TIPOORCAMENTO="Proposto",ORÇAMENTO.CustoUnitario*(1+$AH40),ORÇAMENTO.PrecoUnitarioLicitado),15-13*$AF$10),0)</f>
        <v>#REF!</v>
      </c>
      <c r="M40" s="36" t="e" cm="1">
        <f t="array" aca="1" ref="M40" ca="1">IF($C40="S",IF(OR(Import.TipoArredondamento&lt;&gt;"TransfereGOV",ACOMPANHAMENTO="BM"),VTOTAL1,SUM(OFFSET([1]CÁLCULO!$AA$15,ROW($X40)-ROW($X$15),1):OFFSET([1]CÁLCULO!$AL$15,ROW($X40)-ROW($X$15),-1))),IF($C40=0,0,ROUND(SomaAgrup,15-13*$AF$11)))</f>
        <v>#REF!</v>
      </c>
    </row>
    <row r="41" spans="2:13" ht="230.4" x14ac:dyDescent="0.3">
      <c r="B41" s="26" t="s">
        <v>19</v>
      </c>
      <c r="C41" s="27" t="e">
        <f t="shared" ref="C41:C61" si="40">CHOOSE(1+LOG(1+2*(#REF!=1)+4*(#REF!=2)+8*(#REF!=3)+16*(#REF!=4)+32*(#REF!="S"),2),"","Meta","Nível 2","Nível 3","Nível 4","Serviço")</f>
        <v>#REF!</v>
      </c>
      <c r="D41" s="28" t="e">
        <f t="shared" ref="D41:D61" si="41">IF(OR($C41=0,$L41=""),"-",CONCATENATE(#REF!&amp;".",IF(AND($A$5&gt;=2,$C41&gt;=2),#REF!&amp;".",""),IF(AND($A$5&gt;=3,$C41&gt;=3),#REF!&amp;".",""),IF(AND($A$5&gt;=4,$C41&gt;=4),#REF!&amp;".",""),IF($C41="S",#REF!&amp;".","")))</f>
        <v>#REF!</v>
      </c>
      <c r="E41" s="29" t="s">
        <v>20</v>
      </c>
      <c r="F41" s="30" t="s">
        <v>51</v>
      </c>
      <c r="G41" s="31" t="s">
        <v>98</v>
      </c>
      <c r="H41" s="32" t="s">
        <v>87</v>
      </c>
      <c r="I41" s="33" t="e">
        <f ca="1">OFFSET([1]CÁLCULO!#REF!,ROW($T41)-ROW(I$15),0)</f>
        <v>#REF!</v>
      </c>
      <c r="J41" s="34">
        <f t="shared" si="33"/>
        <v>0</v>
      </c>
      <c r="K41" s="35" t="s">
        <v>21</v>
      </c>
      <c r="L41" s="33" t="e">
        <f>IF($C41="S",ROUND(IF(TIPOORCAMENTO="Proposto",ORÇAMENTO.CustoUnitario*(1+$AH41),ORÇAMENTO.PrecoUnitarioLicitado),15-13*$AF$10),0)</f>
        <v>#REF!</v>
      </c>
      <c r="M41" s="36" t="e" cm="1">
        <f t="array" aca="1" ref="M41" ca="1">IF($C41="S",IF(OR(Import.TipoArredondamento&lt;&gt;"TransfereGOV",ACOMPANHAMENTO="BM"),VTOTAL1,SUM(OFFSET([1]CÁLCULO!$AA$15,ROW($X41)-ROW($X$15),1):OFFSET([1]CÁLCULO!$AL$15,ROW($X41)-ROW($X$15),-1))),IF($C41=0,0,ROUND(SomaAgrup,15-13*$AF$11)))</f>
        <v>#REF!</v>
      </c>
    </row>
    <row r="42" spans="2:13" ht="374.4" x14ac:dyDescent="0.3">
      <c r="B42" s="26" t="s">
        <v>19</v>
      </c>
      <c r="C42" s="27" t="e">
        <f t="shared" ref="C42:C62" si="42">CHOOSE(1+LOG(1+2*(#REF!=1)+4*(#REF!=2)+8*(#REF!=3)+16*(#REF!=4)+32*(#REF!="S"),2),"","Meta","Nível 2","Nível 3","Nível 4","Serviço")</f>
        <v>#REF!</v>
      </c>
      <c r="D42" s="28" t="e">
        <f t="shared" ref="D42:D62" si="43">IF(OR($C42=0,$L42=""),"-",CONCATENATE(#REF!&amp;".",IF(AND($A$5&gt;=2,$C42&gt;=2),#REF!&amp;".",""),IF(AND($A$5&gt;=3,$C42&gt;=3),#REF!&amp;".",""),IF(AND($A$5&gt;=4,$C42&gt;=4),#REF!&amp;".",""),IF($C42="S",#REF!&amp;".","")))</f>
        <v>#REF!</v>
      </c>
      <c r="E42" s="29" t="s">
        <v>20</v>
      </c>
      <c r="F42" s="30" t="s">
        <v>52</v>
      </c>
      <c r="G42" s="31" t="s">
        <v>99</v>
      </c>
      <c r="H42" s="32" t="s">
        <v>83</v>
      </c>
      <c r="I42" s="33" t="e">
        <f ca="1">OFFSET([1]CÁLCULO!#REF!,ROW($T42)-ROW(I$15),0)</f>
        <v>#REF!</v>
      </c>
      <c r="J42" s="34">
        <f t="shared" si="33"/>
        <v>0</v>
      </c>
      <c r="K42" s="35" t="s">
        <v>21</v>
      </c>
      <c r="L42" s="33" t="e">
        <f>IF($C42="S",ROUND(IF(TIPOORCAMENTO="Proposto",ORÇAMENTO.CustoUnitario*(1+$AH42),ORÇAMENTO.PrecoUnitarioLicitado),15-13*$AF$10),0)</f>
        <v>#REF!</v>
      </c>
      <c r="M42" s="36" t="e" cm="1">
        <f t="array" aca="1" ref="M42" ca="1">IF($C42="S",IF(OR(Import.TipoArredondamento&lt;&gt;"TransfereGOV",ACOMPANHAMENTO="BM"),VTOTAL1,SUM(OFFSET([1]CÁLCULO!$AA$15,ROW($X42)-ROW($X$15),1):OFFSET([1]CÁLCULO!$AL$15,ROW($X42)-ROW($X$15),-1))),IF($C42=0,0,ROUND(SomaAgrup,15-13*$AF$11)))</f>
        <v>#REF!</v>
      </c>
    </row>
    <row r="43" spans="2:13" ht="273.60000000000002" x14ac:dyDescent="0.3">
      <c r="B43" s="26" t="s">
        <v>19</v>
      </c>
      <c r="C43" s="27" t="e">
        <f t="shared" ref="C43:C63" si="44">CHOOSE(1+LOG(1+2*(#REF!=1)+4*(#REF!=2)+8*(#REF!=3)+16*(#REF!=4)+32*(#REF!="S"),2),"","Meta","Nível 2","Nível 3","Nível 4","Serviço")</f>
        <v>#REF!</v>
      </c>
      <c r="D43" s="28" t="e">
        <f t="shared" ref="D43:D63" si="45">IF(OR($C43=0,$L43=""),"-",CONCATENATE(#REF!&amp;".",IF(AND($A$5&gt;=2,$C43&gt;=2),#REF!&amp;".",""),IF(AND($A$5&gt;=3,$C43&gt;=3),#REF!&amp;".",""),IF(AND($A$5&gt;=4,$C43&gt;=4),#REF!&amp;".",""),IF($C43="S",#REF!&amp;".","")))</f>
        <v>#REF!</v>
      </c>
      <c r="E43" s="29" t="s">
        <v>20</v>
      </c>
      <c r="F43" s="30" t="s">
        <v>53</v>
      </c>
      <c r="G43" s="31" t="s">
        <v>100</v>
      </c>
      <c r="H43" s="32" t="s">
        <v>83</v>
      </c>
      <c r="I43" s="33" t="e">
        <f ca="1">OFFSET([1]CÁLCULO!#REF!,ROW($T43)-ROW(I$15),0)</f>
        <v>#REF!</v>
      </c>
      <c r="J43" s="34">
        <f t="shared" si="33"/>
        <v>0</v>
      </c>
      <c r="K43" s="35" t="s">
        <v>21</v>
      </c>
      <c r="L43" s="33" t="e">
        <f>IF($C43="S",ROUND(IF(TIPOORCAMENTO="Proposto",ORÇAMENTO.CustoUnitario*(1+$AH43),ORÇAMENTO.PrecoUnitarioLicitado),15-13*$AF$10),0)</f>
        <v>#REF!</v>
      </c>
      <c r="M43" s="36" t="e" cm="1">
        <f t="array" aca="1" ref="M43" ca="1">IF($C43="S",IF(OR(Import.TipoArredondamento&lt;&gt;"TransfereGOV",ACOMPANHAMENTO="BM"),VTOTAL1,SUM(OFFSET([1]CÁLCULO!$AA$15,ROW($X43)-ROW($X$15),1):OFFSET([1]CÁLCULO!$AL$15,ROW($X43)-ROW($X$15),-1))),IF($C43=0,0,ROUND(SomaAgrup,15-13*$AF$11)))</f>
        <v>#REF!</v>
      </c>
    </row>
    <row r="44" spans="2:13" ht="259.2" x14ac:dyDescent="0.3">
      <c r="B44" s="26" t="s">
        <v>19</v>
      </c>
      <c r="C44" s="27" t="e">
        <f t="shared" ref="C44:C64" si="46">CHOOSE(1+LOG(1+2*(#REF!=1)+4*(#REF!=2)+8*(#REF!=3)+16*(#REF!=4)+32*(#REF!="S"),2),"","Meta","Nível 2","Nível 3","Nível 4","Serviço")</f>
        <v>#REF!</v>
      </c>
      <c r="D44" s="28" t="e">
        <f t="shared" ref="D44:D64" si="47">IF(OR($C44=0,$L44=""),"-",CONCATENATE(#REF!&amp;".",IF(AND($A$5&gt;=2,$C44&gt;=2),#REF!&amp;".",""),IF(AND($A$5&gt;=3,$C44&gt;=3),#REF!&amp;".",""),IF(AND($A$5&gt;=4,$C44&gt;=4),#REF!&amp;".",""),IF($C44="S",#REF!&amp;".","")))</f>
        <v>#REF!</v>
      </c>
      <c r="E44" s="29" t="s">
        <v>20</v>
      </c>
      <c r="F44" s="30" t="s">
        <v>54</v>
      </c>
      <c r="G44" s="31" t="s">
        <v>101</v>
      </c>
      <c r="H44" s="32" t="s">
        <v>81</v>
      </c>
      <c r="I44" s="33" t="e">
        <f ca="1">OFFSET([1]CÁLCULO!#REF!,ROW($T44)-ROW(I$15),0)</f>
        <v>#REF!</v>
      </c>
      <c r="J44" s="34">
        <f t="shared" si="33"/>
        <v>0</v>
      </c>
      <c r="K44" s="35" t="s">
        <v>21</v>
      </c>
      <c r="L44" s="33" t="e">
        <f>IF($C44="S",ROUND(IF(TIPOORCAMENTO="Proposto",ORÇAMENTO.CustoUnitario*(1+$AH44),ORÇAMENTO.PrecoUnitarioLicitado),15-13*$AF$10),0)</f>
        <v>#REF!</v>
      </c>
      <c r="M44" s="36" t="e" cm="1">
        <f t="array" aca="1" ref="M44" ca="1">IF($C44="S",IF(OR(Import.TipoArredondamento&lt;&gt;"TransfereGOV",ACOMPANHAMENTO="BM"),VTOTAL1,SUM(OFFSET([1]CÁLCULO!$AA$15,ROW($X44)-ROW($X$15),1):OFFSET([1]CÁLCULO!$AL$15,ROW($X44)-ROW($X$15),-1))),IF($C44=0,0,ROUND(SomaAgrup,15-13*$AF$11)))</f>
        <v>#REF!</v>
      </c>
    </row>
    <row r="45" spans="2:13" ht="57.6" x14ac:dyDescent="0.3">
      <c r="B45" s="26" t="s">
        <v>25</v>
      </c>
      <c r="C45" s="27" t="e">
        <f t="shared" ref="C45:C65" si="48">CHOOSE(1+LOG(1+2*(#REF!=1)+4*(#REF!=2)+8*(#REF!=3)+16*(#REF!=4)+32*(#REF!="S"),2),"","Meta","Nível 2","Nível 3","Nível 4","Serviço")</f>
        <v>#REF!</v>
      </c>
      <c r="D45" s="28" t="e">
        <f t="shared" ref="D45:D65" si="49">IF(OR($C45=0,$L45=""),"-",CONCATENATE(#REF!&amp;".",IF(AND($A$5&gt;=2,$C45&gt;=2),#REF!&amp;".",""),IF(AND($A$5&gt;=3,$C45&gt;=3),#REF!&amp;".",""),IF(AND($A$5&gt;=4,$C45&gt;=4),#REF!&amp;".",""),IF($C45="S",#REF!&amp;".","")))</f>
        <v>#REF!</v>
      </c>
      <c r="E45" s="29" t="s">
        <v>20</v>
      </c>
      <c r="F45" s="30"/>
      <c r="G45" s="31" t="s">
        <v>55</v>
      </c>
      <c r="H45" s="32" t="s">
        <v>24</v>
      </c>
      <c r="I45" s="33" t="e">
        <f ca="1">OFFSET([1]CÁLCULO!#REF!,ROW($T45)-ROW(I$15),0)</f>
        <v>#REF!</v>
      </c>
      <c r="J45" s="34"/>
      <c r="K45" s="35" t="s">
        <v>21</v>
      </c>
      <c r="L45" s="33" t="e">
        <f>IF($C45="S",ROUND(IF(TIPOORCAMENTO="Proposto",ORÇAMENTO.CustoUnitario*(1+$AH45),ORÇAMENTO.PrecoUnitarioLicitado),15-13*$AF$10),0)</f>
        <v>#REF!</v>
      </c>
      <c r="M45" s="36" t="e" cm="1">
        <f t="array" aca="1" ref="M45" ca="1">IF($C45="S",IF(OR(Import.TipoArredondamento&lt;&gt;"TransfereGOV",ACOMPANHAMENTO="BM"),VTOTAL1,SUM(OFFSET([1]CÁLCULO!$AA$15,ROW($X45)-ROW($X$15),1):OFFSET([1]CÁLCULO!$AL$15,ROW($X45)-ROW($X$15),-1))),IF($C45=0,0,ROUND(SomaAgrup,15-13*$AF$11)))</f>
        <v>#REF!</v>
      </c>
    </row>
    <row r="46" spans="2:13" ht="216" x14ac:dyDescent="0.3">
      <c r="B46" s="26" t="s">
        <v>19</v>
      </c>
      <c r="C46" s="27" t="e">
        <f>CHOOSE(1+LOG(1+2*(#REF!=1)+4*(#REF!=2)+8*(#REF!=3)+16*(#REF!=4)+32*(#REF!="S"),2),"","Meta","Nível 2","Nível 3","Nível 4","Serviço")</f>
        <v>#REF!</v>
      </c>
      <c r="D46" s="28" t="e">
        <f>IF(OR($C46=0,$L46=""),"-",CONCATENATE(#REF!&amp;".",IF(AND($A$5&gt;=2,$C46&gt;=2),#REF!&amp;".",""),IF(AND($A$5&gt;=3,$C46&gt;=3),#REF!&amp;".",""),IF(AND($A$5&gt;=4,$C46&gt;=4),#REF!&amp;".",""),IF($C46="S",#REF!&amp;".","")))</f>
        <v>#REF!</v>
      </c>
      <c r="E46" s="29" t="s">
        <v>28</v>
      </c>
      <c r="F46" s="30" t="s">
        <v>56</v>
      </c>
      <c r="G46" s="31" t="s">
        <v>102</v>
      </c>
      <c r="H46" s="32" t="s">
        <v>85</v>
      </c>
      <c r="I46" s="33" t="e">
        <f ca="1">OFFSET([1]CÁLCULO!#REF!,ROW($T46)-ROW(I$15),0)</f>
        <v>#REF!</v>
      </c>
      <c r="J46" s="34">
        <f t="shared" ref="J46:J51" si="50">V46</f>
        <v>0</v>
      </c>
      <c r="K46" s="35" t="s">
        <v>21</v>
      </c>
      <c r="L46" s="33" t="e">
        <f>IF($C46="S",ROUND(IF(TIPOORCAMENTO="Proposto",ORÇAMENTO.CustoUnitario*(1+$AH46),ORÇAMENTO.PrecoUnitarioLicitado),15-13*$AF$10),0)</f>
        <v>#REF!</v>
      </c>
      <c r="M46" s="36" t="e" cm="1">
        <f t="array" aca="1" ref="M46" ca="1">IF($C46="S",IF(OR(Import.TipoArredondamento&lt;&gt;"TransfereGOV",ACOMPANHAMENTO="BM"),VTOTAL1,SUM(OFFSET([1]CÁLCULO!$AA$15,ROW($X46)-ROW($X$15),1):OFFSET([1]CÁLCULO!$AL$15,ROW($X46)-ROW($X$15),-1))),IF($C46=0,0,ROUND(SomaAgrup,15-13*$AF$11)))</f>
        <v>#REF!</v>
      </c>
    </row>
    <row r="47" spans="2:13" ht="115.2" x14ac:dyDescent="0.3">
      <c r="B47" s="26" t="s">
        <v>19</v>
      </c>
      <c r="C47" s="27" t="e">
        <f t="shared" ref="C47:C67" si="51">CHOOSE(1+LOG(1+2*(#REF!=1)+4*(#REF!=2)+8*(#REF!=3)+16*(#REF!=4)+32*(#REF!="S"),2),"","Meta","Nível 2","Nível 3","Nível 4","Serviço")</f>
        <v>#REF!</v>
      </c>
      <c r="D47" s="28" t="e">
        <f t="shared" ref="D47:D67" si="52">IF(OR($C47=0,$L47=""),"-",CONCATENATE(#REF!&amp;".",IF(AND($A$5&gt;=2,$C47&gt;=2),#REF!&amp;".",""),IF(AND($A$5&gt;=3,$C47&gt;=3),#REF!&amp;".",""),IF(AND($A$5&gt;=4,$C47&gt;=4),#REF!&amp;".",""),IF($C47="S",#REF!&amp;".","")))</f>
        <v>#REF!</v>
      </c>
      <c r="E47" s="29" t="s">
        <v>20</v>
      </c>
      <c r="F47" s="30" t="s">
        <v>57</v>
      </c>
      <c r="G47" s="31" t="s">
        <v>103</v>
      </c>
      <c r="H47" s="32" t="s">
        <v>87</v>
      </c>
      <c r="I47" s="33" t="e">
        <f ca="1">OFFSET([1]CÁLCULO!#REF!,ROW($T47)-ROW(I$15),0)</f>
        <v>#REF!</v>
      </c>
      <c r="J47" s="34">
        <f t="shared" si="50"/>
        <v>0</v>
      </c>
      <c r="K47" s="35" t="s">
        <v>21</v>
      </c>
      <c r="L47" s="33" t="e">
        <f>IF($C47="S",ROUND(IF(TIPOORCAMENTO="Proposto",ORÇAMENTO.CustoUnitario*(1+$AH47),ORÇAMENTO.PrecoUnitarioLicitado),15-13*$AF$10),0)</f>
        <v>#REF!</v>
      </c>
      <c r="M47" s="36" t="e" cm="1">
        <f t="array" aca="1" ref="M47" ca="1">IF($C47="S",IF(OR(Import.TipoArredondamento&lt;&gt;"TransfereGOV",ACOMPANHAMENTO="BM"),VTOTAL1,SUM(OFFSET([1]CÁLCULO!$AA$15,ROW($X47)-ROW($X$15),1):OFFSET([1]CÁLCULO!$AL$15,ROW($X47)-ROW($X$15),-1))),IF($C47=0,0,ROUND(SomaAgrup,15-13*$AF$11)))</f>
        <v>#REF!</v>
      </c>
    </row>
    <row r="48" spans="2:13" ht="331.2" x14ac:dyDescent="0.3">
      <c r="B48" s="26" t="s">
        <v>19</v>
      </c>
      <c r="C48" s="27" t="e">
        <f t="shared" ref="C48:C68" si="53">CHOOSE(1+LOG(1+2*(#REF!=1)+4*(#REF!=2)+8*(#REF!=3)+16*(#REF!=4)+32*(#REF!="S"),2),"","Meta","Nível 2","Nível 3","Nível 4","Serviço")</f>
        <v>#REF!</v>
      </c>
      <c r="D48" s="28" t="e">
        <f t="shared" ref="D48:D68" si="54">IF(OR($C48=0,$L48=""),"-",CONCATENATE(#REF!&amp;".",IF(AND($A$5&gt;=2,$C48&gt;=2),#REF!&amp;".",""),IF(AND($A$5&gt;=3,$C48&gt;=3),#REF!&amp;".",""),IF(AND($A$5&gt;=4,$C48&gt;=4),#REF!&amp;".",""),IF($C48="S",#REF!&amp;".","")))</f>
        <v>#REF!</v>
      </c>
      <c r="E48" s="29" t="s">
        <v>20</v>
      </c>
      <c r="F48" s="30" t="s">
        <v>58</v>
      </c>
      <c r="G48" s="31" t="s">
        <v>104</v>
      </c>
      <c r="H48" s="32" t="s">
        <v>81</v>
      </c>
      <c r="I48" s="33" t="e">
        <f ca="1">OFFSET([1]CÁLCULO!#REF!,ROW($T48)-ROW(I$15),0)</f>
        <v>#REF!</v>
      </c>
      <c r="J48" s="34">
        <f t="shared" si="50"/>
        <v>0</v>
      </c>
      <c r="K48" s="35" t="s">
        <v>21</v>
      </c>
      <c r="L48" s="33" t="e">
        <f>IF($C48="S",ROUND(IF(TIPOORCAMENTO="Proposto",ORÇAMENTO.CustoUnitario*(1+$AH48),ORÇAMENTO.PrecoUnitarioLicitado),15-13*$AF$10),0)</f>
        <v>#REF!</v>
      </c>
      <c r="M48" s="36" t="e" cm="1">
        <f t="array" aca="1" ref="M48" ca="1">IF($C48="S",IF(OR(Import.TipoArredondamento&lt;&gt;"TransfereGOV",ACOMPANHAMENTO="BM"),VTOTAL1,SUM(OFFSET([1]CÁLCULO!$AA$15,ROW($X48)-ROW($X$15),1):OFFSET([1]CÁLCULO!$AL$15,ROW($X48)-ROW($X$15),-1))),IF($C48=0,0,ROUND(SomaAgrup,15-13*$AF$11)))</f>
        <v>#REF!</v>
      </c>
    </row>
    <row r="49" spans="2:13" ht="259.2" x14ac:dyDescent="0.3">
      <c r="B49" s="26" t="s">
        <v>19</v>
      </c>
      <c r="C49" s="27" t="e">
        <f t="shared" ref="C49:C69" si="55">CHOOSE(1+LOG(1+2*(#REF!=1)+4*(#REF!=2)+8*(#REF!=3)+16*(#REF!=4)+32*(#REF!="S"),2),"","Meta","Nível 2","Nível 3","Nível 4","Serviço")</f>
        <v>#REF!</v>
      </c>
      <c r="D49" s="28" t="e">
        <f t="shared" ref="D49:D69" si="56">IF(OR($C49=0,$L49=""),"-",CONCATENATE(#REF!&amp;".",IF(AND($A$5&gt;=2,$C49&gt;=2),#REF!&amp;".",""),IF(AND($A$5&gt;=3,$C49&gt;=3),#REF!&amp;".",""),IF(AND($A$5&gt;=4,$C49&gt;=4),#REF!&amp;".",""),IF($C49="S",#REF!&amp;".","")))</f>
        <v>#REF!</v>
      </c>
      <c r="E49" s="29" t="s">
        <v>20</v>
      </c>
      <c r="F49" s="30" t="s">
        <v>59</v>
      </c>
      <c r="G49" s="31" t="s">
        <v>105</v>
      </c>
      <c r="H49" s="32" t="s">
        <v>106</v>
      </c>
      <c r="I49" s="33" t="e">
        <f ca="1">OFFSET([1]CÁLCULO!#REF!,ROW($T49)-ROW(I$15),0)</f>
        <v>#REF!</v>
      </c>
      <c r="J49" s="34">
        <f t="shared" si="50"/>
        <v>0</v>
      </c>
      <c r="K49" s="35" t="s">
        <v>21</v>
      </c>
      <c r="L49" s="33" t="e">
        <f>IF($C49="S",ROUND(IF(TIPOORCAMENTO="Proposto",ORÇAMENTO.CustoUnitario*(1+$AH49),ORÇAMENTO.PrecoUnitarioLicitado),15-13*$AF$10),0)</f>
        <v>#REF!</v>
      </c>
      <c r="M49" s="36" t="e" cm="1">
        <f t="array" aca="1" ref="M49" ca="1">IF($C49="S",IF(OR(Import.TipoArredondamento&lt;&gt;"TransfereGOV",ACOMPANHAMENTO="BM"),VTOTAL1,SUM(OFFSET([1]CÁLCULO!$AA$15,ROW($X49)-ROW($X$15),1):OFFSET([1]CÁLCULO!$AL$15,ROW($X49)-ROW($X$15),-1))),IF($C49=0,0,ROUND(SomaAgrup,15-13*$AF$11)))</f>
        <v>#REF!</v>
      </c>
    </row>
    <row r="50" spans="2:13" ht="115.2" x14ac:dyDescent="0.3">
      <c r="B50" s="26" t="s">
        <v>19</v>
      </c>
      <c r="C50" s="27" t="e">
        <f>CHOOSE(1+LOG(1+2*(#REF!=1)+4*(#REF!=2)+8*(#REF!=3)+16*(#REF!=4)+32*(#REF!="S"),2),"","Meta","Nível 2","Nível 3","Nível 4","Serviço")</f>
        <v>#REF!</v>
      </c>
      <c r="D50" s="28" t="e">
        <f>IF(OR($C50=0,$L50=""),"-",CONCATENATE(#REF!&amp;".",IF(AND($A$5&gt;=2,$C50&gt;=2),#REF!&amp;".",""),IF(AND($A$5&gt;=3,$C50&gt;=3),#REF!&amp;".",""),IF(AND($A$5&gt;=4,$C50&gt;=4),#REF!&amp;".",""),IF($C50="S",#REF!&amp;".","")))</f>
        <v>#REF!</v>
      </c>
      <c r="E50" s="29" t="s">
        <v>28</v>
      </c>
      <c r="F50" s="30" t="s">
        <v>60</v>
      </c>
      <c r="G50" s="31" t="s">
        <v>107</v>
      </c>
      <c r="H50" s="32" t="s">
        <v>87</v>
      </c>
      <c r="I50" s="33" t="e">
        <f ca="1">OFFSET([1]CÁLCULO!#REF!,ROW($T50)-ROW(I$15),0)</f>
        <v>#REF!</v>
      </c>
      <c r="J50" s="34">
        <f t="shared" si="50"/>
        <v>0</v>
      </c>
      <c r="K50" s="35" t="s">
        <v>21</v>
      </c>
      <c r="L50" s="33" t="e">
        <f>IF($C50="S",ROUND(IF(TIPOORCAMENTO="Proposto",ORÇAMENTO.CustoUnitario*(1+$AH50),ORÇAMENTO.PrecoUnitarioLicitado),15-13*$AF$10),0)</f>
        <v>#REF!</v>
      </c>
      <c r="M50" s="36" t="e" cm="1">
        <f t="array" aca="1" ref="M50" ca="1">IF($C50="S",IF(OR(Import.TipoArredondamento&lt;&gt;"TransfereGOV",ACOMPANHAMENTO="BM"),VTOTAL1,SUM(OFFSET([1]CÁLCULO!$AA$15,ROW($X50)-ROW($X$15),1):OFFSET([1]CÁLCULO!$AL$15,ROW($X50)-ROW($X$15),-1))),IF($C50=0,0,ROUND(SomaAgrup,15-13*$AF$11)))</f>
        <v>#REF!</v>
      </c>
    </row>
    <row r="51" spans="2:13" ht="28.8" x14ac:dyDescent="0.3">
      <c r="B51" s="26" t="s">
        <v>19</v>
      </c>
      <c r="C51" s="27" t="e">
        <f>CHOOSE(1+LOG(1+2*(#REF!=1)+4*(#REF!=2)+8*(#REF!=3)+16*(#REF!=4)+32*(#REF!="S"),2),"","Meta","Nível 2","Nível 3","Nível 4","Serviço")</f>
        <v>#REF!</v>
      </c>
      <c r="D51" s="28" t="e">
        <f>IF(OR($C51=0,$L51=""),"-",CONCATENATE(#REF!&amp;".",IF(AND($A$5&gt;=2,$C51&gt;=2),#REF!&amp;".",""),IF(AND($A$5&gt;=3,$C51&gt;=3),#REF!&amp;".",""),IF(AND($A$5&gt;=4,$C51&gt;=4),#REF!&amp;".",""),IF($C51="S",#REF!&amp;".","")))</f>
        <v>#REF!</v>
      </c>
      <c r="E51" s="29" t="s">
        <v>28</v>
      </c>
      <c r="F51" s="30" t="s">
        <v>61</v>
      </c>
      <c r="G51" s="31" t="s">
        <v>108</v>
      </c>
      <c r="H51" s="32" t="s">
        <v>83</v>
      </c>
      <c r="I51" s="33" t="e">
        <f ca="1">OFFSET([1]CÁLCULO!#REF!,ROW($T51)-ROW(I$15),0)</f>
        <v>#REF!</v>
      </c>
      <c r="J51" s="34">
        <f t="shared" si="50"/>
        <v>0</v>
      </c>
      <c r="K51" s="35" t="s">
        <v>21</v>
      </c>
      <c r="L51" s="33" t="e">
        <f>IF($C51="S",ROUND(IF(TIPOORCAMENTO="Proposto",ORÇAMENTO.CustoUnitario*(1+$AH51),ORÇAMENTO.PrecoUnitarioLicitado),15-13*$AF$10),0)</f>
        <v>#REF!</v>
      </c>
      <c r="M51" s="36" t="e" cm="1">
        <f t="array" aca="1" ref="M51" ca="1">IF($C51="S",IF(OR(Import.TipoArredondamento&lt;&gt;"TransfereGOV",ACOMPANHAMENTO="BM"),VTOTAL1,SUM(OFFSET([1]CÁLCULO!$AA$15,ROW($X51)-ROW($X$15),1):OFFSET([1]CÁLCULO!$AL$15,ROW($X51)-ROW($X$15),-1))),IF($C51=0,0,ROUND(SomaAgrup,15-13*$AF$11)))</f>
        <v>#REF!</v>
      </c>
    </row>
    <row r="52" spans="2:13" x14ac:dyDescent="0.3">
      <c r="B52" s="44"/>
      <c r="C52" s="45"/>
      <c r="D52" s="44"/>
      <c r="E52" s="46"/>
      <c r="F52" s="46"/>
      <c r="G52" s="46"/>
      <c r="H52" s="46"/>
      <c r="I52" s="46"/>
      <c r="J52" s="46"/>
      <c r="K52" s="46"/>
      <c r="L52" s="46"/>
      <c r="M52" s="45"/>
    </row>
    <row r="55" spans="2:13" x14ac:dyDescent="0.3">
      <c r="D55" s="47" t="s">
        <v>62</v>
      </c>
      <c r="F55" s="48" t="s">
        <v>63</v>
      </c>
      <c r="G55" s="48"/>
      <c r="H55" s="48"/>
      <c r="I55" s="48"/>
      <c r="J55" s="48"/>
      <c r="K55" s="48"/>
      <c r="L55" s="48"/>
      <c r="M55" s="48"/>
    </row>
    <row r="57" spans="2:13" x14ac:dyDescent="0.3">
      <c r="D57" s="49" t="s">
        <v>64</v>
      </c>
      <c r="M57" s="50"/>
    </row>
    <row r="58" spans="2:13" x14ac:dyDescent="0.3">
      <c r="D58" s="51"/>
      <c r="E58" s="51"/>
      <c r="F58" s="51"/>
      <c r="G58" s="51"/>
      <c r="H58" s="51"/>
      <c r="I58" s="51"/>
      <c r="J58" s="51"/>
      <c r="K58" s="51"/>
      <c r="L58" s="51"/>
      <c r="M58" s="51"/>
    </row>
    <row r="59" spans="2:13" x14ac:dyDescent="0.3">
      <c r="D59" s="51"/>
      <c r="E59" s="51"/>
      <c r="F59" s="51"/>
      <c r="G59" s="51"/>
      <c r="H59" s="51"/>
      <c r="I59" s="51"/>
      <c r="J59" s="51"/>
      <c r="K59" s="51"/>
      <c r="L59" s="51"/>
      <c r="M59" s="51"/>
    </row>
    <row r="60" spans="2:13" x14ac:dyDescent="0.3">
      <c r="D60" s="51"/>
      <c r="E60" s="51"/>
      <c r="F60" s="51"/>
      <c r="G60" s="51"/>
      <c r="H60" s="51"/>
      <c r="I60" s="51"/>
      <c r="J60" s="51"/>
      <c r="K60" s="51"/>
      <c r="L60" s="51"/>
      <c r="M60" s="51"/>
    </row>
    <row r="61" spans="2:13" x14ac:dyDescent="0.3">
      <c r="D61" s="52"/>
      <c r="E61" s="52"/>
      <c r="F61" s="52"/>
      <c r="G61" s="52"/>
      <c r="H61" s="52"/>
      <c r="I61" s="52"/>
      <c r="J61" s="52"/>
      <c r="K61" s="52"/>
      <c r="L61" s="52"/>
      <c r="M61" s="52"/>
    </row>
    <row r="62" spans="2:13" x14ac:dyDescent="0.3">
      <c r="D62" s="53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Não foi considerado arredondamento nos valores da planilha.</v>
      </c>
      <c r="E62" s="53"/>
      <c r="F62" s="53"/>
      <c r="G62" s="53"/>
      <c r="H62" s="53"/>
      <c r="I62" s="53"/>
      <c r="J62" s="53"/>
      <c r="K62" s="53"/>
      <c r="L62" s="53"/>
      <c r="M62" s="53"/>
    </row>
    <row r="63" spans="2:13" x14ac:dyDescent="0.3">
      <c r="D63" s="54" t="s">
        <v>65</v>
      </c>
      <c r="E63" s="54"/>
      <c r="F63" s="54"/>
      <c r="G63" s="54"/>
      <c r="H63" s="54"/>
      <c r="I63" s="54"/>
      <c r="J63" s="54"/>
      <c r="K63" s="54"/>
      <c r="L63" s="54"/>
      <c r="M63" s="54"/>
    </row>
    <row r="65" spans="4:12" x14ac:dyDescent="0.3">
      <c r="D65" s="55" t="str">
        <f>Import.Município</f>
        <v>Canoas/RS</v>
      </c>
      <c r="E65" s="55"/>
      <c r="F65" s="55"/>
      <c r="H65" s="56"/>
      <c r="I65" s="56"/>
      <c r="J65" s="56"/>
      <c r="K65" s="56"/>
      <c r="L65" s="57"/>
    </row>
    <row r="66" spans="4:12" x14ac:dyDescent="0.3">
      <c r="D66" s="58" t="s">
        <v>66</v>
      </c>
      <c r="H66" s="59" t="s">
        <v>67</v>
      </c>
      <c r="I66" s="59"/>
      <c r="J66" s="59"/>
      <c r="K66" s="59"/>
    </row>
    <row r="67" spans="4:12" x14ac:dyDescent="0.3">
      <c r="H67" s="60" t="s">
        <v>68</v>
      </c>
      <c r="I67" s="61" t="str">
        <f t="array" ref="I67:I69">Import.RespOrçamento</f>
        <v>André Luís Abitante</v>
      </c>
      <c r="K67" s="62"/>
    </row>
    <row r="68" spans="4:12" x14ac:dyDescent="0.3">
      <c r="D68" s="63">
        <f>[1]DADOS!$C$25</f>
        <v>46266</v>
      </c>
      <c r="E68" s="63"/>
      <c r="F68" s="63"/>
      <c r="H68" s="60" t="s">
        <v>69</v>
      </c>
      <c r="I68" s="61" t="str">
        <v>125460</v>
      </c>
      <c r="J68" s="62"/>
      <c r="K68" s="62"/>
    </row>
    <row r="69" spans="4:12" x14ac:dyDescent="0.3">
      <c r="D69" s="64" t="s">
        <v>70</v>
      </c>
      <c r="E69" s="65"/>
      <c r="F69" s="65"/>
      <c r="H69" s="60" t="s">
        <v>71</v>
      </c>
      <c r="I69" s="61" t="str">
        <v>13944109</v>
      </c>
      <c r="J69" s="62"/>
      <c r="K69" s="62"/>
    </row>
  </sheetData>
  <mergeCells count="15">
    <mergeCell ref="D63:M63"/>
    <mergeCell ref="D65:F65"/>
    <mergeCell ref="D68:F68"/>
    <mergeCell ref="D9:E9"/>
    <mergeCell ref="H9:J9"/>
    <mergeCell ref="D16:G16"/>
    <mergeCell ref="F55:M55"/>
    <mergeCell ref="D58:M60"/>
    <mergeCell ref="D62:M62"/>
    <mergeCell ref="D5:E5"/>
    <mergeCell ref="H5:M5"/>
    <mergeCell ref="D6:E6"/>
    <mergeCell ref="H6:M6"/>
    <mergeCell ref="D8:E8"/>
    <mergeCell ref="H8:J8"/>
  </mergeCells>
  <conditionalFormatting sqref="B15 B17:B51">
    <cfRule type="cellIs" dxfId="78" priority="31" stopIfTrue="1" operator="notEqual">
      <formula>$N15</formula>
    </cfRule>
  </conditionalFormatting>
  <conditionalFormatting sqref="C15:D15 G15 L15 M29:M33 M23:M27 C17:D51 G17:G51 L17:L51">
    <cfRule type="expression" dxfId="77" priority="32" stopIfTrue="1">
      <formula>$C15=1</formula>
    </cfRule>
    <cfRule type="expression" dxfId="76" priority="33" stopIfTrue="1">
      <formula>OR($C15=0,$C15=2,$C15=3,$C15=4)</formula>
    </cfRule>
  </conditionalFormatting>
  <conditionalFormatting sqref="J15:K15 J17:K51">
    <cfRule type="expression" dxfId="75" priority="34" stopIfTrue="1">
      <formula>$C15=1</formula>
    </cfRule>
    <cfRule type="expression" dxfId="74" priority="35" stopIfTrue="1">
      <formula>OR($C15=0,$C15=2,$C15=3,$C15=4)</formula>
    </cfRule>
    <cfRule type="expression" dxfId="73" priority="36" stopIfTrue="1">
      <formula>AND(TIPOORCAMENTO="Licitado",$C15&lt;&gt;"L",$C15&lt;&gt;-1)</formula>
    </cfRule>
  </conditionalFormatting>
  <conditionalFormatting sqref="E15:F15 H15:I15 E17:F51 H17:I51">
    <cfRule type="expression" dxfId="72" priority="37" stopIfTrue="1">
      <formula>$C15=1</formula>
    </cfRule>
    <cfRule type="expression" dxfId="71" priority="38" stopIfTrue="1">
      <formula>OR($C15=0,$C15=2,$C15=3,$C15=4)</formula>
    </cfRule>
  </conditionalFormatting>
  <conditionalFormatting sqref="D9:E9">
    <cfRule type="expression" dxfId="70" priority="39" stopIfTrue="1">
      <formula>ISERROR(INDIRECT($F$9))</formula>
    </cfRule>
  </conditionalFormatting>
  <conditionalFormatting sqref="H8:K9">
    <cfRule type="expression" dxfId="69" priority="40" stopIfTrue="1">
      <formula>TIPOORCAMENTO="Proposto"</formula>
    </cfRule>
  </conditionalFormatting>
  <conditionalFormatting sqref="H10:M10">
    <cfRule type="expression" dxfId="68" priority="30" stopIfTrue="1">
      <formula>TIPOORCAMENTO="Proposto"</formula>
    </cfRule>
  </conditionalFormatting>
  <conditionalFormatting sqref="G15 G17:G51">
    <cfRule type="beginsWith" dxfId="67" priority="29" operator="beginsWith" text="(">
      <formula>LEFT(G15,LEN("("))="("</formula>
    </cfRule>
  </conditionalFormatting>
  <conditionalFormatting sqref="M15">
    <cfRule type="expression" dxfId="66" priority="27" stopIfTrue="1">
      <formula>$C15=1</formula>
    </cfRule>
    <cfRule type="expression" dxfId="65" priority="28" stopIfTrue="1">
      <formula>OR($C15=0,$C15=2,$C15=3,$C15=4)</formula>
    </cfRule>
  </conditionalFormatting>
  <conditionalFormatting sqref="M37">
    <cfRule type="expression" dxfId="64" priority="25" stopIfTrue="1">
      <formula>$C37=1</formula>
    </cfRule>
    <cfRule type="expression" dxfId="63" priority="26" stopIfTrue="1">
      <formula>OR($C37=0,$C37=2,$C37=3,$C37=4)</formula>
    </cfRule>
  </conditionalFormatting>
  <conditionalFormatting sqref="M35">
    <cfRule type="expression" dxfId="62" priority="23" stopIfTrue="1">
      <formula>$C35=1</formula>
    </cfRule>
    <cfRule type="expression" dxfId="61" priority="24" stopIfTrue="1">
      <formula>OR($C35=0,$C35=2,$C35=3,$C35=4)</formula>
    </cfRule>
  </conditionalFormatting>
  <conditionalFormatting sqref="M36">
    <cfRule type="expression" dxfId="60" priority="21" stopIfTrue="1">
      <formula>$C36=1</formula>
    </cfRule>
    <cfRule type="expression" dxfId="59" priority="22" stopIfTrue="1">
      <formula>OR($C36=0,$C36=2,$C36=3,$C36=4)</formula>
    </cfRule>
  </conditionalFormatting>
  <conditionalFormatting sqref="M34">
    <cfRule type="expression" dxfId="58" priority="19" stopIfTrue="1">
      <formula>$C34=1</formula>
    </cfRule>
    <cfRule type="expression" dxfId="57" priority="20" stopIfTrue="1">
      <formula>OR($C34=0,$C34=2,$C34=3,$C34=4)</formula>
    </cfRule>
  </conditionalFormatting>
  <conditionalFormatting sqref="M38:M45 M47">
    <cfRule type="expression" dxfId="56" priority="17" stopIfTrue="1">
      <formula>$C38=1</formula>
    </cfRule>
    <cfRule type="expression" dxfId="55" priority="18" stopIfTrue="1">
      <formula>OR($C38=0,$C38=2,$C38=3,$C38=4)</formula>
    </cfRule>
  </conditionalFormatting>
  <conditionalFormatting sqref="M50">
    <cfRule type="expression" dxfId="54" priority="15" stopIfTrue="1">
      <formula>$C50=1</formula>
    </cfRule>
    <cfRule type="expression" dxfId="53" priority="16" stopIfTrue="1">
      <formula>OR($C50=0,$C50=2,$C50=3,$C50=4)</formula>
    </cfRule>
  </conditionalFormatting>
  <conditionalFormatting sqref="M51">
    <cfRule type="expression" dxfId="52" priority="13" stopIfTrue="1">
      <formula>$C51=1</formula>
    </cfRule>
    <cfRule type="expression" dxfId="51" priority="14" stopIfTrue="1">
      <formula>OR($C51=0,$C51=2,$C51=3,$C51=4)</formula>
    </cfRule>
  </conditionalFormatting>
  <conditionalFormatting sqref="M28">
    <cfRule type="expression" dxfId="50" priority="11" stopIfTrue="1">
      <formula>$C28=1</formula>
    </cfRule>
    <cfRule type="expression" dxfId="49" priority="12" stopIfTrue="1">
      <formula>OR($C28=0,$C28=2,$C28=3,$C28=4)</formula>
    </cfRule>
  </conditionalFormatting>
  <conditionalFormatting sqref="M17">
    <cfRule type="expression" dxfId="48" priority="9" stopIfTrue="1">
      <formula>$C17=1</formula>
    </cfRule>
    <cfRule type="expression" dxfId="47" priority="10" stopIfTrue="1">
      <formula>OR($C17=0,$C17=2,$C17=3,$C17=4)</formula>
    </cfRule>
  </conditionalFormatting>
  <conditionalFormatting sqref="M18:M21">
    <cfRule type="expression" dxfId="46" priority="7" stopIfTrue="1">
      <formula>$C18=1</formula>
    </cfRule>
    <cfRule type="expression" dxfId="45" priority="8" stopIfTrue="1">
      <formula>OR($C18=0,$C18=2,$C18=3,$C18=4)</formula>
    </cfRule>
  </conditionalFormatting>
  <conditionalFormatting sqref="M22">
    <cfRule type="expression" dxfId="44" priority="5" stopIfTrue="1">
      <formula>$C22=1</formula>
    </cfRule>
    <cfRule type="expression" dxfId="43" priority="6" stopIfTrue="1">
      <formula>OR($C22=0,$C22=2,$C22=3,$C22=4)</formula>
    </cfRule>
  </conditionalFormatting>
  <conditionalFormatting sqref="M48:M49">
    <cfRule type="expression" dxfId="42" priority="3" stopIfTrue="1">
      <formula>$C48=1</formula>
    </cfRule>
    <cfRule type="expression" dxfId="41" priority="4" stopIfTrue="1">
      <formula>OR($C48=0,$C48=2,$C48=3,$C48=4)</formula>
    </cfRule>
  </conditionalFormatting>
  <conditionalFormatting sqref="M46">
    <cfRule type="expression" dxfId="40" priority="1" stopIfTrue="1">
      <formula>$C46=1</formula>
    </cfRule>
    <cfRule type="expression" dxfId="39" priority="2" stopIfTrue="1">
      <formula>OR($C46=0,$C46=2,$C46=3,$C46=4)</formula>
    </cfRule>
  </conditionalFormatting>
  <dataValidations disablePrompts="1" count="7">
    <dataValidation type="list" showInputMessage="1" showErrorMessage="1" errorTitle="Erro de Entrada" error="Selecione somente os itens da lista." promptTitle="Nível:" prompt="Selecione na lista o nível de itemização da Planilha." sqref="B15 B17:B51" xr:uid="{7C466A0E-6C48-4EF1-9A99-ECFC4035FBF4}">
      <formula1>ORÇAMENTO.Lista.Nível</formula1>
    </dataValidation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E15 E17:E51" xr:uid="{3C7541CB-3AEF-4F17-8BB6-69B8F0226060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K15 K17:K51" xr:uid="{B2665EAE-4039-4BDA-9C8D-1D82577B5C6F}">
      <formula1>ORÇAMENTO.Lista.BDI</formula1>
    </dataValidation>
    <dataValidation type="list" errorStyle="information" allowBlank="1" showInputMessage="1" prompt="Selecione uma sigla de unidade na lista suspensa." sqref="H15 H17:H51" xr:uid="{0A74FE17-982B-4D97-B4C3-0E4BA88841F0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L15 L17:L51" xr:uid="{D7B224AD-9302-420B-864B-3CFD89B5138F}"/>
    <dataValidation allowBlank="1" showInputMessage="1" showErrorMessage="1" prompt="A entrada de quantidades é feita na coluna AJ se acompanhamento por BM, ou na aba &quot;Memória de Cálculo/PLQ&quot; se acompanhamento por PLE." sqref="I15 I17:I51" xr:uid="{7B787869-8009-4598-9311-C1F62A020CA0}"/>
    <dataValidation type="decimal" operator="greaterThan" allowBlank="1" showErrorMessage="1" error="Apenas números decimais maiores que zero." sqref="J15 J17:J51" xr:uid="{16D30DE5-FA94-4DD4-9BB3-62D9797091F5}">
      <formula1>0</formula1>
      <formula2>0</formula2>
    </dataValidation>
  </dataValidation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aixaArredQuant">
              <controlPr defaultSize="0" print="0" autoFill="0" autoLine="0" autoPict="0">
                <anchor moveWithCells="1" sizeWithCells="1">
                  <from>
                    <xdr:col>8</xdr:col>
                    <xdr:colOff>381000</xdr:colOff>
                    <xdr:row>10</xdr:row>
                    <xdr:rowOff>68580</xdr:rowOff>
                  </from>
                  <to>
                    <xdr:col>8</xdr:col>
                    <xdr:colOff>830580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aixaArredCustoUnit">
              <controlPr defaultSize="0" print="0" autoFill="0" autoLine="0" autoPict="0">
                <anchor moveWithCells="1" sizeWithCells="1">
                  <from>
                    <xdr:col>9</xdr:col>
                    <xdr:colOff>388620</xdr:colOff>
                    <xdr:row>10</xdr:row>
                    <xdr:rowOff>68580</xdr:rowOff>
                  </from>
                  <to>
                    <xdr:col>9</xdr:col>
                    <xdr:colOff>822960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aixaArredBDI">
              <controlPr defaultSize="0" print="0" autoFill="0" autoLine="0" autoPict="0">
                <anchor moveWithCells="1" sizeWithCells="1">
                  <from>
                    <xdr:col>10</xdr:col>
                    <xdr:colOff>266700</xdr:colOff>
                    <xdr:row>10</xdr:row>
                    <xdr:rowOff>68580</xdr:rowOff>
                  </from>
                  <to>
                    <xdr:col>10</xdr:col>
                    <xdr:colOff>678180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aixaArredPrecoUnit">
              <controlPr defaultSize="0" print="0" autoFill="0" autoLine="0" autoPict="0">
                <anchor moveWithCells="1" sizeWithCells="1">
                  <from>
                    <xdr:col>11</xdr:col>
                    <xdr:colOff>388620</xdr:colOff>
                    <xdr:row>10</xdr:row>
                    <xdr:rowOff>68580</xdr:rowOff>
                  </from>
                  <to>
                    <xdr:col>11</xdr:col>
                    <xdr:colOff>807720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aixaArredPrecoTotal">
              <controlPr defaultSize="0" print="0" autoFill="0" autoLine="0" autoPict="0">
                <anchor moveWithCells="1" sizeWithCells="1">
                  <from>
                    <xdr:col>12</xdr:col>
                    <xdr:colOff>426720</xdr:colOff>
                    <xdr:row>10</xdr:row>
                    <xdr:rowOff>45720</xdr:rowOff>
                  </from>
                  <to>
                    <xdr:col>12</xdr:col>
                    <xdr:colOff>861060</xdr:colOff>
                    <xdr:row>11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49E1D-2CBF-479F-9687-7EB566FB45DD}">
  <dimension ref="B2:K65"/>
  <sheetViews>
    <sheetView tabSelected="1" topLeftCell="A36" workbookViewId="0">
      <selection activeCell="B59" sqref="B59:K59"/>
    </sheetView>
  </sheetViews>
  <sheetFormatPr defaultRowHeight="14.4" x14ac:dyDescent="0.3"/>
  <cols>
    <col min="1" max="1" width="4.5546875" customWidth="1"/>
    <col min="3" max="3" width="11.21875" customWidth="1"/>
    <col min="4" max="4" width="16.5546875" customWidth="1"/>
    <col min="5" max="5" width="51.109375" customWidth="1"/>
    <col min="7" max="7" width="11.5546875" customWidth="1"/>
    <col min="8" max="8" width="13.88671875" customWidth="1"/>
    <col min="10" max="10" width="14.109375" customWidth="1"/>
    <col min="11" max="11" width="11.88671875" bestFit="1" customWidth="1"/>
  </cols>
  <sheetData>
    <row r="2" spans="2:11" ht="15.6" x14ac:dyDescent="0.3">
      <c r="E2" s="2" t="s">
        <v>0</v>
      </c>
      <c r="G2" s="2"/>
      <c r="K2" s="3" t="s">
        <v>1</v>
      </c>
    </row>
    <row r="3" spans="2:11" ht="15" x14ac:dyDescent="0.3">
      <c r="E3" s="4" t="str" cm="1">
        <f t="array" ref="E3">IF(TIPOORCAMENTO="licitado","Orçamento Licitado","Orçamento Base para Licitação")&amp;" - "&amp;import.recurso</f>
        <v>Orçamento Base para Licitação - OGU</v>
      </c>
      <c r="K3" s="5" t="s">
        <v>2</v>
      </c>
    </row>
    <row r="4" spans="2:11" x14ac:dyDescent="0.3">
      <c r="E4" s="6"/>
    </row>
    <row r="5" spans="2:11" x14ac:dyDescent="0.3">
      <c r="B5" s="7" t="s">
        <v>3</v>
      </c>
      <c r="C5" s="7"/>
      <c r="D5" s="8" t="s">
        <v>4</v>
      </c>
      <c r="E5" s="8" t="s">
        <v>5</v>
      </c>
      <c r="F5" s="7" t="s">
        <v>6</v>
      </c>
      <c r="G5" s="7"/>
      <c r="H5" s="7"/>
      <c r="I5" s="7"/>
      <c r="J5" s="7"/>
      <c r="K5" s="7"/>
    </row>
    <row r="6" spans="2:11" x14ac:dyDescent="0.3">
      <c r="B6" s="9" t="str">
        <f>Import.CR</f>
        <v>-</v>
      </c>
      <c r="C6" s="9"/>
      <c r="D6" s="10" t="str" cm="1">
        <f t="array" ref="D6">Import.TransfereGOV</f>
        <v>-</v>
      </c>
      <c r="E6" s="11" t="str">
        <f>Import.Proponente</f>
        <v>Prefeitura Municipal de Canoas</v>
      </c>
      <c r="F6" s="9" t="str">
        <f>Import.Apelido</f>
        <v>CJ. HAB. ACADEPOL</v>
      </c>
      <c r="G6" s="9"/>
      <c r="H6" s="9"/>
      <c r="I6" s="9"/>
      <c r="J6" s="9"/>
      <c r="K6" s="9"/>
    </row>
    <row r="7" spans="2:11" x14ac:dyDescent="0.3">
      <c r="B7" s="12"/>
      <c r="C7" s="12"/>
      <c r="D7" s="13"/>
      <c r="E7" s="13"/>
      <c r="F7" s="12"/>
      <c r="G7" s="12"/>
      <c r="H7" s="12"/>
      <c r="I7" s="12"/>
      <c r="J7" s="12"/>
      <c r="K7" s="12"/>
    </row>
    <row r="8" spans="2:11" x14ac:dyDescent="0.3">
      <c r="B8" s="7" t="s">
        <v>7</v>
      </c>
      <c r="C8" s="7"/>
      <c r="D8" s="8" t="s">
        <v>8</v>
      </c>
      <c r="E8" s="8" t="str" cm="1">
        <f t="array" ref="E8">IF(TIPOORCAMENTO="Licitado","NOME DA EMPRESA","DESCRIÇÃO DO LOTE")</f>
        <v>DESCRIÇÃO DO LOTE</v>
      </c>
      <c r="F8" s="14" t="str" cm="1">
        <f t="array" ref="F8">IF(TIPOORCAMENTO="Licitado","REGIME DE EXECUÇÃO","MUNICÍPIO / UF")</f>
        <v>MUNICÍPIO / UF</v>
      </c>
      <c r="G8" s="14"/>
      <c r="H8" s="70"/>
      <c r="I8" s="72" t="str" cm="1">
        <f t="array" ref="I8">IF(TIPOORCAMENTO="Licitado","","BDI 1")</f>
        <v>BDI 1</v>
      </c>
      <c r="J8" s="15" t="str" cm="1">
        <f t="array" ref="J8">IF(TIPOORCAMENTO="Licitado","","BDI 2")</f>
        <v>BDI 2</v>
      </c>
      <c r="K8" s="16" t="str" cm="1">
        <f t="array" ref="K8">IF(TIPOORCAMENTO="Licitado","Nº CTEF","BDI 3")</f>
        <v>BDI 3</v>
      </c>
    </row>
    <row r="9" spans="2:11" x14ac:dyDescent="0.3">
      <c r="B9" s="67" t="s">
        <v>109</v>
      </c>
      <c r="C9" s="67"/>
      <c r="D9" s="17" t="s">
        <v>110</v>
      </c>
      <c r="E9" s="11" t="str" cm="1">
        <f t="array" ref="E9">IF(TIPOORCAMENTO="Licitado",Import.empresa,Import.DescLote)</f>
        <v>Infraestrutura para moradias de Interesse Social</v>
      </c>
      <c r="F9" s="18" t="str" cm="1">
        <f t="array" ref="F9">IF(TIPOORCAMENTO="Licitado",Import.RegimeExecução,Import.Município)</f>
        <v>Canoas/RS</v>
      </c>
      <c r="G9" s="18"/>
      <c r="H9" s="71"/>
      <c r="I9" s="73">
        <v>0.19600000000000001</v>
      </c>
      <c r="J9" s="68">
        <v>0</v>
      </c>
      <c r="K9" s="69">
        <v>0</v>
      </c>
    </row>
    <row r="10" spans="2:11" x14ac:dyDescent="0.3">
      <c r="B10" s="22"/>
    </row>
    <row r="11" spans="2:11" ht="26.4" x14ac:dyDescent="0.3"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tr" cm="1">
        <f t="array" ref="H11">IF(TIPOORCAMENTO="Licitado","","Custo Unitário (sem BDI) (R$)")</f>
        <v>Custo Unitário (sem BDI) (R$)</v>
      </c>
      <c r="I11" s="23" t="str" cm="1">
        <f t="array" ref="I11">IF(TIPOORCAMENTO="Licitado","","BDI
(%)")</f>
        <v>BDI
(%)</v>
      </c>
      <c r="J11" s="23" t="s">
        <v>17</v>
      </c>
      <c r="K11" s="23" t="s">
        <v>18</v>
      </c>
    </row>
    <row r="12" spans="2:11" x14ac:dyDescent="0.3">
      <c r="B12" s="38" t="str">
        <f>Import.DescLote</f>
        <v>Infraestrutura para moradias de Interesse Social</v>
      </c>
      <c r="C12" s="39"/>
      <c r="D12" s="39"/>
      <c r="E12" s="39"/>
      <c r="F12" s="40"/>
      <c r="G12" s="41"/>
      <c r="H12" s="41"/>
      <c r="I12" s="42"/>
      <c r="J12" s="41"/>
      <c r="K12" s="43">
        <f>K13</f>
        <v>0</v>
      </c>
    </row>
    <row r="13" spans="2:11" x14ac:dyDescent="0.3">
      <c r="B13" s="74" t="s">
        <v>111</v>
      </c>
      <c r="C13" s="75"/>
      <c r="D13" s="76"/>
      <c r="E13" s="77" t="s">
        <v>23</v>
      </c>
      <c r="F13" s="78"/>
      <c r="G13" s="79"/>
      <c r="H13" s="80"/>
      <c r="I13" s="81"/>
      <c r="J13" s="79"/>
      <c r="K13" s="82">
        <f>K14+K18+K24+K26+K32+K41</f>
        <v>0</v>
      </c>
    </row>
    <row r="14" spans="2:11" x14ac:dyDescent="0.3">
      <c r="B14" s="28" t="s">
        <v>112</v>
      </c>
      <c r="C14" s="29"/>
      <c r="D14" s="30"/>
      <c r="E14" s="31" t="s">
        <v>26</v>
      </c>
      <c r="F14" s="32"/>
      <c r="G14" s="33"/>
      <c r="H14" s="34"/>
      <c r="I14" s="35"/>
      <c r="J14" s="33"/>
      <c r="K14" s="36">
        <f>SUM(K15:K17)</f>
        <v>0</v>
      </c>
    </row>
    <row r="15" spans="2:11" ht="28.8" x14ac:dyDescent="0.3">
      <c r="B15" s="28" t="s">
        <v>113</v>
      </c>
      <c r="C15" s="29" t="s">
        <v>20</v>
      </c>
      <c r="D15" s="30" t="s">
        <v>27</v>
      </c>
      <c r="E15" s="31" t="s">
        <v>72</v>
      </c>
      <c r="F15" s="32" t="s">
        <v>73</v>
      </c>
      <c r="G15" s="33">
        <v>120</v>
      </c>
      <c r="H15" s="34">
        <f>T15</f>
        <v>0</v>
      </c>
      <c r="I15" s="35" t="s">
        <v>21</v>
      </c>
      <c r="J15" s="33">
        <f>IF($C15="S",ROUND(IF(TIPOORCAMENTO="Proposto",ORÇAMENTO.CustoUnitario*(1+$AH15),ORÇAMENTO.PrecoUnitarioLicitado),15-13*#REF!),0)</f>
        <v>0</v>
      </c>
      <c r="K15" s="36"/>
    </row>
    <row r="16" spans="2:11" x14ac:dyDescent="0.3">
      <c r="B16" s="28" t="s">
        <v>114</v>
      </c>
      <c r="C16" s="29" t="s">
        <v>28</v>
      </c>
      <c r="D16" s="30" t="s">
        <v>29</v>
      </c>
      <c r="E16" s="31" t="s">
        <v>74</v>
      </c>
      <c r="F16" s="32" t="s">
        <v>75</v>
      </c>
      <c r="G16" s="33">
        <v>2</v>
      </c>
      <c r="H16" s="34">
        <f>T16</f>
        <v>0</v>
      </c>
      <c r="I16" s="35" t="s">
        <v>21</v>
      </c>
      <c r="J16" s="33">
        <f>IF($C16="S",ROUND(IF(TIPOORCAMENTO="Proposto",ORÇAMENTO.CustoUnitario*(1+$AH16),ORÇAMENTO.PrecoUnitarioLicitado),15-13*#REF!),0)</f>
        <v>0</v>
      </c>
      <c r="K16" s="36"/>
    </row>
    <row r="17" spans="2:11" ht="28.8" x14ac:dyDescent="0.3">
      <c r="B17" s="28" t="s">
        <v>115</v>
      </c>
      <c r="C17" s="29" t="s">
        <v>20</v>
      </c>
      <c r="D17" s="30" t="s">
        <v>30</v>
      </c>
      <c r="E17" s="31" t="s">
        <v>76</v>
      </c>
      <c r="F17" s="32" t="s">
        <v>75</v>
      </c>
      <c r="G17" s="33">
        <v>2</v>
      </c>
      <c r="H17" s="34">
        <f>T17</f>
        <v>0</v>
      </c>
      <c r="I17" s="35" t="s">
        <v>21</v>
      </c>
      <c r="J17" s="33">
        <f>IF($C17="S",ROUND(IF(TIPOORCAMENTO="Proposto",ORÇAMENTO.CustoUnitario*(1+$AH17),ORÇAMENTO.PrecoUnitarioLicitado),15-13*#REF!),0)</f>
        <v>0</v>
      </c>
      <c r="K17" s="36"/>
    </row>
    <row r="18" spans="2:11" ht="28.8" x14ac:dyDescent="0.3">
      <c r="B18" s="28" t="s">
        <v>116</v>
      </c>
      <c r="C18" s="29"/>
      <c r="D18" s="30"/>
      <c r="E18" s="31" t="s">
        <v>31</v>
      </c>
      <c r="F18" s="32" t="s">
        <v>24</v>
      </c>
      <c r="G18" s="33" t="e">
        <f ca="1">OFFSET([1]CÁLCULO!#REF!,ROW($T18)-ROW(#REF!),0)</f>
        <v>#REF!</v>
      </c>
      <c r="H18" s="34"/>
      <c r="I18" s="35" t="s">
        <v>21</v>
      </c>
      <c r="J18" s="33"/>
      <c r="K18" s="36">
        <f>SUM(K19:K23)</f>
        <v>0</v>
      </c>
    </row>
    <row r="19" spans="2:11" ht="57.6" x14ac:dyDescent="0.3">
      <c r="B19" s="28" t="s">
        <v>117</v>
      </c>
      <c r="C19" s="29" t="s">
        <v>20</v>
      </c>
      <c r="D19" s="30" t="s">
        <v>32</v>
      </c>
      <c r="E19" s="31" t="s">
        <v>77</v>
      </c>
      <c r="F19" s="32" t="s">
        <v>78</v>
      </c>
      <c r="G19" s="33">
        <v>180</v>
      </c>
      <c r="H19" s="34">
        <f>T19</f>
        <v>0</v>
      </c>
      <c r="I19" s="35" t="s">
        <v>21</v>
      </c>
      <c r="J19" s="33">
        <f>IF($C19="S",ROUND(IF(TIPOORCAMENTO="Proposto",ORÇAMENTO.CustoUnitario*(1+$AH19),ORÇAMENTO.PrecoUnitarioLicitado),15-13*#REF!),0)</f>
        <v>0</v>
      </c>
      <c r="K19" s="36"/>
    </row>
    <row r="20" spans="2:11" ht="57.6" x14ac:dyDescent="0.3">
      <c r="B20" s="28" t="s">
        <v>118</v>
      </c>
      <c r="C20" s="29" t="s">
        <v>20</v>
      </c>
      <c r="D20" s="30" t="s">
        <v>33</v>
      </c>
      <c r="E20" s="31" t="s">
        <v>79</v>
      </c>
      <c r="F20" s="32" t="s">
        <v>78</v>
      </c>
      <c r="G20" s="33">
        <v>1020</v>
      </c>
      <c r="H20" s="34">
        <f>T20</f>
        <v>0</v>
      </c>
      <c r="I20" s="35" t="s">
        <v>21</v>
      </c>
      <c r="J20" s="33">
        <f>IF($C20="S",ROUND(IF(TIPOORCAMENTO="Proposto",ORÇAMENTO.CustoUnitario*(1+$AH20),ORÇAMENTO.PrecoUnitarioLicitado),15-13*#REF!),0)</f>
        <v>0</v>
      </c>
      <c r="K20" s="36"/>
    </row>
    <row r="21" spans="2:11" ht="28.8" x14ac:dyDescent="0.3">
      <c r="B21" s="28" t="s">
        <v>119</v>
      </c>
      <c r="C21" s="29" t="s">
        <v>20</v>
      </c>
      <c r="D21" s="30" t="s">
        <v>34</v>
      </c>
      <c r="E21" s="31" t="s">
        <v>80</v>
      </c>
      <c r="F21" s="32" t="s">
        <v>81</v>
      </c>
      <c r="G21" s="33">
        <v>0.77</v>
      </c>
      <c r="H21" s="34">
        <f>T21</f>
        <v>0</v>
      </c>
      <c r="I21" s="35" t="s">
        <v>21</v>
      </c>
      <c r="J21" s="33">
        <f>IF($C21="S",ROUND(IF(TIPOORCAMENTO="Proposto",ORÇAMENTO.CustoUnitario*(1+$AH21),ORÇAMENTO.PrecoUnitarioLicitado),15-13*#REF!),0)</f>
        <v>0</v>
      </c>
      <c r="K21" s="36"/>
    </row>
    <row r="22" spans="2:11" ht="43.2" x14ac:dyDescent="0.3">
      <c r="B22" s="28" t="s">
        <v>120</v>
      </c>
      <c r="C22" s="29" t="s">
        <v>20</v>
      </c>
      <c r="D22" s="30" t="s">
        <v>35</v>
      </c>
      <c r="E22" s="31" t="s">
        <v>82</v>
      </c>
      <c r="F22" s="32" t="s">
        <v>83</v>
      </c>
      <c r="G22" s="33">
        <v>3</v>
      </c>
      <c r="H22" s="34">
        <f>T22</f>
        <v>0</v>
      </c>
      <c r="I22" s="35" t="s">
        <v>21</v>
      </c>
      <c r="J22" s="33">
        <f>IF($C22="S",ROUND(IF(TIPOORCAMENTO="Proposto",ORÇAMENTO.CustoUnitario*(1+$AH22),ORÇAMENTO.PrecoUnitarioLicitado),15-13*#REF!),0)</f>
        <v>0</v>
      </c>
      <c r="K22" s="36"/>
    </row>
    <row r="23" spans="2:11" x14ac:dyDescent="0.3">
      <c r="B23" s="28" t="s">
        <v>121</v>
      </c>
      <c r="C23" s="29" t="s">
        <v>36</v>
      </c>
      <c r="D23" s="30" t="s">
        <v>37</v>
      </c>
      <c r="E23" s="31" t="s">
        <v>84</v>
      </c>
      <c r="F23" s="32" t="s">
        <v>85</v>
      </c>
      <c r="G23" s="33">
        <v>850.82</v>
      </c>
      <c r="H23" s="34">
        <f>T23</f>
        <v>0</v>
      </c>
      <c r="I23" s="35" t="s">
        <v>21</v>
      </c>
      <c r="J23" s="33">
        <f>IF($C23="S",ROUND(IF(TIPOORCAMENTO="Proposto",ORÇAMENTO.CustoUnitario*(1+$AH23),ORÇAMENTO.PrecoUnitarioLicitado),15-13*#REF!),0)</f>
        <v>0</v>
      </c>
      <c r="K23" s="36"/>
    </row>
    <row r="24" spans="2:11" x14ac:dyDescent="0.3">
      <c r="B24" s="28" t="s">
        <v>122</v>
      </c>
      <c r="C24" s="29"/>
      <c r="D24" s="30"/>
      <c r="E24" s="31" t="s">
        <v>38</v>
      </c>
      <c r="F24" s="32" t="s">
        <v>24</v>
      </c>
      <c r="G24" s="33" t="e">
        <f ca="1">OFFSET([1]CÁLCULO!#REF!,ROW($T24)-ROW(#REF!),0)</f>
        <v>#REF!</v>
      </c>
      <c r="H24" s="34"/>
      <c r="I24" s="35" t="s">
        <v>21</v>
      </c>
      <c r="J24" s="33"/>
      <c r="K24" s="36">
        <f>SUM(K25)</f>
        <v>0</v>
      </c>
    </row>
    <row r="25" spans="2:11" ht="72" x14ac:dyDescent="0.3">
      <c r="B25" s="28" t="s">
        <v>123</v>
      </c>
      <c r="C25" s="29" t="s">
        <v>20</v>
      </c>
      <c r="D25" s="30" t="s">
        <v>39</v>
      </c>
      <c r="E25" s="31" t="s">
        <v>86</v>
      </c>
      <c r="F25" s="32" t="s">
        <v>87</v>
      </c>
      <c r="G25" s="33">
        <v>269.38</v>
      </c>
      <c r="H25" s="34">
        <f>T25</f>
        <v>0</v>
      </c>
      <c r="I25" s="35" t="s">
        <v>21</v>
      </c>
      <c r="J25" s="33">
        <f>IF($C25="S",ROUND(IF(TIPOORCAMENTO="Proposto",ORÇAMENTO.CustoUnitario*(1+$AH25),ORÇAMENTO.PrecoUnitarioLicitado),15-13*#REF!),0)</f>
        <v>0</v>
      </c>
      <c r="K25" s="36"/>
    </row>
    <row r="26" spans="2:11" x14ac:dyDescent="0.3">
      <c r="B26" s="28" t="s">
        <v>124</v>
      </c>
      <c r="C26" s="29"/>
      <c r="D26" s="30"/>
      <c r="E26" s="31" t="s">
        <v>40</v>
      </c>
      <c r="F26" s="32" t="s">
        <v>24</v>
      </c>
      <c r="G26" s="33" t="e">
        <f ca="1">OFFSET([1]CÁLCULO!#REF!,ROW($T26)-ROW(#REF!),0)</f>
        <v>#REF!</v>
      </c>
      <c r="H26" s="34"/>
      <c r="I26" s="35" t="s">
        <v>21</v>
      </c>
      <c r="J26" s="33"/>
      <c r="K26" s="36">
        <f>SUM(K27:K31)</f>
        <v>0</v>
      </c>
    </row>
    <row r="27" spans="2:11" ht="43.2" x14ac:dyDescent="0.3">
      <c r="B27" s="28" t="s">
        <v>125</v>
      </c>
      <c r="C27" s="29" t="s">
        <v>20</v>
      </c>
      <c r="D27" s="30" t="s">
        <v>41</v>
      </c>
      <c r="E27" s="31" t="s">
        <v>88</v>
      </c>
      <c r="F27" s="32" t="s">
        <v>89</v>
      </c>
      <c r="G27" s="33">
        <v>713.74</v>
      </c>
      <c r="H27" s="34">
        <f t="shared" ref="H27:H31" si="0">T27</f>
        <v>0</v>
      </c>
      <c r="I27" s="35" t="s">
        <v>21</v>
      </c>
      <c r="J27" s="33">
        <f>IF($C27="S",ROUND(IF(TIPOORCAMENTO="Proposto",ORÇAMENTO.CustoUnitario*(1+$AH27),ORÇAMENTO.PrecoUnitarioLicitado),15-13*#REF!),0)</f>
        <v>0</v>
      </c>
      <c r="K27" s="36"/>
    </row>
    <row r="28" spans="2:11" ht="43.2" x14ac:dyDescent="0.3">
      <c r="B28" s="28" t="s">
        <v>126</v>
      </c>
      <c r="C28" s="29" t="s">
        <v>20</v>
      </c>
      <c r="D28" s="30" t="s">
        <v>42</v>
      </c>
      <c r="E28" s="31" t="s">
        <v>90</v>
      </c>
      <c r="F28" s="32" t="s">
        <v>83</v>
      </c>
      <c r="G28" s="33">
        <v>28</v>
      </c>
      <c r="H28" s="34">
        <f t="shared" si="0"/>
        <v>0</v>
      </c>
      <c r="I28" s="35" t="s">
        <v>21</v>
      </c>
      <c r="J28" s="33">
        <f>IF($C28="S",ROUND(IF(TIPOORCAMENTO="Proposto",ORÇAMENTO.CustoUnitario*(1+$AH28),ORÇAMENTO.PrecoUnitarioLicitado),15-13*#REF!),0)</f>
        <v>0</v>
      </c>
      <c r="K28" s="36"/>
    </row>
    <row r="29" spans="2:11" ht="72" x14ac:dyDescent="0.3">
      <c r="B29" s="28" t="s">
        <v>127</v>
      </c>
      <c r="C29" s="29" t="s">
        <v>20</v>
      </c>
      <c r="D29" s="30" t="s">
        <v>43</v>
      </c>
      <c r="E29" s="31" t="s">
        <v>91</v>
      </c>
      <c r="F29" s="32" t="s">
        <v>81</v>
      </c>
      <c r="G29" s="33">
        <v>219.16</v>
      </c>
      <c r="H29" s="34">
        <f t="shared" si="0"/>
        <v>0</v>
      </c>
      <c r="I29" s="35" t="s">
        <v>21</v>
      </c>
      <c r="J29" s="33">
        <f>IF($C29="S",ROUND(IF(TIPOORCAMENTO="Proposto",ORÇAMENTO.CustoUnitario*(1+$AH29),ORÇAMENTO.PrecoUnitarioLicitado),15-13*#REF!),0)</f>
        <v>0</v>
      </c>
      <c r="K29" s="36"/>
    </row>
    <row r="30" spans="2:11" ht="43.2" x14ac:dyDescent="0.3">
      <c r="B30" s="28" t="s">
        <v>128</v>
      </c>
      <c r="C30" s="29" t="s">
        <v>20</v>
      </c>
      <c r="D30" s="30" t="s">
        <v>44</v>
      </c>
      <c r="E30" s="31" t="s">
        <v>92</v>
      </c>
      <c r="F30" s="32" t="s">
        <v>81</v>
      </c>
      <c r="G30" s="33">
        <v>11.21</v>
      </c>
      <c r="H30" s="34">
        <f t="shared" si="0"/>
        <v>0</v>
      </c>
      <c r="I30" s="35" t="s">
        <v>21</v>
      </c>
      <c r="J30" s="33">
        <f>IF($C30="S",ROUND(IF(TIPOORCAMENTO="Proposto",ORÇAMENTO.CustoUnitario*(1+$AH30),ORÇAMENTO.PrecoUnitarioLicitado),15-13*#REF!),0)</f>
        <v>0</v>
      </c>
      <c r="K30" s="36"/>
    </row>
    <row r="31" spans="2:11" ht="28.8" x14ac:dyDescent="0.3">
      <c r="B31" s="28" t="s">
        <v>129</v>
      </c>
      <c r="C31" s="29" t="s">
        <v>20</v>
      </c>
      <c r="D31" s="30" t="s">
        <v>45</v>
      </c>
      <c r="E31" s="31" t="s">
        <v>93</v>
      </c>
      <c r="F31" s="32" t="s">
        <v>81</v>
      </c>
      <c r="G31" s="33">
        <v>208.52</v>
      </c>
      <c r="H31" s="34">
        <f t="shared" si="0"/>
        <v>0</v>
      </c>
      <c r="I31" s="35" t="s">
        <v>21</v>
      </c>
      <c r="J31" s="33">
        <f>IF($C31="S",ROUND(IF(TIPOORCAMENTO="Proposto",ORÇAMENTO.CustoUnitario*(1+$AH31),ORÇAMENTO.PrecoUnitarioLicitado),15-13*#REF!),0)</f>
        <v>0</v>
      </c>
      <c r="K31" s="36"/>
    </row>
    <row r="32" spans="2:11" x14ac:dyDescent="0.3">
      <c r="B32" s="28" t="s">
        <v>130</v>
      </c>
      <c r="C32" s="29"/>
      <c r="D32" s="30"/>
      <c r="E32" s="31" t="s">
        <v>46</v>
      </c>
      <c r="F32" s="32" t="s">
        <v>24</v>
      </c>
      <c r="G32" s="33" t="e">
        <f ca="1">OFFSET([1]CÁLCULO!#REF!,ROW($T32)-ROW(#REF!),0)</f>
        <v>#REF!</v>
      </c>
      <c r="H32" s="34"/>
      <c r="I32" s="35" t="s">
        <v>21</v>
      </c>
      <c r="J32" s="33"/>
      <c r="K32" s="36">
        <f>SUM(K33:K40)</f>
        <v>0</v>
      </c>
    </row>
    <row r="33" spans="2:11" ht="28.8" x14ac:dyDescent="0.3">
      <c r="B33" s="28" t="s">
        <v>131</v>
      </c>
      <c r="C33" s="29" t="s">
        <v>20</v>
      </c>
      <c r="D33" s="30" t="s">
        <v>47</v>
      </c>
      <c r="E33" s="31" t="s">
        <v>94</v>
      </c>
      <c r="F33" s="32" t="s">
        <v>81</v>
      </c>
      <c r="G33" s="33">
        <v>42.54</v>
      </c>
      <c r="H33" s="34">
        <f t="shared" ref="H33:H40" si="1">T33</f>
        <v>0</v>
      </c>
      <c r="I33" s="35" t="s">
        <v>21</v>
      </c>
      <c r="J33" s="33">
        <f>IF($C33="S",ROUND(IF(TIPOORCAMENTO="Proposto",ORÇAMENTO.CustoUnitario*(1+$AH33),ORÇAMENTO.PrecoUnitarioLicitado),15-13*#REF!),0)</f>
        <v>0</v>
      </c>
      <c r="K33" s="36"/>
    </row>
    <row r="34" spans="2:11" ht="28.8" x14ac:dyDescent="0.3">
      <c r="B34" s="28" t="s">
        <v>132</v>
      </c>
      <c r="C34" s="29" t="s">
        <v>20</v>
      </c>
      <c r="D34" s="30" t="s">
        <v>48</v>
      </c>
      <c r="E34" s="31" t="s">
        <v>95</v>
      </c>
      <c r="F34" s="32" t="s">
        <v>87</v>
      </c>
      <c r="G34" s="33">
        <v>850.82</v>
      </c>
      <c r="H34" s="34">
        <f t="shared" si="1"/>
        <v>0</v>
      </c>
      <c r="I34" s="35" t="s">
        <v>21</v>
      </c>
      <c r="J34" s="33">
        <f>IF($C34="S",ROUND(IF(TIPOORCAMENTO="Proposto",ORÇAMENTO.CustoUnitario*(1+$AH34),ORÇAMENTO.PrecoUnitarioLicitado),15-13*#REF!),0)</f>
        <v>0</v>
      </c>
      <c r="K34" s="36"/>
    </row>
    <row r="35" spans="2:11" ht="43.2" x14ac:dyDescent="0.3">
      <c r="B35" s="28" t="s">
        <v>133</v>
      </c>
      <c r="C35" s="29" t="s">
        <v>20</v>
      </c>
      <c r="D35" s="30" t="s">
        <v>49</v>
      </c>
      <c r="E35" s="31" t="s">
        <v>96</v>
      </c>
      <c r="F35" s="32" t="s">
        <v>81</v>
      </c>
      <c r="G35" s="33">
        <v>31.22</v>
      </c>
      <c r="H35" s="34">
        <f t="shared" si="1"/>
        <v>0</v>
      </c>
      <c r="I35" s="35" t="s">
        <v>21</v>
      </c>
      <c r="J35" s="33">
        <f>IF($C35="S",ROUND(IF(TIPOORCAMENTO="Proposto",ORÇAMENTO.CustoUnitario*(1+$AH35),ORÇAMENTO.PrecoUnitarioLicitado),15-13*#REF!),0)</f>
        <v>0</v>
      </c>
      <c r="K35" s="36"/>
    </row>
    <row r="36" spans="2:11" ht="57.6" x14ac:dyDescent="0.3">
      <c r="B36" s="28" t="s">
        <v>134</v>
      </c>
      <c r="C36" s="29" t="s">
        <v>20</v>
      </c>
      <c r="D36" s="30" t="s">
        <v>50</v>
      </c>
      <c r="E36" s="31" t="s">
        <v>97</v>
      </c>
      <c r="F36" s="32" t="s">
        <v>87</v>
      </c>
      <c r="G36" s="33">
        <v>330.26</v>
      </c>
      <c r="H36" s="34">
        <f t="shared" si="1"/>
        <v>0</v>
      </c>
      <c r="I36" s="35" t="s">
        <v>21</v>
      </c>
      <c r="J36" s="33">
        <f>IF($C36="S",ROUND(IF(TIPOORCAMENTO="Proposto",ORÇAMENTO.CustoUnitario*(1+$AH36),ORÇAMENTO.PrecoUnitarioLicitado),15-13*#REF!),0)</f>
        <v>0</v>
      </c>
      <c r="K36" s="36"/>
    </row>
    <row r="37" spans="2:11" ht="28.8" x14ac:dyDescent="0.3">
      <c r="B37" s="28" t="s">
        <v>135</v>
      </c>
      <c r="C37" s="29" t="s">
        <v>20</v>
      </c>
      <c r="D37" s="30" t="s">
        <v>51</v>
      </c>
      <c r="E37" s="31" t="s">
        <v>98</v>
      </c>
      <c r="F37" s="32" t="s">
        <v>87</v>
      </c>
      <c r="G37" s="33">
        <v>135.26</v>
      </c>
      <c r="H37" s="34">
        <f t="shared" si="1"/>
        <v>0</v>
      </c>
      <c r="I37" s="35" t="s">
        <v>21</v>
      </c>
      <c r="J37" s="33">
        <f>IF($C37="S",ROUND(IF(TIPOORCAMENTO="Proposto",ORÇAMENTO.CustoUnitario*(1+$AH37),ORÇAMENTO.PrecoUnitarioLicitado),15-13*#REF!),0)</f>
        <v>0</v>
      </c>
      <c r="K37" s="36"/>
    </row>
    <row r="38" spans="2:11" ht="43.2" x14ac:dyDescent="0.3">
      <c r="B38" s="28" t="s">
        <v>136</v>
      </c>
      <c r="C38" s="29" t="s">
        <v>20</v>
      </c>
      <c r="D38" s="30" t="s">
        <v>52</v>
      </c>
      <c r="E38" s="31" t="s">
        <v>99</v>
      </c>
      <c r="F38" s="32" t="s">
        <v>83</v>
      </c>
      <c r="G38" s="33">
        <v>9</v>
      </c>
      <c r="H38" s="34">
        <f t="shared" si="1"/>
        <v>0</v>
      </c>
      <c r="I38" s="35" t="s">
        <v>21</v>
      </c>
      <c r="J38" s="33">
        <f>IF($C38="S",ROUND(IF(TIPOORCAMENTO="Proposto",ORÇAMENTO.CustoUnitario*(1+$AH38),ORÇAMENTO.PrecoUnitarioLicitado),15-13*#REF!),0)</f>
        <v>0</v>
      </c>
      <c r="K38" s="36"/>
    </row>
    <row r="39" spans="2:11" ht="43.2" x14ac:dyDescent="0.3">
      <c r="B39" s="28" t="s">
        <v>137</v>
      </c>
      <c r="C39" s="29" t="s">
        <v>20</v>
      </c>
      <c r="D39" s="30" t="s">
        <v>53</v>
      </c>
      <c r="E39" s="31" t="s">
        <v>100</v>
      </c>
      <c r="F39" s="32" t="s">
        <v>83</v>
      </c>
      <c r="G39" s="33">
        <v>1</v>
      </c>
      <c r="H39" s="34">
        <f t="shared" si="1"/>
        <v>0</v>
      </c>
      <c r="I39" s="35" t="s">
        <v>21</v>
      </c>
      <c r="J39" s="33">
        <f>IF($C39="S",ROUND(IF(TIPOORCAMENTO="Proposto",ORÇAMENTO.CustoUnitario*(1+$AH39),ORÇAMENTO.PrecoUnitarioLicitado),15-13*#REF!),0)</f>
        <v>0</v>
      </c>
      <c r="K39" s="36"/>
    </row>
    <row r="40" spans="2:11" ht="43.2" x14ac:dyDescent="0.3">
      <c r="B40" s="28" t="s">
        <v>138</v>
      </c>
      <c r="C40" s="29" t="s">
        <v>20</v>
      </c>
      <c r="D40" s="30" t="s">
        <v>54</v>
      </c>
      <c r="E40" s="31" t="s">
        <v>101</v>
      </c>
      <c r="F40" s="32" t="s">
        <v>81</v>
      </c>
      <c r="G40" s="33">
        <v>0.52</v>
      </c>
      <c r="H40" s="34">
        <f t="shared" si="1"/>
        <v>0</v>
      </c>
      <c r="I40" s="35" t="s">
        <v>21</v>
      </c>
      <c r="J40" s="33">
        <f>IF($C40="S",ROUND(IF(TIPOORCAMENTO="Proposto",ORÇAMENTO.CustoUnitario*(1+$AH40),ORÇAMENTO.PrecoUnitarioLicitado),15-13*#REF!),0)</f>
        <v>0</v>
      </c>
      <c r="K40" s="36"/>
    </row>
    <row r="41" spans="2:11" x14ac:dyDescent="0.3">
      <c r="B41" s="28" t="s">
        <v>139</v>
      </c>
      <c r="C41" s="29"/>
      <c r="D41" s="30"/>
      <c r="E41" s="31" t="s">
        <v>55</v>
      </c>
      <c r="F41" s="32" t="s">
        <v>24</v>
      </c>
      <c r="G41" s="33"/>
      <c r="H41" s="34"/>
      <c r="I41" s="35"/>
      <c r="J41" s="33"/>
      <c r="K41" s="36">
        <f>SUM(K42:K47)</f>
        <v>0</v>
      </c>
    </row>
    <row r="42" spans="2:11" ht="28.8" x14ac:dyDescent="0.3">
      <c r="B42" s="28" t="s">
        <v>140</v>
      </c>
      <c r="C42" s="29" t="s">
        <v>28</v>
      </c>
      <c r="D42" s="30" t="s">
        <v>56</v>
      </c>
      <c r="E42" s="31" t="s">
        <v>102</v>
      </c>
      <c r="F42" s="32" t="s">
        <v>85</v>
      </c>
      <c r="G42" s="33">
        <v>2157.6</v>
      </c>
      <c r="H42" s="34">
        <f t="shared" ref="H42:H47" si="2">T42</f>
        <v>0</v>
      </c>
      <c r="I42" s="35" t="s">
        <v>21</v>
      </c>
      <c r="J42" s="33">
        <f>IF($C42="S",ROUND(IF(TIPOORCAMENTO="Proposto",ORÇAMENTO.CustoUnitario*(1+$AH42),ORÇAMENTO.PrecoUnitarioLicitado),15-13*#REF!),0)</f>
        <v>0</v>
      </c>
      <c r="K42" s="36"/>
    </row>
    <row r="43" spans="2:11" x14ac:dyDescent="0.3">
      <c r="B43" s="28" t="s">
        <v>141</v>
      </c>
      <c r="C43" s="29" t="s">
        <v>20</v>
      </c>
      <c r="D43" s="30" t="s">
        <v>57</v>
      </c>
      <c r="E43" s="31" t="s">
        <v>103</v>
      </c>
      <c r="F43" s="32" t="s">
        <v>87</v>
      </c>
      <c r="G43" s="33">
        <v>1209.6099999999999</v>
      </c>
      <c r="H43" s="34">
        <f t="shared" si="2"/>
        <v>0</v>
      </c>
      <c r="I43" s="35" t="s">
        <v>21</v>
      </c>
      <c r="J43" s="33">
        <f>IF($C43="S",ROUND(IF(TIPOORCAMENTO="Proposto",ORÇAMENTO.CustoUnitario*(1+$AH43),ORÇAMENTO.PrecoUnitarioLicitado),15-13*#REF!),0)</f>
        <v>0</v>
      </c>
      <c r="K43" s="36"/>
    </row>
    <row r="44" spans="2:11" ht="43.2" x14ac:dyDescent="0.3">
      <c r="B44" s="28" t="s">
        <v>142</v>
      </c>
      <c r="C44" s="29" t="s">
        <v>20</v>
      </c>
      <c r="D44" s="30" t="s">
        <v>58</v>
      </c>
      <c r="E44" s="31" t="s">
        <v>104</v>
      </c>
      <c r="F44" s="32" t="s">
        <v>81</v>
      </c>
      <c r="G44" s="33">
        <v>28.44</v>
      </c>
      <c r="H44" s="34">
        <f t="shared" si="2"/>
        <v>0</v>
      </c>
      <c r="I44" s="35" t="s">
        <v>21</v>
      </c>
      <c r="J44" s="33">
        <f>IF($C44="S",ROUND(IF(TIPOORCAMENTO="Proposto",ORÇAMENTO.CustoUnitario*(1+$AH44),ORÇAMENTO.PrecoUnitarioLicitado),15-13*#REF!),0)</f>
        <v>0</v>
      </c>
      <c r="K44" s="36"/>
    </row>
    <row r="45" spans="2:11" ht="43.2" x14ac:dyDescent="0.3">
      <c r="B45" s="28" t="s">
        <v>143</v>
      </c>
      <c r="C45" s="29" t="s">
        <v>20</v>
      </c>
      <c r="D45" s="30" t="s">
        <v>59</v>
      </c>
      <c r="E45" s="31" t="s">
        <v>105</v>
      </c>
      <c r="F45" s="32" t="s">
        <v>106</v>
      </c>
      <c r="G45" s="33">
        <v>853.19</v>
      </c>
      <c r="H45" s="34">
        <f t="shared" si="2"/>
        <v>0</v>
      </c>
      <c r="I45" s="35" t="s">
        <v>21</v>
      </c>
      <c r="J45" s="33">
        <f>IF($C45="S",ROUND(IF(TIPOORCAMENTO="Proposto",ORÇAMENTO.CustoUnitario*(1+$AH45),ORÇAMENTO.PrecoUnitarioLicitado),15-13*#REF!),0)</f>
        <v>0</v>
      </c>
      <c r="K45" s="36"/>
    </row>
    <row r="46" spans="2:11" x14ac:dyDescent="0.3">
      <c r="B46" s="28" t="s">
        <v>144</v>
      </c>
      <c r="C46" s="29" t="s">
        <v>28</v>
      </c>
      <c r="D46" s="30" t="s">
        <v>60</v>
      </c>
      <c r="E46" s="31" t="s">
        <v>107</v>
      </c>
      <c r="F46" s="32" t="s">
        <v>87</v>
      </c>
      <c r="G46" s="33">
        <v>850.82</v>
      </c>
      <c r="H46" s="34">
        <f t="shared" si="2"/>
        <v>0</v>
      </c>
      <c r="I46" s="35" t="s">
        <v>21</v>
      </c>
      <c r="J46" s="33">
        <f>IF($C46="S",ROUND(IF(TIPOORCAMENTO="Proposto",ORÇAMENTO.CustoUnitario*(1+$AH46),ORÇAMENTO.PrecoUnitarioLicitado),15-13*#REF!),0)</f>
        <v>0</v>
      </c>
      <c r="K46" s="36"/>
    </row>
    <row r="47" spans="2:11" x14ac:dyDescent="0.3">
      <c r="B47" s="28" t="s">
        <v>145</v>
      </c>
      <c r="C47" s="29" t="s">
        <v>28</v>
      </c>
      <c r="D47" s="30" t="s">
        <v>61</v>
      </c>
      <c r="E47" s="31" t="s">
        <v>108</v>
      </c>
      <c r="F47" s="32" t="s">
        <v>83</v>
      </c>
      <c r="G47" s="33">
        <v>1</v>
      </c>
      <c r="H47" s="34">
        <f t="shared" si="2"/>
        <v>0</v>
      </c>
      <c r="I47" s="35" t="s">
        <v>21</v>
      </c>
      <c r="J47" s="33">
        <f>IF($C47="S",ROUND(IF(TIPOORCAMENTO="Proposto",ORÇAMENTO.CustoUnitario*(1+$AH47),ORÇAMENTO.PrecoUnitarioLicitado),15-13*#REF!),0)</f>
        <v>0</v>
      </c>
      <c r="K47" s="36"/>
    </row>
    <row r="48" spans="2:11" x14ac:dyDescent="0.3">
      <c r="B48" s="44"/>
      <c r="C48" s="46"/>
      <c r="D48" s="46"/>
      <c r="E48" s="46"/>
      <c r="F48" s="46"/>
      <c r="G48" s="46"/>
      <c r="H48" s="46"/>
      <c r="I48" s="46"/>
      <c r="J48" s="46"/>
      <c r="K48" s="45"/>
    </row>
    <row r="51" spans="2:11" x14ac:dyDescent="0.3">
      <c r="B51" s="47" t="s">
        <v>62</v>
      </c>
      <c r="D51" s="48" t="s">
        <v>63</v>
      </c>
      <c r="E51" s="48"/>
      <c r="F51" s="48"/>
      <c r="G51" s="48"/>
      <c r="H51" s="48"/>
      <c r="I51" s="48"/>
      <c r="J51" s="48"/>
      <c r="K51" s="48"/>
    </row>
    <row r="53" spans="2:11" x14ac:dyDescent="0.3">
      <c r="B53" s="49" t="s">
        <v>64</v>
      </c>
      <c r="K53" s="50"/>
    </row>
    <row r="54" spans="2:11" x14ac:dyDescent="0.3">
      <c r="B54" s="51"/>
      <c r="C54" s="51"/>
      <c r="D54" s="51"/>
      <c r="E54" s="51"/>
      <c r="F54" s="51"/>
      <c r="G54" s="51"/>
      <c r="H54" s="51"/>
      <c r="I54" s="51"/>
      <c r="J54" s="51"/>
      <c r="K54" s="51"/>
    </row>
    <row r="55" spans="2:11" x14ac:dyDescent="0.3">
      <c r="B55" s="51"/>
      <c r="C55" s="51"/>
      <c r="D55" s="51"/>
      <c r="E55" s="51"/>
      <c r="F55" s="51"/>
      <c r="G55" s="51"/>
      <c r="H55" s="51"/>
      <c r="I55" s="51"/>
      <c r="J55" s="51"/>
      <c r="K55" s="51"/>
    </row>
    <row r="56" spans="2:11" x14ac:dyDescent="0.3"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2:1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</row>
    <row r="58" spans="2:11" x14ac:dyDescent="0.3">
      <c r="B58" s="53" t="s">
        <v>146</v>
      </c>
      <c r="C58" s="53"/>
      <c r="D58" s="53"/>
      <c r="E58" s="53"/>
      <c r="F58" s="53"/>
      <c r="G58" s="53"/>
      <c r="H58" s="53"/>
      <c r="I58" s="53"/>
      <c r="J58" s="53"/>
      <c r="K58" s="53"/>
    </row>
    <row r="59" spans="2:11" x14ac:dyDescent="0.3">
      <c r="B59" s="54" t="s">
        <v>65</v>
      </c>
      <c r="C59" s="54"/>
      <c r="D59" s="54"/>
      <c r="E59" s="54"/>
      <c r="F59" s="54"/>
      <c r="G59" s="54"/>
      <c r="H59" s="54"/>
      <c r="I59" s="54"/>
      <c r="J59" s="54"/>
      <c r="K59" s="54"/>
    </row>
    <row r="61" spans="2:11" x14ac:dyDescent="0.3">
      <c r="B61" s="55" t="str">
        <f>Import.Município</f>
        <v>Canoas/RS</v>
      </c>
      <c r="C61" s="55"/>
      <c r="D61" s="55"/>
      <c r="F61" s="56"/>
      <c r="G61" s="56"/>
      <c r="H61" s="56"/>
      <c r="I61" s="56"/>
      <c r="J61" s="57"/>
    </row>
    <row r="62" spans="2:11" x14ac:dyDescent="0.3">
      <c r="B62" s="58" t="s">
        <v>66</v>
      </c>
      <c r="F62" s="59" t="s">
        <v>67</v>
      </c>
      <c r="G62" s="59"/>
      <c r="H62" s="59"/>
      <c r="I62" s="59"/>
    </row>
    <row r="63" spans="2:11" x14ac:dyDescent="0.3">
      <c r="F63" s="60" t="s">
        <v>68</v>
      </c>
      <c r="G63" s="61"/>
      <c r="I63" s="62"/>
    </row>
    <row r="64" spans="2:11" x14ac:dyDescent="0.3">
      <c r="B64" s="63"/>
      <c r="C64" s="63"/>
      <c r="D64" s="63"/>
      <c r="F64" s="60" t="s">
        <v>69</v>
      </c>
      <c r="G64" s="61"/>
      <c r="H64" s="62"/>
      <c r="I64" s="62"/>
    </row>
    <row r="65" spans="2:9" x14ac:dyDescent="0.3">
      <c r="B65" s="64" t="s">
        <v>70</v>
      </c>
      <c r="C65" s="65"/>
      <c r="D65" s="65"/>
      <c r="F65" s="60" t="s">
        <v>71</v>
      </c>
      <c r="G65" s="61"/>
      <c r="H65" s="62"/>
      <c r="I65" s="62"/>
    </row>
  </sheetData>
  <mergeCells count="15">
    <mergeCell ref="B59:K59"/>
    <mergeCell ref="B61:D61"/>
    <mergeCell ref="B64:D64"/>
    <mergeCell ref="B9:C9"/>
    <mergeCell ref="F9:H9"/>
    <mergeCell ref="B12:E12"/>
    <mergeCell ref="D51:K51"/>
    <mergeCell ref="B54:K56"/>
    <mergeCell ref="B58:K58"/>
    <mergeCell ref="B5:C5"/>
    <mergeCell ref="F5:K5"/>
    <mergeCell ref="B6:C6"/>
    <mergeCell ref="F6:K6"/>
    <mergeCell ref="B8:C8"/>
    <mergeCell ref="F8:H8"/>
  </mergeCells>
  <conditionalFormatting sqref="K25:K29 K19:K23 B13:B47 E13:E47 J13:J47">
    <cfRule type="expression" dxfId="38" priority="31" stopIfTrue="1">
      <formula>$C13=1</formula>
    </cfRule>
    <cfRule type="expression" dxfId="37" priority="32" stopIfTrue="1">
      <formula>OR($C13=0,$C13=2,$C13=3,$C13=4)</formula>
    </cfRule>
  </conditionalFormatting>
  <conditionalFormatting sqref="H13:I47">
    <cfRule type="expression" dxfId="36" priority="33" stopIfTrue="1">
      <formula>$C13=1</formula>
    </cfRule>
    <cfRule type="expression" dxfId="35" priority="34" stopIfTrue="1">
      <formula>OR($C13=0,$C13=2,$C13=3,$C13=4)</formula>
    </cfRule>
    <cfRule type="expression" dxfId="34" priority="35" stopIfTrue="1">
      <formula>AND(TIPOORCAMENTO="Licitado",$C13&lt;&gt;"L",$C13&lt;&gt;-1)</formula>
    </cfRule>
  </conditionalFormatting>
  <conditionalFormatting sqref="C13:D47 F13:G47">
    <cfRule type="expression" dxfId="33" priority="36" stopIfTrue="1">
      <formula>$C13=1</formula>
    </cfRule>
    <cfRule type="expression" dxfId="32" priority="37" stopIfTrue="1">
      <formula>OR($C13=0,$C13=2,$C13=3,$C13=4)</formula>
    </cfRule>
  </conditionalFormatting>
  <conditionalFormatting sqref="B9:C9">
    <cfRule type="expression" dxfId="31" priority="38" stopIfTrue="1">
      <formula>ISERROR(INDIRECT($F$9))</formula>
    </cfRule>
  </conditionalFormatting>
  <conditionalFormatting sqref="F8:I9">
    <cfRule type="expression" dxfId="30" priority="39" stopIfTrue="1">
      <formula>TIPOORCAMENTO="Proposto"</formula>
    </cfRule>
  </conditionalFormatting>
  <conditionalFormatting sqref="E13:E47">
    <cfRule type="beginsWith" dxfId="28" priority="29" operator="beginsWith" text="(">
      <formula>LEFT(E13,LEN("("))="("</formula>
    </cfRule>
  </conditionalFormatting>
  <conditionalFormatting sqref="K33">
    <cfRule type="expression" dxfId="25" priority="25" stopIfTrue="1">
      <formula>$C33=1</formula>
    </cfRule>
    <cfRule type="expression" dxfId="24" priority="26" stopIfTrue="1">
      <formula>OR($C33=0,$C33=2,$C33=3,$C33=4)</formula>
    </cfRule>
  </conditionalFormatting>
  <conditionalFormatting sqref="K31">
    <cfRule type="expression" dxfId="23" priority="23" stopIfTrue="1">
      <formula>$C31=1</formula>
    </cfRule>
    <cfRule type="expression" dxfId="22" priority="24" stopIfTrue="1">
      <formula>OR($C31=0,$C31=2,$C31=3,$C31=4)</formula>
    </cfRule>
  </conditionalFormatting>
  <conditionalFormatting sqref="K32">
    <cfRule type="expression" dxfId="21" priority="21" stopIfTrue="1">
      <formula>$C32=1</formula>
    </cfRule>
    <cfRule type="expression" dxfId="20" priority="22" stopIfTrue="1">
      <formula>OR($C32=0,$C32=2,$C32=3,$C32=4)</formula>
    </cfRule>
  </conditionalFormatting>
  <conditionalFormatting sqref="K30">
    <cfRule type="expression" dxfId="19" priority="19" stopIfTrue="1">
      <formula>$C30=1</formula>
    </cfRule>
    <cfRule type="expression" dxfId="18" priority="20" stopIfTrue="1">
      <formula>OR($C30=0,$C30=2,$C30=3,$C30=4)</formula>
    </cfRule>
  </conditionalFormatting>
  <conditionalFormatting sqref="K34:K41 K43">
    <cfRule type="expression" dxfId="17" priority="17" stopIfTrue="1">
      <formula>$C34=1</formula>
    </cfRule>
    <cfRule type="expression" dxfId="16" priority="18" stopIfTrue="1">
      <formula>OR($C34=0,$C34=2,$C34=3,$C34=4)</formula>
    </cfRule>
  </conditionalFormatting>
  <conditionalFormatting sqref="K46">
    <cfRule type="expression" dxfId="15" priority="15" stopIfTrue="1">
      <formula>$C46=1</formula>
    </cfRule>
    <cfRule type="expression" dxfId="14" priority="16" stopIfTrue="1">
      <formula>OR($C46=0,$C46=2,$C46=3,$C46=4)</formula>
    </cfRule>
  </conditionalFormatting>
  <conditionalFormatting sqref="K47">
    <cfRule type="expression" dxfId="13" priority="13" stopIfTrue="1">
      <formula>$C47=1</formula>
    </cfRule>
    <cfRule type="expression" dxfId="12" priority="14" stopIfTrue="1">
      <formula>OR($C47=0,$C47=2,$C47=3,$C47=4)</formula>
    </cfRule>
  </conditionalFormatting>
  <conditionalFormatting sqref="K24">
    <cfRule type="expression" dxfId="11" priority="11" stopIfTrue="1">
      <formula>$C24=1</formula>
    </cfRule>
    <cfRule type="expression" dxfId="10" priority="12" stopIfTrue="1">
      <formula>OR($C24=0,$C24=2,$C24=3,$C24=4)</formula>
    </cfRule>
  </conditionalFormatting>
  <conditionalFormatting sqref="K13">
    <cfRule type="expression" dxfId="9" priority="9" stopIfTrue="1">
      <formula>$C13=1</formula>
    </cfRule>
    <cfRule type="expression" dxfId="8" priority="10" stopIfTrue="1">
      <formula>OR($C13=0,$C13=2,$C13=3,$C13=4)</formula>
    </cfRule>
  </conditionalFormatting>
  <conditionalFormatting sqref="K14:K17">
    <cfRule type="expression" dxfId="7" priority="7" stopIfTrue="1">
      <formula>$C14=1</formula>
    </cfRule>
    <cfRule type="expression" dxfId="6" priority="8" stopIfTrue="1">
      <formula>OR($C14=0,$C14=2,$C14=3,$C14=4)</formula>
    </cfRule>
  </conditionalFormatting>
  <conditionalFormatting sqref="K18">
    <cfRule type="expression" dxfId="5" priority="5" stopIfTrue="1">
      <formula>$C18=1</formula>
    </cfRule>
    <cfRule type="expression" dxfId="4" priority="6" stopIfTrue="1">
      <formula>OR($C18=0,$C18=2,$C18=3,$C18=4)</formula>
    </cfRule>
  </conditionalFormatting>
  <conditionalFormatting sqref="K44:K45">
    <cfRule type="expression" dxfId="3" priority="3" stopIfTrue="1">
      <formula>$C44=1</formula>
    </cfRule>
    <cfRule type="expression" dxfId="2" priority="4" stopIfTrue="1">
      <formula>OR($C44=0,$C44=2,$C44=3,$C44=4)</formula>
    </cfRule>
  </conditionalFormatting>
  <conditionalFormatting sqref="K42">
    <cfRule type="expression" dxfId="1" priority="1" stopIfTrue="1">
      <formula>$C42=1</formula>
    </cfRule>
    <cfRule type="expression" dxfId="0" priority="2" stopIfTrue="1">
      <formula>OR($C42=0,$C42=2,$C42=3,$C42=4)</formula>
    </cfRule>
  </conditionalFormatting>
  <dataValidations disablePrompts="1" count="6"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C13:C47" xr:uid="{28EB1EBA-5F99-452E-9898-AC817147017A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I13:I47" xr:uid="{79ECE485-AD15-40F2-852B-DACF43F9EF31}">
      <formula1>ORÇAMENTO.Lista.BDI</formula1>
    </dataValidation>
    <dataValidation type="list" errorStyle="information" allowBlank="1" showInputMessage="1" prompt="Selecione uma sigla de unidade na lista suspensa." sqref="F13:F47" xr:uid="{1D691461-46C6-4B16-92AF-438D585A0F08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J13:J47" xr:uid="{034A6A46-BA58-43EF-BDC1-3E9E5E6F48AB}"/>
    <dataValidation allowBlank="1" showInputMessage="1" showErrorMessage="1" prompt="A entrada de quantidades é feita na coluna AJ se acompanhamento por BM, ou na aba &quot;Memória de Cálculo/PLQ&quot; se acompanhamento por PLE." sqref="G13:G47" xr:uid="{A677710E-CAAC-4134-888E-932809E7EB2C}"/>
    <dataValidation type="decimal" operator="greaterThan" allowBlank="1" showErrorMessage="1" error="Apenas números decimais maiores que zero." sqref="H13:H47" xr:uid="{9F042B11-224B-4CE2-A8EE-B57EF000879F}">
      <formula1>0</formula1>
      <formula2>0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Planilha2</vt:lpstr>
      <vt:lpstr>Planilha3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Luis abitante</dc:creator>
  <cp:lastModifiedBy>Andre Luis abitante</cp:lastModifiedBy>
  <dcterms:created xsi:type="dcterms:W3CDTF">2026-09-17T16:28:49Z</dcterms:created>
  <dcterms:modified xsi:type="dcterms:W3CDTF">2026-09-17T17:12:26Z</dcterms:modified>
</cp:coreProperties>
</file>