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5.xml" ContentType="application/vnd.openxmlformats-officedocument.spreadsheetml.comments+xml"/>
  <Override PartName="/xl/styles.xml" ContentType="application/vnd.openxmlformats-officedocument.spreadsheetml.styles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comments5.xml" ContentType="application/vnd.openxmlformats-officedocument.spreadsheetml.comments+xml"/>
  <Override PartName="/xl/comments11.xml" ContentType="application/vnd.openxmlformats-officedocument.spreadsheetml.comments+xml"/>
  <Override PartName="/xl/comments16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ORGÂNICOS" sheetId="1" state="visible" r:id="rId3"/>
    <sheet name="RECICLÁVEIS" sheetId="2" state="visible" r:id="rId4"/>
    <sheet name="LOTE" sheetId="3" state="visible" r:id="rId5"/>
    <sheet name="SERIE HISTORICA" sheetId="4" state="visible" r:id="rId6"/>
    <sheet name="VALORES BASE" sheetId="5" state="visible" r:id="rId7"/>
    <sheet name="CAMINHOES FIPE" sheetId="6" state="visible" r:id="rId8"/>
    <sheet name="Roteiros Coleta_URBANO" sheetId="7" state="visible" r:id="rId9"/>
    <sheet name="Roteiros Coleta_RURAL" sheetId="8" state="visible" r:id="rId10"/>
    <sheet name="COLETAS BECOS" sheetId="9" state="visible" r:id="rId11"/>
    <sheet name="Roteiros Coleta_URBANO_CENTRAL" sheetId="10" state="visible" r:id="rId12"/>
    <sheet name="4.BDI" sheetId="11" state="visible" r:id="rId13"/>
    <sheet name="FATOR FU_OFICIAL" sheetId="12" state="visible" r:id="rId14"/>
    <sheet name="Estimativa Pesagem Ticket" sheetId="13" state="visible" r:id="rId15"/>
    <sheet name="COTAÇÕES" sheetId="14" state="visible" r:id="rId16"/>
    <sheet name="7. Dimensionamento - organicos" sheetId="15" state="visible" r:id="rId17"/>
    <sheet name="7. Dimensionamento - reciclavei" sheetId="16" state="visible" r:id="rId18"/>
    <sheet name="2.Encargos Sociais" sheetId="17" state="visible" r:id="rId19"/>
    <sheet name="3.CAGED" sheetId="18" state="visible" r:id="rId20"/>
    <sheet name="5. Depreciação" sheetId="19" state="visible" r:id="rId21"/>
    <sheet name="6.Remuneração de capital" sheetId="20" state="visible" r:id="rId22"/>
  </sheets>
  <definedNames>
    <definedName function="false" hidden="false" localSheetId="16" name="_xlnm.Print_Area" vbProcedure="false">'2.Encargos Sociais'!$A$1:$C$33</definedName>
    <definedName function="false" hidden="false" localSheetId="0" name="_xlnm.Print_Area" vbProcedure="false">ORGÂNICOS!$A$1:$F$515</definedName>
    <definedName function="false" hidden="false" localSheetId="0" name="_xlnm.Print_Titles" vbProcedure="false">ORGÂNICOS!$1:$1</definedName>
    <definedName function="false" hidden="false" localSheetId="1" name="_xlnm.Print_Area" vbProcedure="false">RECICLÁVEIS!$A$1:$F$423</definedName>
    <definedName function="false" hidden="false" localSheetId="1" name="_xlnm.Print_Titles" vbProcedure="false">RECICLÁVEIS!$1:$1</definedName>
    <definedName function="false" hidden="false" name="AbaDeprec" vbProcedure="false">'5. Depreciação'!$A$1</definedName>
    <definedName function="false" hidden="false" name="AbaRemun" vbProcedure="false">'6.Remuneração de capital'!$A$1</definedName>
    <definedName function="false" hidden="false" localSheetId="0" name="_xlnm.Print_Titles_0" vbProcedure="false">ORGÂNICOS!$A$1:$AMJ$1</definedName>
    <definedName function="false" hidden="false" localSheetId="0" name="_xlnm.Print_Titles_0_0" vbProcedure="false">ORGÂNICOS!$A$1:$AMJ$1</definedName>
    <definedName function="false" hidden="false" localSheetId="1" name="_xlnm.Print_Titles_0" vbProcedure="false">#REF!</definedName>
    <definedName function="false" hidden="false" localSheetId="1" name="_xlnm.Print_Titles_0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5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4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62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80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A94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0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31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A147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479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A490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B282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B361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B432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4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52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54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61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65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67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72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</comment>
    <comment ref="C74" authorId="0">
      <text>
        <r>
          <rPr>
            <sz val="10"/>
            <rFont val="Arial"/>
            <family val="2"/>
          </rPr>
          <t xml:space="preserve">Informar o número de horas extras trabalhadas em horário diurno nos domingos e feriados</t>
        </r>
      </text>
    </comment>
    <comment ref="C75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77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</comment>
    <comment ref="C78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</comment>
    <comment ref="C83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85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93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96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98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00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0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11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113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15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23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</comment>
    <comment ref="C125" authorId="0">
      <text>
        <r>
          <rPr>
            <sz val="10"/>
            <rFont val="Arial"/>
            <family val="2"/>
          </rPr>
          <t xml:space="preserve">Informar o número de horas extras trabalhadas em horário noturno nos domingos e feriados</t>
        </r>
      </text>
    </comment>
    <comment ref="C126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128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</comment>
    <comment ref="C129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</comment>
    <comment ref="C132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35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37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46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49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151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53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60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19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1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43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244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245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248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</comment>
    <comment ref="C249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</comment>
    <comment ref="C250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253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259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285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287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289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</comment>
    <comment ref="C291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</comment>
    <comment ref="C293" authorId="0">
      <text>
        <r>
          <rPr>
            <sz val="10"/>
            <rFont val="Arial"/>
            <family val="2"/>
          </rPr>
          <t xml:space="preserve">Informar o consumo de graxa a cada 1000km</t>
        </r>
      </text>
    </comment>
    <comment ref="C306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307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309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330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331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332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336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342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364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366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378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379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381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391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392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393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396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</comment>
    <comment ref="C397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</comment>
    <comment ref="C398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402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408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435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437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439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</comment>
    <comment ref="C441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</comment>
    <comment ref="C443" authorId="0">
      <text>
        <r>
          <rPr>
            <sz val="10"/>
            <rFont val="Arial"/>
            <family val="2"/>
          </rPr>
          <t xml:space="preserve">Informar o consumo de graxa a cada 1000km</t>
        </r>
      </text>
    </comment>
    <comment ref="C456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457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459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469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470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471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472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473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505" authorId="0">
      <text>
        <r>
          <rPr>
            <sz val="10"/>
            <rFont val="Arial"/>
            <family val="2"/>
          </rPr>
          <t xml:space="preserve">Preencher a aba 4.BDI</t>
        </r>
      </text>
    </comment>
    <comment ref="D46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59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90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91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105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106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142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144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159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</comment>
    <comment ref="D161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</comment>
    <comment ref="D162" authorId="0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168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</comment>
    <comment ref="D169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</comment>
    <comment ref="D175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76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81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9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9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9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9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9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9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20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20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20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20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204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217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230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242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247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D275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276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D285" authorId="0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D287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D289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D291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D293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301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D306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D308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D329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354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355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D364" authorId="0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D366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D373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D378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D380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D390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395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D425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426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D435" authorId="0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D437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D439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D441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D443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451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D456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D458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D469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70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71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72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73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82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</comment>
    <comment ref="D484" authorId="0">
      <text>
        <r>
          <rPr>
            <sz val="10"/>
            <rFont val="Arial"/>
            <family val="2"/>
          </rPr>
          <t xml:space="preserve">Informar o valor unitário mensal para manutenção dos equipamentos de monitoramento</t>
        </r>
      </text>
    </comment>
    <comment ref="D493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</comment>
    <comment ref="D513" authorId="0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5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46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65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A7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94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15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A399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B243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B340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45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49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51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57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</comment>
    <comment ref="C59" authorId="0">
      <text>
        <r>
          <rPr>
            <sz val="10"/>
            <rFont val="Arial"/>
            <family val="2"/>
          </rPr>
          <t xml:space="preserve">Informar o número de horas extras trabalhadas em horário diurno nos domingos e feriados</t>
        </r>
      </text>
    </comment>
    <comment ref="C60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62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</comment>
    <comment ref="C63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</comment>
    <comment ref="C68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70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7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81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83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85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93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96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</comment>
    <comment ref="C98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00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07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</comment>
    <comment ref="C109" authorId="0">
      <text>
        <r>
          <rPr>
            <sz val="10"/>
            <rFont val="Arial"/>
            <family val="2"/>
          </rPr>
          <t xml:space="preserve">Informar o número de horas extras trabalhadas em horário noturno nos domingos e feriados</t>
        </r>
      </text>
    </comment>
    <comment ref="C110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112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</comment>
    <comment ref="C113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</comment>
    <comment ref="C116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19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21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26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15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5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5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5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6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8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4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205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206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209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</comment>
    <comment ref="C210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</comment>
    <comment ref="C211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214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220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246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248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250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</comment>
    <comment ref="C252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</comment>
    <comment ref="C254" authorId="0">
      <text>
        <r>
          <rPr>
            <sz val="10"/>
            <rFont val="Arial"/>
            <family val="2"/>
          </rPr>
          <t xml:space="preserve">Informar o consumo de graxa a cada 1000km</t>
        </r>
      </text>
    </comment>
    <comment ref="C267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268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270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299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300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301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304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</comment>
    <comment ref="C305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</comment>
    <comment ref="C306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310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316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343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</comment>
    <comment ref="C345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</comment>
    <comment ref="C347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</comment>
    <comment ref="C349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</comment>
    <comment ref="C351" authorId="0">
      <text>
        <r>
          <rPr>
            <sz val="10"/>
            <rFont val="Arial"/>
            <family val="2"/>
          </rPr>
          <t xml:space="preserve">Informar o consumo de graxa a cada 1000km</t>
        </r>
      </text>
    </comment>
    <comment ref="C364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</comment>
    <comment ref="C365" authorId="0">
      <text>
        <r>
          <rPr>
            <sz val="10"/>
            <rFont val="Arial"/>
            <family val="2"/>
          </rPr>
          <t xml:space="preserve">Informar o número de recapagens por pneu</t>
        </r>
      </text>
    </comment>
    <comment ref="C367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378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379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380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381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43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75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76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90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91" authorId="0">
      <text>
        <r>
          <rPr>
            <sz val="10"/>
            <rFont val="Arial"/>
            <family val="2"/>
          </rPr>
          <t xml:space="preserve">Informar o valor do salário Mínimo Nacional</t>
        </r>
      </text>
    </comment>
    <comment ref="D125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</comment>
    <comment ref="D127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</comment>
    <comment ref="D128" authorId="0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133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</comment>
    <comment ref="D134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</comment>
    <comment ref="D139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40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45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</comment>
    <comment ref="D15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5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57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5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166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179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192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203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208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D236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237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D246" authorId="0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D248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D250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D252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D254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262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D267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D269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D298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303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D333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334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D343" authorId="0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D345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D347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D349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D351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359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D364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D366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D378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379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380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381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D402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7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B15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B16" authorId="0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B23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B24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B25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B26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  <comment ref="B27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</comment>
  </commentList>
</comments>
</file>

<file path=xl/comments1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5" author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6" author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7" author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C9" author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C10" authorId="0">
      <text>
        <r>
          <rPr>
            <sz val="10"/>
            <rFont val="Arial"/>
            <family val="2"/>
          </rPr>
          <t xml:space="preserve">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E8" authorId="0">
      <text>
        <r>
          <rPr>
            <sz val="10"/>
            <rFont val="Arial"/>
            <family val="2"/>
          </rPr>
          <t xml:space="preserve">Informar o valor anual da taxa financeira, em percentual. Admite-se utilizar a SELIC</t>
        </r>
      </text>
    </comment>
    <comment ref="E9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</commentList>
</comments>
</file>

<file path=xl/comments1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4" authorId="0">
      <text>
        <r>
          <rPr>
            <sz val="10"/>
            <rFont val="Arial"/>
            <family val="2"/>
          </rPr>
          <t xml:space="preserve">Informar a população do município a ser atendida</t>
        </r>
      </text>
    </comment>
    <comment ref="C5" authorId="0">
      <text>
        <r>
          <rPr>
            <sz val="10"/>
            <rFont val="Arial"/>
            <family val="2"/>
          </rPr>
          <t xml:space="preserve">Caso o município possua informações de pesagem, ajustar com o valor da geração média per capita realizada nos últimos 12 meses</t>
        </r>
      </text>
    </comment>
    <comment ref="C6" authorId="0">
      <text>
        <r>
          <rPr>
            <sz val="10"/>
            <rFont val="Arial"/>
            <family val="2"/>
          </rPr>
          <t xml:space="preserve">retorna a geração diária a ser recolhida</t>
        </r>
      </text>
    </comment>
    <comment ref="C8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</comment>
    <comment ref="C11" authorId="0">
      <text>
        <r>
          <rPr>
            <sz val="10"/>
            <rFont val="Arial"/>
            <family val="2"/>
          </rPr>
          <t xml:space="preserve">Informar 1 para caminhão toco; Informar 2 para caminhão truck</t>
        </r>
        <r>
          <rPr>
            <b val="true"/>
            <sz val="8"/>
            <color rgb="FF000000"/>
            <rFont val="Tahoma"/>
            <family val="2"/>
            <charset val="1"/>
          </rPr>
          <t xml:space="preserve"> </t>
        </r>
      </text>
    </comment>
    <comment ref="C12" authorId="0">
      <text>
        <r>
          <rPr>
            <sz val="10"/>
            <rFont val="Arial"/>
            <family val="2"/>
          </rPr>
          <t xml:space="preserve">Informar a capacidade do compactador em m³</t>
        </r>
      </text>
    </comment>
    <comment ref="C15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comments16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4" authorId="0">
      <text>
        <r>
          <rPr>
            <sz val="10"/>
            <rFont val="Arial"/>
            <family val="2"/>
          </rPr>
          <t xml:space="preserve">Informar a população do município a ser atendida</t>
        </r>
      </text>
    </comment>
    <comment ref="C5" authorId="0">
      <text>
        <r>
          <rPr>
            <sz val="10"/>
            <rFont val="Arial"/>
            <family val="2"/>
          </rPr>
          <t xml:space="preserve">Caso o município possua informações de pesagem, ajustar com o valor da geração média per capita realizada nos últimos 12 meses</t>
        </r>
      </text>
    </comment>
    <comment ref="C6" authorId="0">
      <text>
        <r>
          <rPr>
            <sz val="10"/>
            <rFont val="Arial"/>
            <family val="2"/>
          </rPr>
          <t xml:space="preserve">retorna a geração diária a ser recolhida</t>
        </r>
      </text>
    </comment>
    <comment ref="C8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</comment>
    <comment ref="C11" authorId="0">
      <text>
        <r>
          <rPr>
            <sz val="10"/>
            <rFont val="Arial"/>
            <family val="2"/>
          </rPr>
          <t xml:space="preserve">Informar 1 para caminhão toco; Informar 2 para caminhão truck</t>
        </r>
        <r>
          <rPr>
            <b val="true"/>
            <sz val="8"/>
            <color rgb="FF000000"/>
            <rFont val="Tahoma"/>
            <family val="2"/>
            <charset val="1"/>
          </rPr>
          <t xml:space="preserve"> </t>
        </r>
      </text>
    </comment>
    <comment ref="C12" authorId="0">
      <text>
        <r>
          <rPr>
            <sz val="10"/>
            <rFont val="Arial"/>
            <family val="2"/>
          </rPr>
          <t xml:space="preserve">Informar a capacidade do compactador em m³</t>
        </r>
      </text>
    </comment>
    <comment ref="C15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<sst xmlns="http://schemas.openxmlformats.org/spreadsheetml/2006/main" count="2052" uniqueCount="601">
  <si>
    <t xml:space="preserve">1. Coleta de Resíduos Sólidos Orgânicos/Rejeitos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</si>
  <si>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</si>
  <si>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</si>
  <si>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</si>
  <si>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</si>
  <si>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</si>
  <si>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 COM A COLETA</t>
  </si>
  <si>
    <t xml:space="preserve">Quantitativos</t>
  </si>
  <si>
    <t xml:space="preserve">Mão de obra</t>
  </si>
  <si>
    <t xml:space="preserve">Quantidade</t>
  </si>
  <si>
    <t xml:space="preserve">1.3.1 Motorista Turno do Dia (1 para 1 veículo de médio porte)</t>
  </si>
  <si>
    <t xml:space="preserve">Total de mão de obra (postos de trabalho)</t>
  </si>
  <si>
    <t xml:space="preserve">Veículos e Equipamentos</t>
  </si>
  <si>
    <t xml:space="preserve">Fator de utilização (FU)</t>
  </si>
  <si>
    <t xml:space="preserve">1. Mão-de-obra</t>
  </si>
  <si>
    <t xml:space="preserve">1.1. Coletor Turno Dia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</si>
  <si>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</si>
  <si>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</si>
  <si>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</si>
  <si>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</si>
  <si>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</si>
  <si>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</si>
  <si>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</si>
  <si>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</si>
  <si>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</si>
  <si>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</si>
  <si>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</si>
  <si>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</si>
  <si>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Adicional de Insalubridade</t>
  </si>
  <si>
    <t xml:space="preserve">Soma</t>
  </si>
  <si>
    <t xml:space="preserve">Encargos Sociais</t>
  </si>
  <si>
    <t xml:space="preserve">Total por Coletor</t>
  </si>
  <si>
    <t xml:space="preserve">Total do Efetivo</t>
  </si>
  <si>
    <t xml:space="preserve">homem</t>
  </si>
  <si>
    <t xml:space="preserve">Fator de utilização</t>
  </si>
  <si>
    <t xml:space="preserve">1.2. Coletor  veículo médio porte</t>
  </si>
  <si>
    <t xml:space="preserve">1.2. Coletor Turno Noite</t>
  </si>
  <si>
    <t xml:space="preserve">Adicional Noturno</t>
  </si>
  <si>
    <t xml:space="preserve">horas trabalhadas</t>
  </si>
  <si>
    <t xml:space="preserve">hora contabilizada</t>
  </si>
  <si>
    <t xml:space="preserve">Horas Extras Noturnas (100%)</t>
  </si>
  <si>
    <t xml:space="preserve">Horas Extras Noturnas (50%)</t>
  </si>
  <si>
    <t xml:space="preserve">1.3. Motorista Turno do Dia ( 4 caminhões)</t>
  </si>
  <si>
    <t xml:space="preserve">Piso da categoria (2)</t>
  </si>
  <si>
    <t xml:space="preserve">Salário mínimo nacional (1)</t>
  </si>
  <si>
    <t xml:space="preserve">Base de cálculo da Insalubridade</t>
  </si>
  <si>
    <t xml:space="preserve">Total por Motorista</t>
  </si>
  <si>
    <t xml:space="preserve">1.3.1 Motorista Turno do Dia (para veículo de médio porte)</t>
  </si>
  <si>
    <t xml:space="preserve">1.4. Motorista Turno Noite</t>
  </si>
  <si>
    <t xml:space="preserve">Excluir esta linha caso a contratação não tenha previsão de horas extras 100% explícita no edital</t>
  </si>
  <si>
    <t xml:space="preserve">Excluir esta linha caso a contratação não tenha previsão de horas extras noturnas 100% explícita no edital</t>
  </si>
  <si>
    <t xml:space="preserve">Excluir esta linha caso a contratação não tenha previsão de horas extras 50% explícita no edital</t>
  </si>
  <si>
    <t xml:space="preserve">Excluir esta linha caso a contratação não tenha previsão de horas extras noturnas 50% explícita no edital</t>
  </si>
  <si>
    <t xml:space="preserve">Excluir esta linha caso a contratação não tenha previsão de horas extras explícita no edital</t>
  </si>
  <si>
    <t xml:space="preserve">1.4 Líder de equipe (Administração e manutenção)</t>
  </si>
  <si>
    <t xml:space="preserve">Cargo de Confiança</t>
  </si>
  <si>
    <t xml:space="preserve">1.5. Vale Transporte</t>
  </si>
  <si>
    <t xml:space="preserve">Vale Transporte</t>
  </si>
  <si>
    <t xml:space="preserve">Dias Trabalhados por mês</t>
  </si>
  <si>
    <t xml:space="preserve">dia</t>
  </si>
  <si>
    <t xml:space="preserve">Coletor</t>
  </si>
  <si>
    <t xml:space="preserve">vale</t>
  </si>
  <si>
    <t xml:space="preserve">Motorista</t>
  </si>
  <si>
    <t xml:space="preserve">Líder de Equipe</t>
  </si>
  <si>
    <t xml:space="preserve">1.6. Vale-refeição (diário)</t>
  </si>
  <si>
    <t xml:space="preserve">unidade</t>
  </si>
  <si>
    <t xml:space="preserve">1.7. Auxílio Alimentação (mensal)</t>
  </si>
  <si>
    <t xml:space="preserve">1.7.1 Auxílio Alimentação (mensal)</t>
  </si>
  <si>
    <t xml:space="preserve">Motorista veículo médio porte</t>
  </si>
  <si>
    <t xml:space="preserve">Líder de equipe (Administração e manutenção)</t>
  </si>
  <si>
    <t xml:space="preserve">Coletor Veículo Médio Porte</t>
  </si>
  <si>
    <t xml:space="preserve">Custo Mensal com Mão-de-obra (R$/mês)</t>
  </si>
  <si>
    <t xml:space="preserve">2. Uniformes e Equipamentos de Proteção Individual</t>
  </si>
  <si>
    <t xml:space="preserve">2.1. Uniformes e EPIs para Coletor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</si>
  <si>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</si>
  <si>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</si>
  <si>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</si>
  <si>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</si>
  <si>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Boné Legionário com proteção UV</t>
  </si>
  <si>
    <t xml:space="preserve">Óculos águia com proteção UV</t>
  </si>
  <si>
    <t xml:space="preserve">Botina de segurança c/ palmilha aço</t>
  </si>
  <si>
    <t xml:space="preserve">par</t>
  </si>
  <si>
    <t xml:space="preserve">Meia de algodão com cano alto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</si>
  <si>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</si>
  <si>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</si>
  <si>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</si>
  <si>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</si>
  <si>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</si>
  <si>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Higienização de uniformes e EPIs</t>
  </si>
  <si>
    <t xml:space="preserve">R$ mensal</t>
  </si>
  <si>
    <t xml:space="preserve">2.2. Uniformes e EPIs para motoristas</t>
  </si>
  <si>
    <t xml:space="preserve">2.3. Uniformes e EPIs para motorista veículo médio porte e líder de equipe</t>
  </si>
  <si>
    <t xml:space="preserve">Custo Mensal com Uniformes e EPIs (R$/mês)</t>
  </si>
  <si>
    <t xml:space="preserve">3. Veículos e Equipamentos</t>
  </si>
  <si>
    <r>
      <rPr>
        <sz val="10"/>
        <rFont val="Arial"/>
        <family val="0"/>
        <charset val="1"/>
      </rPr>
      <t xml:space="preserve">3.1. Veículo Coletor Compactador</t>
    </r>
    <r>
      <rPr>
        <sz val="10"/>
        <color rgb="FFFF0000"/>
        <rFont val="Arial"/>
        <family val="0"/>
        <charset val="1"/>
      </rPr>
      <t xml:space="preserve"> 15</t>
    </r>
    <r>
      <rPr>
        <sz val="10"/>
        <rFont val="Arial"/>
        <family val="0"/>
        <charset val="1"/>
      </rPr>
      <t xml:space="preserve"> m³ + 1 RESERVA</t>
    </r>
  </si>
  <si>
    <t xml:space="preserve">3.1.1. Depreciação</t>
  </si>
  <si>
    <t xml:space="preserve">Custo de aquisição do chassis</t>
  </si>
  <si>
    <t xml:space="preserve">Vida útil do chassis</t>
  </si>
  <si>
    <t xml:space="preserve">anos</t>
  </si>
  <si>
    <t xml:space="preserve">Idade do veículo</t>
  </si>
  <si>
    <t xml:space="preserve">Depreciação do chassis</t>
  </si>
  <si>
    <t xml:space="preserve">Depreciação mensal veículos coletores</t>
  </si>
  <si>
    <t xml:space="preserve">Custo de aquisição do compactador</t>
  </si>
  <si>
    <t xml:space="preserve">Vida útil do compactador</t>
  </si>
  <si>
    <t xml:space="preserve">Idade do compactador</t>
  </si>
  <si>
    <t xml:space="preserve">Depreciação do compactador</t>
  </si>
  <si>
    <t xml:space="preserve">Depreciação mensal do compactador</t>
  </si>
  <si>
    <t xml:space="preserve">Total por veículo</t>
  </si>
  <si>
    <t xml:space="preserve">Total da frota</t>
  </si>
  <si>
    <t xml:space="preserve">3.1.2. Remuneração do Capital</t>
  </si>
  <si>
    <t xml:space="preserve">Custo do chassis</t>
  </si>
  <si>
    <t xml:space="preserve">Taxa de juros anual nominal</t>
  </si>
  <si>
    <t xml:space="preserve">Valor do veículo proposto (V0)</t>
  </si>
  <si>
    <t xml:space="preserve">Investimento médio total do chassis</t>
  </si>
  <si>
    <t xml:space="preserve">Remuneração mensal de capital do chassis</t>
  </si>
  <si>
    <t xml:space="preserve">Custo do compactador</t>
  </si>
  <si>
    <t xml:space="preserve">Valor do compactador proposto (V0)</t>
  </si>
  <si>
    <t xml:space="preserve">Investimento médio total do compactador</t>
  </si>
  <si>
    <t xml:space="preserve">Remuneração mensal de capital do compactador</t>
  </si>
  <si>
    <t xml:space="preserve">3.1.3.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</si>
  <si>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</si>
  <si>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</si>
  <si>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</si>
  <si>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</si>
  <si>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3.1.4. Consumos</t>
  </si>
  <si>
    <t xml:space="preserve">Quilometragem mensal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</si>
  <si>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</si>
  <si>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</si>
  <si>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</si>
  <si>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</si>
  <si>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</si>
  <si>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</si>
  <si>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</si>
  <si>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</si>
  <si>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</si>
  <si>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</si>
  <si>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</si>
  <si>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</si>
  <si>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</si>
  <si>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</si>
  <si>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</si>
  <si>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Arla 32 (5% do consumo de diesel)</t>
  </si>
  <si>
    <t xml:space="preserve">L/kmTotal</t>
  </si>
  <si>
    <t xml:space="preserve">Custo com consumos/km rodado</t>
  </si>
  <si>
    <t xml:space="preserve">R$/km rodado</t>
  </si>
  <si>
    <t xml:space="preserve">3.1.5. Manutenção</t>
  </si>
  <si>
    <t xml:space="preserve">Custo de manutenção dos caminhões</t>
  </si>
  <si>
    <t xml:space="preserve">3.1.6. Pneus</t>
  </si>
  <si>
    <t xml:space="preserve">Custo do jogo de pneus 275/80R22,5</t>
  </si>
  <si>
    <t xml:space="preserve">Número de recapagens por pneu</t>
  </si>
  <si>
    <t xml:space="preserve">Custo de recapagem</t>
  </si>
  <si>
    <t xml:space="preserve">Custo jg. Compl. +  recap./ km rodado</t>
  </si>
  <si>
    <t xml:space="preserve">km/jogo</t>
  </si>
  <si>
    <t xml:space="preserve">Custo mensal com pneus</t>
  </si>
  <si>
    <t xml:space="preserve">3.1.7.Câmera de monitoramento em marcha ré</t>
  </si>
  <si>
    <t xml:space="preserve">Custo Conjunto</t>
  </si>
  <si>
    <t xml:space="preserve">Custo Mensal</t>
  </si>
  <si>
    <t xml:space="preserve">3.1.8.Câmera de monitoramento</t>
  </si>
  <si>
    <t xml:space="preserve">Mensalidade Monitoramento</t>
  </si>
  <si>
    <t xml:space="preserve">3.2 Veículo de menor porte</t>
  </si>
  <si>
    <t xml:space="preserve">3.2.1. Depreciação</t>
  </si>
  <si>
    <t xml:space="preserve">Custo de aquisição</t>
  </si>
  <si>
    <t xml:space="preserve">Vida útil </t>
  </si>
  <si>
    <t xml:space="preserve">Depreciação</t>
  </si>
  <si>
    <t xml:space="preserve">Frota Reserva 10%</t>
  </si>
  <si>
    <t xml:space="preserve">3.2.2. Remuneração do Capital</t>
  </si>
  <si>
    <t xml:space="preserve">Investimento médio total</t>
  </si>
  <si>
    <t xml:space="preserve">3.2.3. Impostos e Seguros</t>
  </si>
  <si>
    <t xml:space="preserve">3.2.4. Consumos</t>
  </si>
  <si>
    <t xml:space="preserve">Custo gasolina / km rodado</t>
  </si>
  <si>
    <t xml:space="preserve">Custo mensal com gasolina</t>
  </si>
  <si>
    <t xml:space="preserve">3.2.5. Manutenção</t>
  </si>
  <si>
    <t xml:space="preserve">33% do custo do caminhão</t>
  </si>
  <si>
    <t xml:space="preserve">3.2.6. Pneus</t>
  </si>
  <si>
    <t xml:space="preserve">Custo do jogo de pneus 175/70 R14 </t>
  </si>
  <si>
    <r>
      <rPr>
        <sz val="10"/>
        <rFont val="Arial"/>
        <family val="0"/>
        <charset val="1"/>
      </rPr>
      <t xml:space="preserve">Custo jg. Compl. + </t>
    </r>
    <r>
      <rPr>
        <sz val="10"/>
        <color rgb="FFFF0000"/>
        <rFont val="Arial"/>
        <family val="0"/>
        <charset val="1"/>
      </rPr>
      <t xml:space="preserve">1</t>
    </r>
    <r>
      <rPr>
        <sz val="10"/>
        <rFont val="Arial"/>
        <family val="0"/>
        <charset val="1"/>
      </rPr>
      <t xml:space="preserve"> recap./ km rodado</t>
    </r>
  </si>
  <si>
    <t xml:space="preserve">3.3. Veículo Coletor Médio Porte (coleta de orgânico e recicláveis em locais de difícil acesso)</t>
  </si>
  <si>
    <t xml:space="preserve">3.3.1. Depreciação</t>
  </si>
  <si>
    <t xml:space="preserve">Custo de aquisição do baú</t>
  </si>
  <si>
    <t xml:space="preserve">Depreciação do baú</t>
  </si>
  <si>
    <t xml:space="preserve">3.3.2. Remuneração do Capital</t>
  </si>
  <si>
    <t xml:space="preserve">Remuneração mensal de capital do baú</t>
  </si>
  <si>
    <t xml:space="preserve">3.3.3. Impostos e Seguros</t>
  </si>
  <si>
    <t xml:space="preserve">3.3.4. Consumos</t>
  </si>
  <si>
    <t xml:space="preserve">COLETA BECOS</t>
  </si>
  <si>
    <t xml:space="preserve">3.3.5. Manutenção</t>
  </si>
  <si>
    <t xml:space="preserve">3.3.6. Pneus</t>
  </si>
  <si>
    <t xml:space="preserve">Custo do jogo de pneus 245/70 R16</t>
  </si>
  <si>
    <t xml:space="preserve">Custo Mensal com Veículos e Equipamentos (R$/mês)</t>
  </si>
  <si>
    <t xml:space="preserve">4. Ferramentas e Materiais de Consumo</t>
  </si>
  <si>
    <t xml:space="preserve">Recipiente térmico para água (5L)</t>
  </si>
  <si>
    <t xml:space="preserve">Pá de Concha</t>
  </si>
  <si>
    <t xml:space="preserve">Vassoura</t>
  </si>
  <si>
    <t xml:space="preserve">Publicidade (adesivos equipamentos)</t>
  </si>
  <si>
    <t xml:space="preserve">cj</t>
  </si>
  <si>
    <t xml:space="preserve">Publicidade (adesivos veículos)</t>
  </si>
  <si>
    <t xml:space="preserve">Campanhas educativas em escolas/casas/jornais</t>
  </si>
  <si>
    <t xml:space="preserve">cj/mês</t>
  </si>
  <si>
    <t xml:space="preserve">Custo Mensal com Ferramentas e Materiais de Consumo (R$/mês)</t>
  </si>
  <si>
    <t xml:space="preserve">5. Monitoramento da Frota</t>
  </si>
  <si>
    <t xml:space="preserve">Implantação dos equipamentos de monitoramento</t>
  </si>
  <si>
    <t xml:space="preserve">Custo mensal com implantação</t>
  </si>
  <si>
    <t xml:space="preserve">Manutenção dos equipamentos de monitoramento</t>
  </si>
  <si>
    <t xml:space="preserve">Custo mensal com manutenção</t>
  </si>
  <si>
    <t xml:space="preserve">Custo Mensal com Monitoramento da Frota (R$/mês)</t>
  </si>
  <si>
    <t xml:space="preserve">6. Pesagem</t>
  </si>
  <si>
    <t xml:space="preserve">Pesagem e emissão de tickets</t>
  </si>
  <si>
    <t xml:space="preserve">Custo Mensal com Pesagem (R$/mês)</t>
  </si>
  <si>
    <t xml:space="preserve">CUSTO TOTAL MENSAL COM DESPESAS OPERACIONAIS (R$/mês)</t>
  </si>
  <si>
    <t xml:space="preserve">7. Benefícios e Despesas Indiretas - BDI</t>
  </si>
  <si>
    <t xml:space="preserve">Benefícios e despesas indiretas</t>
  </si>
  <si>
    <t xml:space="preserve">CUSTO MENSAL COM BDI (R$/mês)</t>
  </si>
  <si>
    <t xml:space="preserve">PREÇO MENSAL TOTAL (R$/mês)</t>
  </si>
  <si>
    <t xml:space="preserve">Quantidade média de resíduos coletados por mês: </t>
  </si>
  <si>
    <t xml:space="preserve">toneladas</t>
  </si>
  <si>
    <t xml:space="preserve">PREÇO POR TONELADA COLETADA:  [A/B]</t>
  </si>
  <si>
    <t xml:space="preserve">R$/tonelada</t>
  </si>
  <si>
    <t xml:space="preserve">2. Coleta de Resíduos Sólidos Recicláveis</t>
  </si>
  <si>
    <t xml:space="preserve">1.2. Motorista Turno do Dia ( 3 caminhões )</t>
  </si>
  <si>
    <t xml:space="preserve">1.3 Motorista Turno do Dia (1 veículo de médio porte )</t>
  </si>
  <si>
    <t xml:space="preserve">1.4. Vale Transporte</t>
  </si>
  <si>
    <t xml:space="preserve">1.5. Vale-refeição (diário)</t>
  </si>
  <si>
    <t xml:space="preserve">1.6. Auxílio Alimentação (mensal)</t>
  </si>
  <si>
    <t xml:space="preserve">1.7 Auxílio Alimentação (mensal)</t>
  </si>
  <si>
    <t xml:space="preserve">Motorista veículo pequeno porte</t>
  </si>
  <si>
    <t xml:space="preserve">2.2. Uniformes e EPIs para motorista</t>
  </si>
  <si>
    <t xml:space="preserve">2.3. Uniformes e EPIs para motorista veiculo médio porte</t>
  </si>
  <si>
    <r>
      <rPr>
        <sz val="10"/>
        <rFont val="Arial"/>
        <family val="0"/>
        <charset val="1"/>
      </rPr>
      <t xml:space="preserve">3.1. Veículo Coletor Compactador</t>
    </r>
    <r>
      <rPr>
        <sz val="10"/>
        <color rgb="FFFF0000"/>
        <rFont val="Arial"/>
        <family val="0"/>
        <charset val="1"/>
      </rPr>
      <t xml:space="preserve"> 15</t>
    </r>
    <r>
      <rPr>
        <sz val="10"/>
        <rFont val="Arial"/>
        <family val="0"/>
        <charset val="1"/>
      </rPr>
      <t xml:space="preserve"> m³</t>
    </r>
  </si>
  <si>
    <t xml:space="preserve">COLETA URBANA + RURAL + COLETA CENTRAL</t>
  </si>
  <si>
    <t xml:space="preserve">3.1.8.Kit Propaganda (corneta + amplificador + acessórios)</t>
  </si>
  <si>
    <t xml:space="preserve">3.1.9.Câmera de monitoramento frontal de canal duplo</t>
  </si>
  <si>
    <t xml:space="preserve">3.2. Veículo Coletor Médio Porte</t>
  </si>
  <si>
    <t xml:space="preserve">COLETA BECOS + COLETA RURAL</t>
  </si>
  <si>
    <t xml:space="preserve">6 por ano</t>
  </si>
  <si>
    <t xml:space="preserve">24 por ano</t>
  </si>
  <si>
    <t xml:space="preserve">Lote</t>
  </si>
  <si>
    <t xml:space="preserve">Descrição</t>
  </si>
  <si>
    <t xml:space="preserve">Custo Mensal Por Tonelada</t>
  </si>
  <si>
    <t xml:space="preserve">Quantitativo Mensal Estimado (tn)</t>
  </si>
  <si>
    <t xml:space="preserve">Custo Estimado Mensal</t>
  </si>
  <si>
    <t xml:space="preserve">Custo Estimado Anual</t>
  </si>
  <si>
    <t xml:space="preserve">Lote 01</t>
  </si>
  <si>
    <t xml:space="preserve">Coleta de resíduos sólidos orgânicos/rejeitos
</t>
  </si>
  <si>
    <t xml:space="preserve">Lote 02</t>
  </si>
  <si>
    <t xml:space="preserve">Coleta de resíduos sólidos recicláveis</t>
  </si>
  <si>
    <t xml:space="preserve">Total</t>
  </si>
  <si>
    <t xml:space="preserve">ano</t>
  </si>
  <si>
    <t xml:space="preserve">orgânico</t>
  </si>
  <si>
    <t xml:space="preserve">reciclável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</si>
  <si>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</si>
  <si>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</si>
  <si>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</si>
  <si>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</si>
  <si>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</si>
  <si>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</si>
  <si>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</si>
  <si>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</si>
  <si>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</si>
  <si>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</si>
  <si>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</si>
  <si>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</si>
  <si>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MÉDIA</t>
  </si>
  <si>
    <t xml:space="preserve">SALARIO COLETOR</t>
  </si>
  <si>
    <t xml:space="preserve">obs</t>
  </si>
  <si>
    <t xml:space="preserve">SALARIO MOTORISTA</t>
  </si>
  <si>
    <t xml:space="preserve">VALOR CAMINHÃO COLETOR</t>
  </si>
  <si>
    <t xml:space="preserve">CÓDIGO FIPE 506175-0</t>
  </si>
  <si>
    <t xml:space="preserve">VALOR VEICULO MENOR PORTE LÍDER DE EQUIPE</t>
  </si>
  <si>
    <t xml:space="preserve">CÓDIGO FIPE 005538-7</t>
  </si>
  <si>
    <t xml:space="preserve">Câmera marcha ré</t>
  </si>
  <si>
    <t xml:space="preserve">Vale refeição Coletor</t>
  </si>
  <si>
    <t xml:space="preserve">Vale refeição motorista</t>
  </si>
  <si>
    <t xml:space="preserve">Auxílio Alimentação Coletor</t>
  </si>
  <si>
    <t xml:space="preserve">Auxílio Alimentação Motorista</t>
  </si>
  <si>
    <t xml:space="preserve">Arla 32</t>
  </si>
  <si>
    <t xml:space="preserve">TAXA SELIC</t>
  </si>
  <si>
    <t xml:space="preserve">Óculos com proteção UV</t>
  </si>
  <si>
    <t xml:space="preserve">SALARIO ENCARREGADO/ADM</t>
  </si>
  <si>
    <t xml:space="preserve">KM BASE BECOS</t>
  </si>
  <si>
    <t xml:space="preserve">CUSTO POR PESAGEM</t>
  </si>
  <si>
    <t xml:space="preserve">CUSTO GASOLINA</t>
  </si>
  <si>
    <t xml:space="preserve">CUSTO OLEO DIESEL</t>
  </si>
  <si>
    <t xml:space="preserve">CUSTO LCIENCIAMENTO </t>
  </si>
  <si>
    <t xml:space="preserve">SALARIO MINIMO</t>
  </si>
  <si>
    <t xml:space="preserve">SEGURO CONTRA TERCEIROS CAMINHOES</t>
  </si>
  <si>
    <t xml:space="preserve">CUSTO LITRO OLEO MOTOR</t>
  </si>
  <si>
    <t xml:space="preserve">CUSTO OLEO TRANSMISSAO</t>
  </si>
  <si>
    <t xml:space="preserve">CUSTO OLEO HIDRAULICO</t>
  </si>
  <si>
    <t xml:space="preserve">CUSTO GRAXA</t>
  </si>
  <si>
    <t xml:space="preserve">CUSTO MANUTENCAO CAMINHAO</t>
  </si>
  <si>
    <t xml:space="preserve">CUSTO CONJUNTO CAMERA CANAL DUPLO</t>
  </si>
  <si>
    <t xml:space="preserve">CUSTO MENSAL CAMERA CANAL DUPPLO</t>
  </si>
  <si>
    <t xml:space="preserve">SEGURO CONTRA TERCEIROS VEÍCULOS MENORES</t>
  </si>
  <si>
    <t xml:space="preserve">CUSTO JOGO PNEU VEIUCLO MENOR PORTE</t>
  </si>
  <si>
    <t xml:space="preserve">CUSTO FOLDERS</t>
  </si>
  <si>
    <t xml:space="preserve">CUSTO IMPLANTACAO MONITORAMENTO FROTA </t>
  </si>
  <si>
    <t xml:space="preserve">MENSALIDADE FROTA</t>
  </si>
  <si>
    <t xml:space="preserve">KIT PROPAGANDA</t>
  </si>
  <si>
    <t xml:space="preserve">VALOR S10 PARA COLETA D EMENOR PORTE FIPE 004551-9</t>
  </si>
  <si>
    <t xml:space="preserve">VALOR BAÚ</t>
  </si>
  <si>
    <t xml:space="preserve">PNEU 245/70 R16</t>
  </si>
  <si>
    <t xml:space="preserve">HORA EXTRA</t>
  </si>
  <si>
    <t xml:space="preserve">TAXA ESTIAMDA DETRAN (1 ANO EMPLACAMENTO NOVO + 4 ANOS NORMAL)</t>
  </si>
  <si>
    <t xml:space="preserve">CONSUMO CAMINHAO KM/L</t>
  </si>
  <si>
    <t xml:space="preserve">CONSUMO OLEO HIDRAULICO L/1000 K M orgânico</t>
  </si>
  <si>
    <t xml:space="preserve">CONSUMO OLEO HIDRAULICO L/1000 K M reciclável</t>
  </si>
  <si>
    <t xml:space="preserve">VIDA UTIL PNEU CAMINHAO COELTOR</t>
  </si>
  <si>
    <t xml:space="preserve">HORA EXTRA FU 100%</t>
  </si>
  <si>
    <t xml:space="preserve">Marca</t>
  </si>
  <si>
    <t xml:space="preserve">Modelo</t>
  </si>
  <si>
    <t xml:space="preserve">Código Fipe</t>
  </si>
  <si>
    <t xml:space="preserve">valor fipe</t>
  </si>
  <si>
    <t xml:space="preserve">MERCEDES-BENZ</t>
  </si>
  <si>
    <t xml:space="preserve">Atego 1719 4x2 2p (diesel)(E6)</t>
  </si>
  <si>
    <t xml:space="preserve">509338-4</t>
  </si>
  <si>
    <t xml:space="preserve">Atego 1726 4x2 2p (diesel)(E6)</t>
  </si>
  <si>
    <t xml:space="preserve">509339-2</t>
  </si>
  <si>
    <t xml:space="preserve">Atego 1729 4x2 2p (diesel)(E6)</t>
  </si>
  <si>
    <t xml:space="preserve">509373-2</t>
  </si>
  <si>
    <t xml:space="preserve">VOLKSWAGEN</t>
  </si>
  <si>
    <t xml:space="preserve">18-260 Constellation 4x2 2p (diesel)(E6)</t>
  </si>
  <si>
    <t xml:space="preserve">515190-2</t>
  </si>
  <si>
    <t xml:space="preserve">17-210 Constellation 4x2 2p (diesel)(E6)</t>
  </si>
  <si>
    <t xml:space="preserve">515188-0</t>
  </si>
  <si>
    <t xml:space="preserve">FOTON</t>
  </si>
  <si>
    <t xml:space="preserve">AUMAN D 1722L 4x2 (diesel) (E6)</t>
  </si>
  <si>
    <t xml:space="preserve">526013-2</t>
  </si>
  <si>
    <t xml:space="preserve">IVECO</t>
  </si>
  <si>
    <t xml:space="preserve">TECTOR 17-210 4x2 2p (Diesel)(E6)</t>
  </si>
  <si>
    <t xml:space="preserve">506175-0</t>
  </si>
  <si>
    <t xml:space="preserve">TECTOR 17-320 4x2 2p (Diesel)(E6)</t>
  </si>
  <si>
    <t xml:space="preserve">506176-8</t>
  </si>
  <si>
    <t xml:space="preserve">VOLVO</t>
  </si>
  <si>
    <t xml:space="preserve">VM 290 4x2 2p (diesel) (E6)</t>
  </si>
  <si>
    <t xml:space="preserve">516254-8</t>
  </si>
  <si>
    <t xml:space="preserve">valor médio</t>
  </si>
  <si>
    <t xml:space="preserve">valor mediana</t>
  </si>
  <si>
    <t xml:space="preserve">Coleta de Resíduos Sólidos Orgânicos/Rejeitos Zona Urbana</t>
  </si>
  <si>
    <t xml:space="preserve">Coleta de Seletivos Zona Urbana</t>
  </si>
  <si>
    <t xml:space="preserve">Coleta Resíduos Sólidos Recicláveis Zona Urbana</t>
  </si>
  <si>
    <t xml:space="preserve">Distância km (coleta + transporte)</t>
  </si>
  <si>
    <t xml:space="preserve">km Mensal Coleta orgânicos</t>
  </si>
  <si>
    <t xml:space="preserve">km Mensal Coleta Recicláveis</t>
  </si>
  <si>
    <t xml:space="preserve">Setores</t>
  </si>
  <si>
    <t xml:space="preserve">Turno</t>
  </si>
  <si>
    <t xml:space="preserve">Dias</t>
  </si>
  <si>
    <t xml:space="preserve">Locais</t>
  </si>
  <si>
    <t xml:space="preserve">M</t>
  </si>
  <si>
    <t xml:space="preserve">2°, 4° e 6°</t>
  </si>
  <si>
    <t xml:space="preserve">*Sequoias, SESI, Eugênio Ferreria, São Lucas e Jardim Mariana.</t>
  </si>
  <si>
    <t xml:space="preserve">3° e 5°</t>
  </si>
  <si>
    <t xml:space="preserve">*Hortênsias, São José, Santa Marta, Vila Dante, Reserva e Laje.</t>
  </si>
  <si>
    <t xml:space="preserve">*Caracol, Pinheiro Grosso, Suíça, Vila Suzana e Luíza Correia. </t>
  </si>
  <si>
    <t xml:space="preserve">T</t>
  </si>
  <si>
    <t xml:space="preserve">*Celulose, Vila Boeira, Serrano, Centro.</t>
  </si>
  <si>
    <t xml:space="preserve">3°, 5° e Sábado</t>
  </si>
  <si>
    <t xml:space="preserve">*Rancho Jane, Saiqui, Jardim das Fontes, São Rafael e Distrito Industrial.</t>
  </si>
  <si>
    <t xml:space="preserve">4° e 6°</t>
  </si>
  <si>
    <t xml:space="preserve">*Caçador, Ulisses de Abreu, São Luiz, Bom Jesus e Canelinha.</t>
  </si>
  <si>
    <t xml:space="preserve">*Alpes Verdes, Palace Hotel, Quinta da Serra, Sta Terezinha, Maggi e Leodoro de Azevedo.</t>
  </si>
  <si>
    <r>
      <rPr>
        <sz val="12"/>
        <rFont val="Arial"/>
        <family val="2"/>
        <charset val="1"/>
      </rPr>
      <t xml:space="preserve">*Alpes Verdes, Palace Hotel,</t>
    </r>
    <r>
      <rPr>
        <sz val="12"/>
        <rFont val="Arial"/>
        <family val="0"/>
        <charset val="1"/>
      </rPr>
      <t xml:space="preserve">Quinta da Serra, Sta Terezinha, Maggi e Leodoro de Azevedo.</t>
    </r>
  </si>
  <si>
    <t xml:space="preserve">MÉDIA DE SEMANAS NO ANO</t>
  </si>
  <si>
    <t xml:space="preserve">Coleta Resíduos Sólidos Recicláveis Zona Rural</t>
  </si>
  <si>
    <t xml:space="preserve">Roteiro</t>
  </si>
  <si>
    <t xml:space="preserve">Primeiro Sábado do mês</t>
  </si>
  <si>
    <t xml:space="preserve">Roteiro Norte</t>
  </si>
  <si>
    <t xml:space="preserve">Esteinho, Lajeana, Limeira, Banhado Grande,Tubiana e Caçador</t>
  </si>
  <si>
    <t xml:space="preserve">Segundo Sábado do mês</t>
  </si>
  <si>
    <t xml:space="preserve">Roteiro Sudeste</t>
  </si>
  <si>
    <t xml:space="preserve">Morro Calçado, Linha São Paulo, Monjolo, Bugres, Rancho Grande e Canastra</t>
  </si>
  <si>
    <t xml:space="preserve">Último Sábado do mês</t>
  </si>
  <si>
    <t xml:space="preserve">Roteiro Sudoeste</t>
  </si>
  <si>
    <t xml:space="preserve">São João, Amoreira, Chapadão, Morro Alegre, Quilombo e Passo do Louro</t>
  </si>
  <si>
    <t xml:space="preserve">TOTAL</t>
  </si>
  <si>
    <t xml:space="preserve">KM</t>
  </si>
  <si>
    <t xml:space="preserve">SETOR</t>
  </si>
  <si>
    <t xml:space="preserve">ORGANICO DIA</t>
  </si>
  <si>
    <t xml:space="preserve">SELETIVO DIA</t>
  </si>
  <si>
    <t xml:space="preserve">km mensal organico</t>
  </si>
  <si>
    <t xml:space="preserve">km mensal RECICLÁVEL</t>
  </si>
  <si>
    <t xml:space="preserve">DESLOCAMENTO</t>
  </si>
  <si>
    <t xml:space="preserve">MÉDIAS SEMANAS ANO</t>
  </si>
  <si>
    <t xml:space="preserve">Central</t>
  </si>
  <si>
    <t xml:space="preserve">Sábados</t>
  </si>
  <si>
    <t xml:space="preserve">Vias Diversas</t>
  </si>
  <si>
    <t xml:space="preserve">Coleta destinada a atender a região central 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</si>
  <si>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</si>
  <si>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</si>
  <si>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</si>
  <si>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</si>
  <si>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</si>
  <si>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</si>
  <si>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</si>
  <si>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</si>
  <si>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</si>
  <si>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</si>
  <si>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</si>
  <si>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</si>
  <si>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</si>
  <si>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</si>
  <si>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</si>
  <si>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</si>
  <si>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</si>
  <si>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</si>
  <si>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</si>
  <si>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</si>
  <si>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FU COLETA DE RESÍDUOS SÓLIDOS ORGÂNICOS (CAMINHÕES, COLETORES E MOTORISTAS)</t>
  </si>
  <si>
    <t xml:space="preserve">SETORES</t>
  </si>
  <si>
    <t xml:space="preserve">CAMINHÕES DA FROTA</t>
  </si>
  <si>
    <t xml:space="preserve">CAMINHÕES EM ATIVIDADE NOS SETORES</t>
  </si>
  <si>
    <t xml:space="preserve">DIAS DE COLETA</t>
  </si>
  <si>
    <t xml:space="preserve">Horas trabalhadas/dia</t>
  </si>
  <si>
    <t xml:space="preserve">FU%</t>
  </si>
  <si>
    <t xml:space="preserve">1,2,3,4</t>
  </si>
  <si>
    <t xml:space="preserve">5,6,7</t>
  </si>
  <si>
    <r>
      <rPr>
        <sz val="10"/>
        <rFont val="Arial"/>
        <family val="2"/>
        <charset val="1"/>
      </rPr>
      <t xml:space="preserve">FU COLETA DE RESÍDUOS SÓLIDOS ORGÂNICOS</t>
    </r>
    <r>
      <rPr>
        <sz val="10"/>
        <rFont val="Arial"/>
        <family val="0"/>
        <charset val="1"/>
      </rPr>
      <t xml:space="preserve"> (VEÍCULO DE MÉDIO PORTE E MOTORISTA)</t>
    </r>
  </si>
  <si>
    <t xml:space="preserve">VEÍCULOS DA FROTA</t>
  </si>
  <si>
    <t xml:space="preserve">VEÍCULOS EM ATIVIDADE</t>
  </si>
  <si>
    <t xml:space="preserve">COLETA ESPECIAL</t>
  </si>
  <si>
    <r>
      <rPr>
        <sz val="10"/>
        <rFont val="Arial"/>
        <family val="2"/>
        <charset val="1"/>
      </rPr>
      <t xml:space="preserve">FU COLETA DE RESÍDUOS SÓLIDOS RECICLÁVEIS</t>
    </r>
    <r>
      <rPr>
        <sz val="10"/>
        <rFont val="Arial"/>
        <family val="0"/>
        <charset val="1"/>
      </rPr>
      <t xml:space="preserve"> (CAMINHÕES, COLETORES E MOTORISTAS)</t>
    </r>
  </si>
  <si>
    <t xml:space="preserve">1,2,3</t>
  </si>
  <si>
    <t xml:space="preserve">1,2,3 (Rural)</t>
  </si>
  <si>
    <t xml:space="preserve">Coleta Área Central</t>
  </si>
  <si>
    <r>
      <rPr>
        <sz val="10"/>
        <rFont val="Arial"/>
        <family val="2"/>
        <charset val="1"/>
      </rPr>
      <t xml:space="preserve">FU COLETA DE RESÍDUOS SÓLIDOS RECICLÁVEIS</t>
    </r>
    <r>
      <rPr>
        <sz val="10"/>
        <rFont val="Arial"/>
        <family val="0"/>
        <charset val="1"/>
      </rPr>
      <t xml:space="preserve"> (VEÍCULO DE MÉDIO PORTE E MOTORISTA)</t>
    </r>
  </si>
  <si>
    <t xml:space="preserve">quantidade mensal</t>
  </si>
  <si>
    <t xml:space="preserve">COLETA DE RESÍDUOS ORGÂNICOS</t>
  </si>
  <si>
    <t xml:space="preserve">COLETA DE RESÍDUOS RECICLÁVEIS</t>
  </si>
  <si>
    <t xml:space="preserve">ITEM</t>
  </si>
  <si>
    <t xml:space="preserve">PREÇO 1</t>
  </si>
  <si>
    <t xml:space="preserve">PREÇO 2</t>
  </si>
  <si>
    <t xml:space="preserve">PREÇO 3</t>
  </si>
  <si>
    <t xml:space="preserve">DATA</t>
  </si>
  <si>
    <t xml:space="preserve">FONTE</t>
  </si>
  <si>
    <t xml:space="preserve">PREÇO</t>
  </si>
  <si>
    <t xml:space="preserve">MEDIANA</t>
  </si>
  <si>
    <t xml:space="preserve">https://www.ebconfeccao.com.br</t>
  </si>
  <si>
    <t xml:space="preserve">https://produto.mercadolivre.com.br</t>
  </si>
  <si>
    <t xml:space="preserve">https://www.magazineluiza.com.br</t>
  </si>
  <si>
    <t xml:space="preserve">https://www.jamiluniformes.com.br</t>
  </si>
  <si>
    <t xml:space="preserve">https://www.fardasexpress.com.br</t>
  </si>
  <si>
    <t xml:space="preserve">https://tulypauniformes.com.br</t>
  </si>
  <si>
    <t xml:space="preserve">https://www.j7uniformesprofissionais.com.br</t>
  </si>
  <si>
    <t xml:space="preserve">Boné Legionário com poteção solar</t>
  </si>
  <si>
    <t xml:space="preserve">https://ellepsun.com.br</t>
  </si>
  <si>
    <t xml:space="preserve">https://www.uvline.com.br</t>
  </si>
  <si>
    <t xml:space="preserve">https://loja.suncover.com.br</t>
  </si>
  <si>
    <t xml:space="preserve">https://www.superepi.com.br</t>
  </si>
  <si>
    <t xml:space="preserve">https://disapar.com.br</t>
  </si>
  <si>
    <t xml:space="preserve">https://outletdoepi.com</t>
  </si>
  <si>
    <t xml:space="preserve">https://www.lojas360.com.br/</t>
  </si>
  <si>
    <t xml:space="preserve">https://www.astrodistribuidora.com</t>
  </si>
  <si>
    <t xml:space="preserve">https://www.armazemdoepi.com.bR</t>
  </si>
  <si>
    <t xml:space="preserve">https://www.multiepis.com.br</t>
  </si>
  <si>
    <t xml:space="preserve">https://www.oceanob2b.com</t>
  </si>
  <si>
    <t xml:space="preserve">https://www.lojadomecanico.com.br</t>
  </si>
  <si>
    <t xml:space="preserve">https://www.polodoepi.com.br</t>
  </si>
  <si>
    <t xml:space="preserve">https://www.zigferramentas.com.br</t>
  </si>
  <si>
    <t xml:space="preserve">https://www.fg.com.br</t>
  </si>
  <si>
    <t xml:space="preserve">https://www.mabore.com.br</t>
  </si>
  <si>
    <t xml:space="preserve">https://www.castronaves.com.br</t>
  </si>
  <si>
    <t xml:space="preserve">https://www.coimbra.ind.br</t>
  </si>
  <si>
    <t xml:space="preserve">Pneu  275/80R22,5</t>
  </si>
  <si>
    <t xml:space="preserve">https://www.pneustore.com.br</t>
  </si>
  <si>
    <t xml:space="preserve">https://www.bellenzier.com.b</t>
  </si>
  <si>
    <t xml:space="preserve">https://www.pneubest.com.br</t>
  </si>
  <si>
    <t xml:space="preserve">pneus 175/70 R14</t>
  </si>
  <si>
    <t xml:space="preserve">https://www.casasbahia.com.br</t>
  </si>
  <si>
    <t xml:space="preserve">Óleo Diesel</t>
  </si>
  <si>
    <t xml:space="preserve">https://precos.petrobras.com.br</t>
  </si>
  <si>
    <t xml:space="preserve">ANP</t>
  </si>
  <si>
    <t xml:space="preserve">Óleo motor</t>
  </si>
  <si>
    <t xml:space="preserve">https://www.importvans.com</t>
  </si>
  <si>
    <t xml:space="preserve">https://www.dpaschoal.com.br</t>
  </si>
  <si>
    <t xml:space="preserve">https://www.unifreiospecas.com.br</t>
  </si>
  <si>
    <t xml:space="preserve">Óleo Transmissão</t>
  </si>
  <si>
    <t xml:space="preserve">https://www.loja.aptacaminhoes.com.br</t>
  </si>
  <si>
    <t xml:space="preserve">https://www.autopecastiete.com.br</t>
  </si>
  <si>
    <t xml:space="preserve">Òleo hidráulico</t>
  </si>
  <si>
    <t xml:space="preserve">https://www.armazemautopecas.com.br</t>
  </si>
  <si>
    <t xml:space="preserve">https://www.lfmaquinaseferramentas.com.br</t>
  </si>
  <si>
    <t xml:space="preserve">Graxa</t>
  </si>
  <si>
    <t xml:space="preserve">https://www.incorzul.com.br</t>
  </si>
  <si>
    <t xml:space="preserve">https://loja.dispetral.com.br</t>
  </si>
  <si>
    <t xml:space="preserve">Câmera Marcha ré caminhao</t>
  </si>
  <si>
    <t xml:space="preserve">https://someacessorios.com.br</t>
  </si>
  <si>
    <t xml:space="preserve">https://www.acessoriosjltudoparaonibus.com.br</t>
  </si>
  <si>
    <t xml:space="preserve">7. Dimensionamento da frota</t>
  </si>
  <si>
    <t xml:space="preserve">Indicador</t>
  </si>
  <si>
    <t xml:space="preserve">Unid</t>
  </si>
  <si>
    <t xml:space="preserve">Valor</t>
  </si>
  <si>
    <t xml:space="preserve">População (H)</t>
  </si>
  <si>
    <t xml:space="preserve">hab</t>
  </si>
  <si>
    <t xml:space="preserve">Geração per capita (G)</t>
  </si>
  <si>
    <t xml:space="preserve">Kg/hab.dia</t>
  </si>
  <si>
    <t xml:space="preserve">Geração total diária (Qd)</t>
  </si>
  <si>
    <t xml:space="preserve">ton/dia</t>
  </si>
  <si>
    <t xml:space="preserve">Geração Mensal Média</t>
  </si>
  <si>
    <t xml:space="preserve">ton</t>
  </si>
  <si>
    <t xml:space="preserve">Número de dias de coleta por semana (Dc)</t>
  </si>
  <si>
    <t xml:space="preserve">Quantitativo diário de coleta (Qc)</t>
  </si>
  <si>
    <t xml:space="preserve">Densidade RSU compactado</t>
  </si>
  <si>
    <t xml:space="preserve">Kg/m³</t>
  </si>
  <si>
    <t xml:space="preserve">Tipo de Veículo (1 = toco, 2 = truck)</t>
  </si>
  <si>
    <t xml:space="preserve">Capacidade do Compactador</t>
  </si>
  <si>
    <t xml:space="preserve">m³</t>
  </si>
  <si>
    <t xml:space="preserve">Capacidade nominal de carga (Cc)</t>
  </si>
  <si>
    <t xml:space="preserve">Número de Cargas por dia (Nc)</t>
  </si>
  <si>
    <t xml:space="preserve">Número total de percursos de coleta por veículo, por dia (Np)</t>
  </si>
  <si>
    <t xml:space="preserve">Número de veículos da Frota (F)</t>
  </si>
  <si>
    <t xml:space="preserve">2. Composição dos Encargos Sociais </t>
  </si>
  <si>
    <t xml:space="preserve">Código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</si>
  <si>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</si>
  <si>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</si>
  <si>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</si>
  <si>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</si>
  <si>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</si>
  <si>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</si>
  <si>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</si>
  <si>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</si>
  <si>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</si>
  <si>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</si>
  <si>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</si>
  <si>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</si>
  <si>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</si>
  <si>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</si>
  <si>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</si>
  <si>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</si>
  <si>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</si>
  <si>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</si>
  <si>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</si>
  <si>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</si>
  <si>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</si>
  <si>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</si>
  <si>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</si>
  <si>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</si>
  <si>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</si>
  <si>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</si>
  <si>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</si>
  <si>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</si>
  <si>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</si>
  <si>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</si>
  <si>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</si>
  <si>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</si>
  <si>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</si>
  <si>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</si>
  <si>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</si>
  <si>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</si>
  <si>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</si>
  <si>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</si>
  <si>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</si>
  <si>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</si>
  <si>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</si>
  <si>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</si>
  <si>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</si>
  <si>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</si>
  <si>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</si>
  <si>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</si>
  <si>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</si>
  <si>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</si>
  <si>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</si>
  <si>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</si>
  <si>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</si>
  <si>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</si>
  <si>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</si>
  <si>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</si>
  <si>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</si>
  <si>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</si>
  <si>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</si>
  <si>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</si>
  <si>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</si>
  <si>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</si>
  <si>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</si>
  <si>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</si>
  <si>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</si>
  <si>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</si>
  <si>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</si>
  <si>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</si>
  <si>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01-01-2019</t>
  </si>
  <si>
    <t xml:space="preserve">Estoque recuperado final do Período 31-12-2019</t>
  </si>
  <si>
    <t xml:space="preserve">Variação Emprego Absoluta de 01-01-2019 a 31-12-2019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</si>
  <si>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</si>
  <si>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</si>
  <si>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</si>
  <si>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</si>
  <si>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</si>
  <si>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</si>
  <si>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</si>
  <si>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</si>
  <si>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</si>
  <si>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</si>
  <si>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</si>
  <si>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</si>
  <si>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</si>
  <si>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</si>
  <si>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</si>
  <si>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rgb="FF000000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</si>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</sst>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21">
    <numFmt numFmtId="164" formatCode="General"/>
    <numFmt numFmtId="165" formatCode="* #,##0.00\ ;* \(#,##0.00\);* \-#\ ;@\ "/>
    <numFmt numFmtId="166" formatCode="#,##0.00"/>
    <numFmt numFmtId="167" formatCode="&quot;R$ &quot;#,##0.00"/>
    <numFmt numFmtId="168" formatCode="0%"/>
    <numFmt numFmtId="169" formatCode="0.00%"/>
    <numFmt numFmtId="170" formatCode="&quot;R$ &quot;#,##0.00\ ;&quot;(R$ &quot;#,##0.00\)"/>
    <numFmt numFmtId="171" formatCode="0"/>
    <numFmt numFmtId="172" formatCode="* #,##0\ ;* \(#,##0\);* \-#\ ;@\ "/>
    <numFmt numFmtId="173" formatCode="0.00"/>
    <numFmt numFmtId="174" formatCode="# ??/??"/>
    <numFmt numFmtId="175" formatCode="* #,##0.00\ ;\-* #,##0.00\ ;* \-#\ ;@\ "/>
    <numFmt numFmtId="176" formatCode="#,##0"/>
    <numFmt numFmtId="177" formatCode="* #,##0.000\ ;* \(#,##0.000\);* \-#\ ;@\ "/>
    <numFmt numFmtId="178" formatCode="@"/>
    <numFmt numFmtId="179" formatCode="[$R$-416]\ #,##0.00;[RED]\-[$R$-416]\ #,##0.00"/>
    <numFmt numFmtId="180" formatCode="#,##0.000"/>
    <numFmt numFmtId="181" formatCode="dd/mm/yy"/>
    <numFmt numFmtId="182" formatCode="* #,##0.000\ ;\-* #,##0.000\ ;* \-#\ ;@\ "/>
    <numFmt numFmtId="183" formatCode="#,##0.0"/>
    <numFmt numFmtId="184" formatCode="0.0000"/>
  </numFmts>
  <fonts count="35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8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10"/>
      <color rgb="FFFF0000"/>
      <name val="Arial"/>
      <family val="0"/>
      <charset val="1"/>
    </font>
    <font>
      <sz val="11"/>
      <name val="Calibri"/>
      <family val="2"/>
      <charset val="1"/>
    </font>
    <font>
      <sz val="9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</font>
    <font>
      <sz val="12"/>
      <color rgb="FF000000"/>
      <name val="Arial"/>
      <family val="2"/>
      <charset val="1"/>
    </font>
    <font>
      <sz val="12"/>
      <name val="Arial"/>
      <family val="1"/>
      <charset val="1"/>
    </font>
    <font>
      <b val="true"/>
      <sz val="10"/>
      <name val="Arial"/>
      <family val="0"/>
      <charset val="1"/>
    </font>
    <font>
      <sz val="10"/>
      <name val="Times New Roman"/>
      <family val="1"/>
      <charset val="1"/>
    </font>
    <font>
      <b val="true"/>
      <sz val="12"/>
      <color rgb="FFFFFFFF"/>
      <name val="Arial"/>
      <family val="0"/>
      <charset val="1"/>
    </font>
    <font>
      <sz val="12"/>
      <name val="Arial"/>
      <family val="0"/>
      <charset val="1"/>
    </font>
    <font>
      <b val="true"/>
      <sz val="12"/>
      <name val="Arial"/>
      <family val="0"/>
      <charset val="1"/>
    </font>
    <font>
      <sz val="12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sz val="11"/>
      <color rgb="FF000000"/>
      <name val="Arial"/>
      <family val="2"/>
      <charset val="1"/>
    </font>
    <font>
      <b val="true"/>
      <sz val="8"/>
      <color rgb="FF000000"/>
      <name val="Tahoma"/>
      <family val="2"/>
      <charset val="1"/>
    </font>
    <font>
      <b val="tru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00A933"/>
        <bgColor rgb="FF0080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FF"/>
        <bgColor rgb="FFEEEEEE"/>
      </patternFill>
    </fill>
    <fill>
      <patternFill patternType="solid">
        <fgColor rgb="FF729FCF"/>
        <bgColor rgb="FF999999"/>
      </patternFill>
    </fill>
    <fill>
      <patternFill patternType="solid">
        <fgColor rgb="FF808080"/>
        <bgColor rgb="FF999999"/>
      </patternFill>
    </fill>
    <fill>
      <patternFill patternType="solid">
        <fgColor rgb="FFCCCCCC"/>
        <bgColor rgb="FFC0C0C0"/>
      </patternFill>
    </fill>
    <fill>
      <patternFill patternType="solid">
        <fgColor rgb="FFEEEEEE"/>
        <bgColor rgb="FFEEECE1"/>
      </patternFill>
    </fill>
    <fill>
      <patternFill patternType="solid">
        <fgColor rgb="FF999999"/>
        <bgColor rgb="FFA6A6A6"/>
      </patternFill>
    </fill>
    <fill>
      <patternFill patternType="solid">
        <fgColor rgb="FFDDD9C3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342A06"/>
        <bgColor rgb="FF333333"/>
      </patternFill>
    </fill>
    <fill>
      <patternFill patternType="solid">
        <fgColor rgb="FFA6A6A6"/>
        <bgColor rgb="FF999999"/>
      </patternFill>
    </fill>
    <fill>
      <patternFill patternType="solid">
        <fgColor rgb="FF81D41A"/>
        <bgColor rgb="FFA6A6A6"/>
      </patternFill>
    </fill>
    <fill>
      <patternFill patternType="solid">
        <fgColor rgb="FFEEECE1"/>
        <bgColor rgb="FFEEEEEE"/>
      </patternFill>
    </fill>
  </fills>
  <borders count="5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8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9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3" borderId="2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3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6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2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7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2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3" fillId="4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6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5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3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4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3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7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13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4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7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9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3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7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80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2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4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23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9" borderId="3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0" borderId="3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10" borderId="39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5" fillId="9" borderId="4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10" borderId="4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6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1" borderId="3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9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1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6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9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1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4" fillId="12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0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4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4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4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2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3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7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4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0" borderId="4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5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14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14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4" borderId="2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0" borderId="4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14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28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15" borderId="37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15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79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79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8" fillId="9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28" fillId="9" borderId="3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9" borderId="3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9" fontId="28" fillId="9" borderId="3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81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29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78" fontId="29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8" fontId="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13" borderId="4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6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30" fillId="0" borderId="2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3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0" borderId="2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2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0" fillId="0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0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0" fillId="14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14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14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30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0" fillId="16" borderId="4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16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16" borderId="2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3" fillId="7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0" fillId="7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1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1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17" borderId="5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17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32" fillId="17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4" fontId="8" fillId="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32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0" borderId="24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1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1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0" fillId="18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0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0" fillId="18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1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5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56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20" fillId="0" borderId="57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1">
    <dxf>
      <font>
        <name val="Arial"/>
        <charset val="1"/>
        <family val="0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EEECE1"/>
      <rgbColor rgb="FFEEEEEE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CCCC"/>
      <rgbColor rgb="FFD9D9D9"/>
      <rgbColor rgb="FFFFFF99"/>
      <rgbColor rgb="FFBFBFBF"/>
      <rgbColor rgb="FFFF99CC"/>
      <rgbColor rgb="FFA6A6A6"/>
      <rgbColor rgb="FFDDD9C3"/>
      <rgbColor rgb="FF3366FF"/>
      <rgbColor rgb="FF33CCCC"/>
      <rgbColor rgb="FF81D41A"/>
      <rgbColor rgb="FFFFCC00"/>
      <rgbColor rgb="FFFF9900"/>
      <rgbColor rgb="FFFF6600"/>
      <rgbColor rgb="FF666699"/>
      <rgbColor rgb="FF999999"/>
      <rgbColor rgb="FF003366"/>
      <rgbColor rgb="FF00A933"/>
      <rgbColor rgb="FF003300"/>
      <rgbColor rgb="FF342A06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133200</xdr:colOff>
      <xdr:row>4</xdr:row>
      <xdr:rowOff>93240</xdr:rowOff>
    </xdr:from>
    <xdr:to>
      <xdr:col>0</xdr:col>
      <xdr:colOff>1418040</xdr:colOff>
      <xdr:row>6</xdr:row>
      <xdr:rowOff>128880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801360"/>
          <a:ext cx="1284840" cy="360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85680</xdr:colOff>
      <xdr:row>7</xdr:row>
      <xdr:rowOff>14400</xdr:rowOff>
    </xdr:from>
    <xdr:to>
      <xdr:col>0</xdr:col>
      <xdr:colOff>2122920</xdr:colOff>
      <xdr:row>9</xdr:row>
      <xdr:rowOff>59400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960"/>
          <a:ext cx="2037240" cy="3704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3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4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https://www.ebconfeccao.com.br/" TargetMode="External"/><Relationship Id="rId2" Type="http://schemas.openxmlformats.org/officeDocument/2006/relationships/hyperlink" Target="https://produto.mercadolivre.com.br/" TargetMode="External"/><Relationship Id="rId3" Type="http://schemas.openxmlformats.org/officeDocument/2006/relationships/hyperlink" Target="https://www.magazineluiza.com.br/" TargetMode="External"/><Relationship Id="rId4" Type="http://schemas.openxmlformats.org/officeDocument/2006/relationships/hyperlink" Target="https://www.jamiluniformes.com.br/" TargetMode="External"/><Relationship Id="rId5" Type="http://schemas.openxmlformats.org/officeDocument/2006/relationships/hyperlink" Target="https://produto.mercadolivre.com.br/" TargetMode="External"/><Relationship Id="rId6" Type="http://schemas.openxmlformats.org/officeDocument/2006/relationships/hyperlink" Target="https://www.fardasexpress.com.br/" TargetMode="External"/><Relationship Id="rId7" Type="http://schemas.openxmlformats.org/officeDocument/2006/relationships/hyperlink" Target="https://tulypauniformes.com.br/" TargetMode="External"/><Relationship Id="rId8" Type="http://schemas.openxmlformats.org/officeDocument/2006/relationships/hyperlink" Target="https://produto.mercadolivre.com.br/" TargetMode="External"/><Relationship Id="rId9" Type="http://schemas.openxmlformats.org/officeDocument/2006/relationships/hyperlink" Target="https://www.j7uniformesprofissionais.com.br/" TargetMode="External"/><Relationship Id="rId10" Type="http://schemas.openxmlformats.org/officeDocument/2006/relationships/hyperlink" Target="https://ellepsun.com.br/" TargetMode="External"/><Relationship Id="rId11" Type="http://schemas.openxmlformats.org/officeDocument/2006/relationships/hyperlink" Target="https://www.uvline.com.br/" TargetMode="External"/><Relationship Id="rId12" Type="http://schemas.openxmlformats.org/officeDocument/2006/relationships/hyperlink" Target="https://loja.suncover.com.br/" TargetMode="External"/><Relationship Id="rId13" Type="http://schemas.openxmlformats.org/officeDocument/2006/relationships/hyperlink" Target="https://produto.mercadolivre.com.br/" TargetMode="External"/><Relationship Id="rId14" Type="http://schemas.openxmlformats.org/officeDocument/2006/relationships/hyperlink" Target="https://www.superepi.com.br/" TargetMode="External"/><Relationship Id="rId15" Type="http://schemas.openxmlformats.org/officeDocument/2006/relationships/hyperlink" Target="https://www.magazineluiza.com.br/" TargetMode="External"/><Relationship Id="rId16" Type="http://schemas.openxmlformats.org/officeDocument/2006/relationships/hyperlink" Target="https://disapar.com.br/" TargetMode="External"/><Relationship Id="rId17" Type="http://schemas.openxmlformats.org/officeDocument/2006/relationships/hyperlink" Target="https://outletdoepi.com/" TargetMode="External"/><Relationship Id="rId18" Type="http://schemas.openxmlformats.org/officeDocument/2006/relationships/hyperlink" Target="https://www.superepi.com.br/" TargetMode="External"/><Relationship Id="rId19" Type="http://schemas.openxmlformats.org/officeDocument/2006/relationships/hyperlink" Target="https://www.superepi.com.br/" TargetMode="External"/><Relationship Id="rId20" Type="http://schemas.openxmlformats.org/officeDocument/2006/relationships/hyperlink" Target="https://produto.mercadolivre.com.br/" TargetMode="External"/><Relationship Id="rId21" Type="http://schemas.openxmlformats.org/officeDocument/2006/relationships/hyperlink" Target="https://www.lojas360.com.br/" TargetMode="External"/><Relationship Id="rId22" Type="http://schemas.openxmlformats.org/officeDocument/2006/relationships/hyperlink" Target="https://www.superepi.com.br/" TargetMode="External"/><Relationship Id="rId23" Type="http://schemas.openxmlformats.org/officeDocument/2006/relationships/hyperlink" Target="https://www.astrodistribuidora.com/" TargetMode="External"/><Relationship Id="rId24" Type="http://schemas.openxmlformats.org/officeDocument/2006/relationships/hyperlink" Target="https://www.armazemdoepi.com.bR/" TargetMode="External"/><Relationship Id="rId25" Type="http://schemas.openxmlformats.org/officeDocument/2006/relationships/hyperlink" Target="https://www.astrodistribuidora.com/" TargetMode="External"/><Relationship Id="rId26" Type="http://schemas.openxmlformats.org/officeDocument/2006/relationships/hyperlink" Target="https://www.superepi.com.br/" TargetMode="External"/><Relationship Id="rId27" Type="http://schemas.openxmlformats.org/officeDocument/2006/relationships/hyperlink" Target="https://www.multiepis.com.br/" TargetMode="External"/><Relationship Id="rId28" Type="http://schemas.openxmlformats.org/officeDocument/2006/relationships/hyperlink" Target="https://www.oceanob2b.com/" TargetMode="External"/><Relationship Id="rId29" Type="http://schemas.openxmlformats.org/officeDocument/2006/relationships/hyperlink" Target="https://www.superepi.com.br/" TargetMode="External"/><Relationship Id="rId30" Type="http://schemas.openxmlformats.org/officeDocument/2006/relationships/hyperlink" Target="https://www.lojadomecanico.com.br/" TargetMode="External"/><Relationship Id="rId31" Type="http://schemas.openxmlformats.org/officeDocument/2006/relationships/hyperlink" Target="https://www.polodoepi.com.br/" TargetMode="External"/><Relationship Id="rId32" Type="http://schemas.openxmlformats.org/officeDocument/2006/relationships/hyperlink" Target="https://www.zigferramentas.com.br/" TargetMode="External"/><Relationship Id="rId33" Type="http://schemas.openxmlformats.org/officeDocument/2006/relationships/hyperlink" Target="https://www.magazineluiza.com.br/" TargetMode="External"/><Relationship Id="rId34" Type="http://schemas.openxmlformats.org/officeDocument/2006/relationships/hyperlink" Target="https://www.fg.com.br/" TargetMode="External"/><Relationship Id="rId35" Type="http://schemas.openxmlformats.org/officeDocument/2006/relationships/hyperlink" Target="https://www.lojadomecanico.com.br/" TargetMode="External"/><Relationship Id="rId36" Type="http://schemas.openxmlformats.org/officeDocument/2006/relationships/hyperlink" Target="https://www.mabore.com.br/" TargetMode="External"/><Relationship Id="rId37" Type="http://schemas.openxmlformats.org/officeDocument/2006/relationships/hyperlink" Target="https://produto.mercadolivre.com.br/" TargetMode="External"/><Relationship Id="rId38" Type="http://schemas.openxmlformats.org/officeDocument/2006/relationships/hyperlink" Target="https://www.castronaves.com.br/" TargetMode="External"/><Relationship Id="rId39" Type="http://schemas.openxmlformats.org/officeDocument/2006/relationships/hyperlink" Target="https://www.coimbra.ind.br/" TargetMode="External"/><Relationship Id="rId40" Type="http://schemas.openxmlformats.org/officeDocument/2006/relationships/hyperlink" Target="https://www.pneustore.com.br/" TargetMode="External"/><Relationship Id="rId41" Type="http://schemas.openxmlformats.org/officeDocument/2006/relationships/hyperlink" Target="https://www.bellenzier.com.b/" TargetMode="External"/><Relationship Id="rId42" Type="http://schemas.openxmlformats.org/officeDocument/2006/relationships/hyperlink" Target="https://www.pneubest.com.br/" TargetMode="External"/><Relationship Id="rId43" Type="http://schemas.openxmlformats.org/officeDocument/2006/relationships/hyperlink" Target="https://www.magazineluiza.com.br/" TargetMode="External"/><Relationship Id="rId44" Type="http://schemas.openxmlformats.org/officeDocument/2006/relationships/hyperlink" Target="https://www.casasbahia.com.br/" TargetMode="External"/><Relationship Id="rId45" Type="http://schemas.openxmlformats.org/officeDocument/2006/relationships/hyperlink" Target="https://www.pneustore.com.br/" TargetMode="External"/><Relationship Id="rId46" Type="http://schemas.openxmlformats.org/officeDocument/2006/relationships/hyperlink" Target="https://precos.petrobras.com.br/" TargetMode="External"/><Relationship Id="rId47" Type="http://schemas.openxmlformats.org/officeDocument/2006/relationships/hyperlink" Target="https://www.importvans.com/" TargetMode="External"/><Relationship Id="rId48" Type="http://schemas.openxmlformats.org/officeDocument/2006/relationships/hyperlink" Target="https://www.dpaschoal.com.br/" TargetMode="External"/><Relationship Id="rId49" Type="http://schemas.openxmlformats.org/officeDocument/2006/relationships/hyperlink" Target="https://www.unifreiospecas.com.br/" TargetMode="External"/><Relationship Id="rId50" Type="http://schemas.openxmlformats.org/officeDocument/2006/relationships/hyperlink" Target="https://produto.mercadolivre.com.br/" TargetMode="External"/><Relationship Id="rId51" Type="http://schemas.openxmlformats.org/officeDocument/2006/relationships/hyperlink" Target="https://www.loja.aptacaminhoes.com.br/" TargetMode="External"/><Relationship Id="rId52" Type="http://schemas.openxmlformats.org/officeDocument/2006/relationships/hyperlink" Target="https://www.autopecastiete.com.br/" TargetMode="External"/><Relationship Id="rId53" Type="http://schemas.openxmlformats.org/officeDocument/2006/relationships/hyperlink" Target="https://www.loja.aptacaminhoes.com.br/" TargetMode="External"/><Relationship Id="rId54" Type="http://schemas.openxmlformats.org/officeDocument/2006/relationships/hyperlink" Target="https://www.armazemautopecas.com.br/" TargetMode="External"/><Relationship Id="rId55" Type="http://schemas.openxmlformats.org/officeDocument/2006/relationships/hyperlink" Target="https://www.lfmaquinaseferramentas.com.br/" TargetMode="External"/><Relationship Id="rId56" Type="http://schemas.openxmlformats.org/officeDocument/2006/relationships/hyperlink" Target="https://www.lfmaquinaseferramentas.com.br/" TargetMode="External"/><Relationship Id="rId57" Type="http://schemas.openxmlformats.org/officeDocument/2006/relationships/hyperlink" Target="https://www.incorzul.com.br/" TargetMode="External"/><Relationship Id="rId58" Type="http://schemas.openxmlformats.org/officeDocument/2006/relationships/hyperlink" Target="https://loja.dispetral.com.br/" TargetMode="External"/><Relationship Id="rId59" Type="http://schemas.openxmlformats.org/officeDocument/2006/relationships/hyperlink" Target="https://someacessorios.com.br/" TargetMode="External"/><Relationship Id="rId60" Type="http://schemas.openxmlformats.org/officeDocument/2006/relationships/hyperlink" Target="https://produto.mercadolivre.com.br/" TargetMode="External"/><Relationship Id="rId61" Type="http://schemas.openxmlformats.org/officeDocument/2006/relationships/hyperlink" Target="https://www.acessoriosjltudoparaonibus.com.br/" TargetMode="Externa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5.v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6.v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542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A29" activeCellId="0" sqref="A2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64.63"/>
    <col collapsed="false" customWidth="true" hidden="false" outlineLevel="0" max="2" min="2" style="1" width="17.3"/>
    <col collapsed="false" customWidth="true" hidden="false" outlineLevel="0" max="3" min="3" style="1" width="15.42"/>
    <col collapsed="false" customWidth="true" hidden="false" outlineLevel="0" max="4" min="4" style="2" width="16.58"/>
    <col collapsed="false" customWidth="true" hidden="false" outlineLevel="0" max="5" min="5" style="2" width="15.85"/>
    <col collapsed="false" customWidth="true" hidden="false" outlineLevel="0" max="6" min="6" style="2" width="15.51"/>
    <col collapsed="false" customWidth="true" hidden="false" outlineLevel="0" max="7" min="7" style="2" width="28.17"/>
    <col collapsed="false" customWidth="true" hidden="false" outlineLevel="0" max="8" min="8" style="1" width="9.14"/>
    <col collapsed="false" customWidth="true" hidden="false" outlineLevel="0" max="9" min="9" style="1" width="14.59"/>
    <col collapsed="false" customWidth="true" hidden="false" outlineLevel="0" max="10" min="10" style="1" width="13.44"/>
    <col collapsed="false" customWidth="true" hidden="false" outlineLevel="0" max="64" min="11" style="1" width="9.14"/>
    <col collapsed="false" customWidth="true" hidden="false" outlineLevel="0" max="1024" min="65" style="3" width="9.14"/>
  </cols>
  <sheetData>
    <row r="1" customFormat="false" ht="15" hidden="false" customHeight="false" outlineLevel="0" collapsed="false">
      <c r="A1" s="4"/>
    </row>
    <row r="2" customFormat="false" ht="17.35" hidden="false" customHeight="false" outlineLevel="0" collapsed="false">
      <c r="A2" s="5" t="s">
        <v>0</v>
      </c>
      <c r="B2" s="5"/>
      <c r="C2" s="5"/>
      <c r="D2" s="5"/>
      <c r="E2" s="5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customFormat="false" ht="21.75" hidden="false" customHeight="true" outlineLevel="0" collapsed="false">
      <c r="A3" s="8" t="s">
        <v>1</v>
      </c>
      <c r="B3" s="8"/>
      <c r="C3" s="8"/>
      <c r="D3" s="8"/>
      <c r="E3" s="8"/>
      <c r="F3" s="8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</row>
    <row r="4" customFormat="false" ht="10.9" hidden="false" customHeight="true" outlineLevel="0" collapsed="false">
      <c r="A4" s="9"/>
      <c r="B4" s="10"/>
      <c r="C4" s="10"/>
      <c r="D4" s="11"/>
      <c r="E4" s="11"/>
      <c r="F4" s="12"/>
      <c r="G4" s="1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</row>
    <row r="5" customFormat="false" ht="15.75" hidden="false" customHeight="true" outlineLevel="0" collapsed="false">
      <c r="A5" s="14" t="s">
        <v>2</v>
      </c>
      <c r="B5" s="14"/>
      <c r="C5" s="14"/>
      <c r="D5" s="14"/>
      <c r="E5" s="14"/>
      <c r="F5" s="14"/>
      <c r="G5" s="11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</row>
    <row r="6" customFormat="false" ht="15.75" hidden="false" customHeight="true" outlineLevel="0" collapsed="false">
      <c r="A6" s="15" t="s">
        <v>3</v>
      </c>
      <c r="B6" s="16"/>
      <c r="C6" s="16"/>
      <c r="D6" s="17"/>
      <c r="E6" s="18" t="s">
        <v>4</v>
      </c>
      <c r="F6" s="19" t="s">
        <v>5</v>
      </c>
      <c r="G6" s="11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</row>
    <row r="7" customFormat="false" ht="15.75" hidden="false" customHeight="true" outlineLevel="0" collapsed="false">
      <c r="A7" s="20" t="str">
        <f aca="false">A42</f>
        <v>1. Mão-de-obra</v>
      </c>
      <c r="B7" s="21"/>
      <c r="C7" s="22"/>
      <c r="D7" s="22"/>
      <c r="E7" s="23" t="n">
        <f aca="false">+F186</f>
        <v>149798.906472999</v>
      </c>
      <c r="F7" s="24" t="n">
        <f aca="false">IFERROR(E7/$E$23,0)</f>
        <v>0.417317621891262</v>
      </c>
      <c r="G7" s="25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</row>
    <row r="8" customFormat="false" ht="15.75" hidden="false" customHeight="true" outlineLevel="0" collapsed="false">
      <c r="A8" s="27" t="str">
        <f aca="false">A44</f>
        <v>1.1. Coletor Turno Dia</v>
      </c>
      <c r="B8" s="28"/>
      <c r="C8" s="29"/>
      <c r="D8" s="29"/>
      <c r="E8" s="30" t="n">
        <f aca="false">F55</f>
        <v>64872.5351524041</v>
      </c>
      <c r="F8" s="31" t="n">
        <f aca="false">IFERROR(E8/$E$23,0)</f>
        <v>0.180725298557092</v>
      </c>
      <c r="G8" s="11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</row>
    <row r="9" customFormat="false" ht="15.75" hidden="true" customHeight="true" outlineLevel="0" collapsed="false">
      <c r="A9" s="27" t="str">
        <f aca="false">A69</f>
        <v>1.2. Coletor Turno Noite</v>
      </c>
      <c r="B9" s="28"/>
      <c r="C9" s="29"/>
      <c r="D9" s="29"/>
      <c r="E9" s="30" t="n">
        <f aca="false">F86</f>
        <v>0</v>
      </c>
      <c r="F9" s="31" t="n">
        <f aca="false">IFERROR(E9/$E$23,0)</f>
        <v>0</v>
      </c>
      <c r="G9" s="11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</row>
    <row r="10" customFormat="false" ht="15.75" hidden="false" customHeight="true" outlineLevel="0" collapsed="false">
      <c r="A10" s="27" t="str">
        <f aca="false">A88</f>
        <v>1.3. Motorista Turno do Dia ( 4 caminhões)</v>
      </c>
      <c r="B10" s="28"/>
      <c r="C10" s="29"/>
      <c r="D10" s="29"/>
      <c r="E10" s="30" t="n">
        <f aca="false">F101</f>
        <v>25779.2923505358</v>
      </c>
      <c r="F10" s="31" t="n">
        <f aca="false">IFERROR(E10/$E$23,0)</f>
        <v>0.0718172998125614</v>
      </c>
      <c r="G10" s="11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customFormat="false" ht="15.75" hidden="true" customHeight="true" outlineLevel="0" collapsed="false">
      <c r="A11" s="27" t="str">
        <f aca="false">A119</f>
        <v>1.4. Motorista Turno Noite</v>
      </c>
      <c r="B11" s="28"/>
      <c r="C11" s="29"/>
      <c r="D11" s="29"/>
      <c r="E11" s="30" t="n">
        <f aca="false">F138</f>
        <v>0</v>
      </c>
      <c r="F11" s="31" t="n">
        <f aca="false">IFERROR(E11/$E$23,0)</f>
        <v>0</v>
      </c>
      <c r="G11" s="11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customFormat="false" ht="15.75" hidden="false" customHeight="true" outlineLevel="0" collapsed="false">
      <c r="A12" s="27" t="str">
        <f aca="false">A103</f>
        <v>1.3.1 Motorista Turno do Dia (para veículo de médio porte)</v>
      </c>
      <c r="B12" s="28"/>
      <c r="C12" s="29"/>
      <c r="D12" s="29"/>
      <c r="E12" s="30" t="n">
        <f aca="false">F116</f>
        <v>12889.6461752679</v>
      </c>
      <c r="F12" s="31" t="n">
        <f aca="false">IFERROR(E12/$E$23,0)</f>
        <v>0.0359086499062807</v>
      </c>
      <c r="G12" s="11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</row>
    <row r="13" customFormat="false" ht="15.75" hidden="false" customHeight="true" outlineLevel="0" collapsed="false">
      <c r="A13" s="27" t="str">
        <f aca="false">A140</f>
        <v>1.4 Líder de equipe (Administração e manutenção)</v>
      </c>
      <c r="B13" s="28"/>
      <c r="C13" s="29"/>
      <c r="D13" s="29"/>
      <c r="E13" s="30" t="n">
        <f aca="false">F154</f>
        <v>9022.42400272363</v>
      </c>
      <c r="F13" s="31" t="n">
        <f aca="false">IFERROR(E13/$E$23,0)</f>
        <v>0.0251351402834836</v>
      </c>
      <c r="G13" s="11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customFormat="false" ht="15.75" hidden="false" customHeight="true" outlineLevel="0" collapsed="false">
      <c r="A14" s="27" t="str">
        <f aca="false">A157</f>
        <v>1.5. Vale Transporte</v>
      </c>
      <c r="B14" s="28"/>
      <c r="C14" s="29"/>
      <c r="D14" s="29"/>
      <c r="E14" s="30" t="n">
        <f aca="false">F164</f>
        <v>4052.3196</v>
      </c>
      <c r="F14" s="31" t="n">
        <f aca="false">IFERROR(E14/$E$23,0)</f>
        <v>0.0112891637090834</v>
      </c>
      <c r="G14" s="1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</row>
    <row r="15" customFormat="false" ht="15.75" hidden="false" customHeight="true" outlineLevel="0" collapsed="false">
      <c r="A15" s="27" t="str">
        <f aca="false">A166</f>
        <v>1.6. Vale-refeição (diário)</v>
      </c>
      <c r="B15" s="32"/>
      <c r="C15" s="29"/>
      <c r="D15" s="29"/>
      <c r="E15" s="30" t="n">
        <f aca="false">F171</f>
        <v>16070.6</v>
      </c>
      <c r="F15" s="31" t="n">
        <f aca="false">IFERROR(E15/$E$23,0)</f>
        <v>0.0447703173025136</v>
      </c>
      <c r="G15" s="11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</row>
    <row r="16" customFormat="false" ht="15.75" hidden="false" customHeight="true" outlineLevel="0" collapsed="false">
      <c r="A16" s="27" t="str">
        <f aca="false">A173</f>
        <v>1.7. Auxílio Alimentação (mensal)</v>
      </c>
      <c r="B16" s="28"/>
      <c r="C16" s="29"/>
      <c r="D16" s="29"/>
      <c r="E16" s="30" t="n">
        <f aca="false">SUM(F177,F184)</f>
        <v>6300</v>
      </c>
      <c r="F16" s="31" t="n">
        <f aca="false">IFERROR(E16/$E$23,0)</f>
        <v>0.0175508692273988</v>
      </c>
      <c r="G16" s="11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</row>
    <row r="17" customFormat="false" ht="15.75" hidden="false" customHeight="true" outlineLevel="0" collapsed="false">
      <c r="A17" s="33" t="str">
        <f aca="false">A188</f>
        <v>2. Uniformes e Equipamentos de Proteção Individual</v>
      </c>
      <c r="B17" s="33"/>
      <c r="C17" s="33"/>
      <c r="D17" s="22"/>
      <c r="E17" s="23" t="n">
        <f aca="false">+F234</f>
        <v>6762.74083333333</v>
      </c>
      <c r="F17" s="24" t="n">
        <f aca="false">IFERROR(E17/$E$23,0)</f>
        <v>0.0188399968229561</v>
      </c>
      <c r="G17" s="25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</row>
    <row r="18" customFormat="false" ht="15.75" hidden="false" customHeight="true" outlineLevel="0" collapsed="false">
      <c r="A18" s="33" t="str">
        <f aca="false">A236</f>
        <v>3. Veículos e Equipamentos</v>
      </c>
      <c r="B18" s="34"/>
      <c r="C18" s="22"/>
      <c r="D18" s="22"/>
      <c r="E18" s="23" t="n">
        <f aca="false">+F464</f>
        <v>119060.892500876</v>
      </c>
      <c r="F18" s="24" t="n">
        <f aca="false">IFERROR(E18/$E$23,0)</f>
        <v>0.331686056250836</v>
      </c>
      <c r="G18" s="25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</row>
    <row r="19" customFormat="false" ht="15.75" hidden="false" customHeight="true" outlineLevel="0" collapsed="false">
      <c r="A19" s="33" t="str">
        <f aca="false">A466</f>
        <v>4. Ferramentas e Materiais de Consumo</v>
      </c>
      <c r="B19" s="34"/>
      <c r="C19" s="22"/>
      <c r="D19" s="22"/>
      <c r="E19" s="23" t="n">
        <f aca="false">+F477</f>
        <v>1615.87166666667</v>
      </c>
      <c r="F19" s="24" t="n">
        <f aca="false">IFERROR(E19/$E$23,0)</f>
        <v>0.00450157973173424</v>
      </c>
      <c r="G19" s="25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</row>
    <row r="20" customFormat="false" ht="15.75" hidden="false" customHeight="true" outlineLevel="0" collapsed="false">
      <c r="A20" s="33" t="str">
        <f aca="false">A479</f>
        <v>5. Monitoramento da Frota</v>
      </c>
      <c r="B20" s="34"/>
      <c r="C20" s="22"/>
      <c r="D20" s="22"/>
      <c r="E20" s="23" t="n">
        <f aca="false">+F488</f>
        <v>1283.33333333333</v>
      </c>
      <c r="F20" s="24" t="n">
        <f aca="false">IFERROR(E20/$E$23,0)</f>
        <v>0.00357517706484049</v>
      </c>
      <c r="G20" s="25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</row>
    <row r="21" customFormat="false" ht="15.75" hidden="false" customHeight="true" outlineLevel="0" collapsed="false">
      <c r="A21" s="33" t="str">
        <f aca="false">A490</f>
        <v>6. Pesagem</v>
      </c>
      <c r="B21" s="34"/>
      <c r="C21" s="22"/>
      <c r="D21" s="22"/>
      <c r="E21" s="23" t="n">
        <f aca="false">F494</f>
        <v>3810</v>
      </c>
      <c r="F21" s="24" t="n">
        <f aca="false">IFERROR(E21/$E$23,0)</f>
        <v>0.0106140971041888</v>
      </c>
      <c r="G21" s="25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</row>
    <row r="22" customFormat="false" ht="15.75" hidden="false" customHeight="true" outlineLevel="0" collapsed="false">
      <c r="A22" s="33" t="str">
        <f aca="false">A502</f>
        <v>7. Benefícios e Despesas Indiretas - BDI</v>
      </c>
      <c r="B22" s="34"/>
      <c r="C22" s="22"/>
      <c r="D22" s="22"/>
      <c r="E22" s="35" t="n">
        <f aca="false">+F508</f>
        <v>76624.8355406763</v>
      </c>
      <c r="F22" s="24" t="n">
        <f aca="false">IFERROR(E22/$E$23,0)</f>
        <v>0.213465471134183</v>
      </c>
      <c r="G22" s="2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</row>
    <row r="23" customFormat="false" ht="15.75" hidden="false" customHeight="true" outlineLevel="0" collapsed="false">
      <c r="A23" s="36" t="s">
        <v>6</v>
      </c>
      <c r="B23" s="37"/>
      <c r="C23" s="38"/>
      <c r="D23" s="38"/>
      <c r="E23" s="39" t="n">
        <f aca="false">E7+E17+E18+E19+E20+E22+E21</f>
        <v>358956.580347884</v>
      </c>
      <c r="F23" s="40" t="n">
        <f aca="false">F7+F17+F18+F19+F20+F22+F21</f>
        <v>1</v>
      </c>
      <c r="G23" s="11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</row>
    <row r="26" customFormat="false" ht="15" hidden="false" customHeight="true" outlineLevel="0" collapsed="false">
      <c r="A26" s="14" t="s">
        <v>7</v>
      </c>
      <c r="B26" s="14"/>
      <c r="C26" s="14"/>
      <c r="D26" s="14"/>
      <c r="E26" s="14"/>
      <c r="G26" s="1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</row>
    <row r="27" customFormat="false" ht="15" hidden="false" customHeight="true" outlineLevel="0" collapsed="false">
      <c r="A27" s="41" t="s">
        <v>8</v>
      </c>
      <c r="B27" s="41"/>
      <c r="C27" s="41"/>
      <c r="D27" s="41"/>
      <c r="E27" s="42" t="s">
        <v>9</v>
      </c>
      <c r="G27" s="11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customFormat="false" ht="20.35" hidden="false" customHeight="true" outlineLevel="0" collapsed="false">
      <c r="A28" s="43" t="str">
        <f aca="false">+A44</f>
        <v>1.1. Coletor Turno Dia</v>
      </c>
      <c r="B28" s="44"/>
      <c r="C28" s="44"/>
      <c r="D28" s="45"/>
      <c r="E28" s="46" t="n">
        <v>12</v>
      </c>
      <c r="G28" s="11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</row>
    <row r="29" customFormat="false" ht="18.3" hidden="false" customHeight="true" outlineLevel="0" collapsed="false">
      <c r="A29" s="47" t="str">
        <f aca="false">A57</f>
        <v>1.2. Coletor  veículo médio porte</v>
      </c>
      <c r="B29" s="48"/>
      <c r="C29" s="48"/>
      <c r="D29" s="49"/>
      <c r="E29" s="50" t="n">
        <v>2</v>
      </c>
      <c r="G29" s="1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</row>
    <row r="30" customFormat="false" ht="15" hidden="false" customHeight="true" outlineLevel="0" collapsed="false">
      <c r="A30" s="47" t="str">
        <f aca="false">+A88</f>
        <v>1.3. Motorista Turno do Dia ( 4 caminhões)</v>
      </c>
      <c r="B30" s="48"/>
      <c r="C30" s="48"/>
      <c r="D30" s="49"/>
      <c r="E30" s="50" t="n">
        <v>4</v>
      </c>
      <c r="G30" s="11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</row>
    <row r="31" customFormat="false" ht="15" hidden="false" customHeight="true" outlineLevel="0" collapsed="false">
      <c r="A31" s="47" t="s">
        <v>10</v>
      </c>
      <c r="B31" s="48"/>
      <c r="C31" s="48"/>
      <c r="D31" s="49"/>
      <c r="E31" s="50" t="n">
        <f aca="false">E29</f>
        <v>2</v>
      </c>
      <c r="G31" s="11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</row>
    <row r="32" customFormat="false" ht="15" hidden="true" customHeight="true" outlineLevel="0" collapsed="false">
      <c r="A32" s="47" t="str">
        <f aca="false">+A119</f>
        <v>1.4. Motorista Turno Noite</v>
      </c>
      <c r="B32" s="48"/>
      <c r="C32" s="48"/>
      <c r="D32" s="49"/>
      <c r="E32" s="50" t="n">
        <f aca="false">C137</f>
        <v>0</v>
      </c>
      <c r="G32" s="11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customFormat="false" ht="15" hidden="false" customHeight="true" outlineLevel="0" collapsed="false">
      <c r="A33" s="47" t="str">
        <f aca="false">A140</f>
        <v>1.4 Líder de equipe (Administração e manutenção)</v>
      </c>
      <c r="B33" s="48"/>
      <c r="C33" s="48"/>
      <c r="D33" s="49"/>
      <c r="E33" s="50" t="n">
        <v>1</v>
      </c>
      <c r="G33" s="11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customFormat="false" ht="15" hidden="false" customHeight="true" outlineLevel="0" collapsed="false">
      <c r="A34" s="51" t="s">
        <v>11</v>
      </c>
      <c r="B34" s="52"/>
      <c r="C34" s="52"/>
      <c r="D34" s="53"/>
      <c r="E34" s="54" t="n">
        <f aca="false">SUM(E28:E33)</f>
        <v>21</v>
      </c>
      <c r="G34" s="11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</row>
    <row r="35" customFormat="false" ht="15" hidden="false" customHeight="true" outlineLevel="0" collapsed="false">
      <c r="A35" s="55"/>
      <c r="B35" s="56"/>
      <c r="C35" s="2"/>
      <c r="E35" s="57"/>
      <c r="G35" s="1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customFormat="false" ht="15" hidden="false" customHeight="true" outlineLevel="0" collapsed="false">
      <c r="A36" s="58" t="s">
        <v>12</v>
      </c>
      <c r="B36" s="58"/>
      <c r="C36" s="58"/>
      <c r="D36" s="58"/>
      <c r="E36" s="42" t="s">
        <v>9</v>
      </c>
      <c r="F36" s="1"/>
      <c r="G36" s="11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customFormat="false" ht="15" hidden="false" customHeight="true" outlineLevel="0" collapsed="false">
      <c r="A37" s="59" t="str">
        <f aca="false">+A238</f>
        <v>3.1. Veículo Coletor Compactador 15 m³ + 1 RESERVA</v>
      </c>
      <c r="B37" s="60"/>
      <c r="C37" s="60"/>
      <c r="D37" s="61"/>
      <c r="E37" s="62" t="n">
        <v>5</v>
      </c>
      <c r="F37" s="1"/>
      <c r="G37" s="11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customFormat="false" ht="15" hidden="false" customHeight="true" outlineLevel="0" collapsed="false">
      <c r="A38" s="59" t="str">
        <f aca="false">+A325</f>
        <v>3.2 Veículo de menor porte</v>
      </c>
      <c r="B38" s="60"/>
      <c r="C38" s="60"/>
      <c r="D38" s="61"/>
      <c r="E38" s="62" t="n">
        <v>1</v>
      </c>
      <c r="F38" s="1"/>
      <c r="G38" s="11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</row>
    <row r="39" customFormat="false" ht="12.8" hidden="false" customHeight="false" outlineLevel="0" collapsed="false">
      <c r="A39" s="59" t="str">
        <f aca="false">A386</f>
        <v>3.3. Veículo Coletor Médio Porte (coleta de orgânico e recicláveis em locais de difícil acesso)</v>
      </c>
      <c r="B39" s="60"/>
      <c r="C39" s="60"/>
      <c r="D39" s="61"/>
      <c r="E39" s="62" t="n">
        <f aca="false">E29</f>
        <v>2</v>
      </c>
      <c r="F39" s="1"/>
      <c r="G39" s="11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customFormat="false" ht="15.75" hidden="true" customHeight="true" outlineLevel="0" collapsed="false">
      <c r="A40" s="63" t="s">
        <v>13</v>
      </c>
      <c r="B40" s="64" t="n">
        <v>0.7158</v>
      </c>
      <c r="C40" s="25"/>
      <c r="D40" s="65"/>
      <c r="E40" s="66"/>
      <c r="F40" s="26"/>
      <c r="G40" s="25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</row>
    <row r="41" customFormat="false" ht="15.75" hidden="false" customHeight="true" outlineLevel="0" collapsed="false">
      <c r="A41" s="2"/>
      <c r="B41" s="2"/>
      <c r="C41" s="2"/>
      <c r="D41" s="67"/>
      <c r="E41" s="68"/>
      <c r="F41" s="1"/>
      <c r="G41" s="11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</row>
    <row r="42" customFormat="false" ht="13.15" hidden="false" customHeight="true" outlineLevel="0" collapsed="false">
      <c r="A42" s="26" t="s">
        <v>14</v>
      </c>
    </row>
    <row r="43" customFormat="false" ht="11.25" hidden="false" customHeight="true" outlineLevel="0" collapsed="false"/>
    <row r="44" customFormat="false" ht="13.9" hidden="false" customHeight="true" outlineLevel="0" collapsed="false">
      <c r="A44" s="69" t="s">
        <v>15</v>
      </c>
    </row>
    <row r="45" customFormat="false" ht="13.9" hidden="false" customHeight="true" outlineLevel="0" collapsed="false">
      <c r="A45" s="70" t="s">
        <v>16</v>
      </c>
      <c r="B45" s="71" t="s">
        <v>17</v>
      </c>
      <c r="C45" s="71" t="s">
        <v>9</v>
      </c>
      <c r="D45" s="72" t="s">
        <v>18</v>
      </c>
      <c r="E45" s="72" t="s">
        <v>19</v>
      </c>
      <c r="F45" s="73" t="s">
        <v>20</v>
      </c>
    </row>
    <row r="46" customFormat="false" ht="13.15" hidden="false" customHeight="true" outlineLevel="0" collapsed="false">
      <c r="A46" s="74" t="s">
        <v>21</v>
      </c>
      <c r="B46" s="75" t="s">
        <v>22</v>
      </c>
      <c r="C46" s="75" t="n">
        <v>1</v>
      </c>
      <c r="D46" s="76" t="n">
        <f aca="false">'VALORES BASE'!B1</f>
        <v>2082.31</v>
      </c>
      <c r="E46" s="77" t="n">
        <f aca="false">C46*D46</f>
        <v>2082.31</v>
      </c>
    </row>
    <row r="47" customFormat="false" ht="12.8" hidden="false" customHeight="false" outlineLevel="0" collapsed="false">
      <c r="A47" s="78" t="s">
        <v>23</v>
      </c>
      <c r="B47" s="79" t="s">
        <v>24</v>
      </c>
      <c r="C47" s="80" t="n">
        <f aca="false">'VALORES BASE'!B58</f>
        <v>7.92</v>
      </c>
      <c r="D47" s="81" t="n">
        <f aca="false">D46/220*2</f>
        <v>18.9300909090909</v>
      </c>
      <c r="E47" s="81" t="n">
        <f aca="false">C47*D47</f>
        <v>149.92632</v>
      </c>
    </row>
    <row r="48" customFormat="false" ht="13.15" hidden="false" customHeight="true" outlineLevel="0" collapsed="false">
      <c r="A48" s="78" t="s">
        <v>25</v>
      </c>
      <c r="B48" s="79" t="s">
        <v>24</v>
      </c>
      <c r="C48" s="80"/>
      <c r="D48" s="81" t="n">
        <f aca="false">D46/220*1.5</f>
        <v>14.1975681818182</v>
      </c>
      <c r="E48" s="81" t="n">
        <f aca="false">C48*D48</f>
        <v>0</v>
      </c>
    </row>
    <row r="49" customFormat="false" ht="13.15" hidden="false" customHeight="true" outlineLevel="0" collapsed="false">
      <c r="A49" s="78" t="s">
        <v>26</v>
      </c>
      <c r="B49" s="79" t="s">
        <v>27</v>
      </c>
      <c r="D49" s="81" t="n">
        <f aca="false">63/302*(SUM(E47:E48))</f>
        <v>31.276020397351</v>
      </c>
      <c r="E49" s="81" t="n">
        <f aca="false">D49</f>
        <v>31.276020397351</v>
      </c>
    </row>
    <row r="50" customFormat="false" ht="12.8" hidden="false" customHeight="false" outlineLevel="0" collapsed="false">
      <c r="A50" s="78" t="s">
        <v>28</v>
      </c>
      <c r="B50" s="79" t="s">
        <v>5</v>
      </c>
      <c r="C50" s="79" t="n">
        <v>40</v>
      </c>
      <c r="D50" s="81" t="n">
        <f aca="false">SUM(E46:E49)</f>
        <v>2263.51234039735</v>
      </c>
      <c r="E50" s="81" t="n">
        <f aca="false">C50*D50/100</f>
        <v>905.404936158941</v>
      </c>
    </row>
    <row r="51" customFormat="false" ht="12.8" hidden="false" customHeight="false" outlineLevel="0" collapsed="false">
      <c r="A51" s="82" t="s">
        <v>29</v>
      </c>
      <c r="B51" s="83"/>
      <c r="C51" s="83"/>
      <c r="D51" s="84"/>
      <c r="E51" s="85" t="n">
        <f aca="false">SUM(E46:E50)</f>
        <v>3168.91727655629</v>
      </c>
    </row>
    <row r="52" customFormat="false" ht="12.8" hidden="false" customHeight="false" outlineLevel="0" collapsed="false">
      <c r="A52" s="78" t="s">
        <v>30</v>
      </c>
      <c r="B52" s="79" t="s">
        <v>5</v>
      </c>
      <c r="C52" s="86" t="n">
        <f aca="false">'2.Encargos Sociais'!$C$31*100</f>
        <v>70.595952</v>
      </c>
      <c r="D52" s="81" t="n">
        <f aca="false">E51</f>
        <v>3168.91727655629</v>
      </c>
      <c r="E52" s="81" t="n">
        <f aca="false">D52*C52/100</f>
        <v>2237.12731947739</v>
      </c>
    </row>
    <row r="53" customFormat="false" ht="12.8" hidden="false" customHeight="false" outlineLevel="0" collapsed="false">
      <c r="A53" s="82" t="s">
        <v>31</v>
      </c>
      <c r="B53" s="83"/>
      <c r="C53" s="83"/>
      <c r="D53" s="84"/>
      <c r="E53" s="85" t="n">
        <f aca="false">E51+E52</f>
        <v>5406.04459603368</v>
      </c>
    </row>
    <row r="54" customFormat="false" ht="12.8" hidden="false" customHeight="false" outlineLevel="0" collapsed="false">
      <c r="A54" s="78" t="s">
        <v>32</v>
      </c>
      <c r="B54" s="79" t="s">
        <v>33</v>
      </c>
      <c r="C54" s="87" t="n">
        <f aca="false">E28</f>
        <v>12</v>
      </c>
      <c r="D54" s="81" t="n">
        <f aca="false">E53</f>
        <v>5406.04459603368</v>
      </c>
      <c r="E54" s="81" t="n">
        <f aca="false">C54*D54</f>
        <v>64872.5351524041</v>
      </c>
      <c r="G54" s="11"/>
    </row>
    <row r="55" customFormat="false" ht="13.9" hidden="false" customHeight="true" outlineLevel="0" collapsed="false">
      <c r="D55" s="88" t="s">
        <v>34</v>
      </c>
      <c r="E55" s="89" t="n">
        <f aca="false">'FATOR FU_OFICIAL'!F5</f>
        <v>1</v>
      </c>
      <c r="F55" s="90" t="n">
        <f aca="false">E54*E55</f>
        <v>64872.5351524041</v>
      </c>
      <c r="G55" s="11"/>
    </row>
    <row r="56" customFormat="false" ht="13.9" hidden="false" customHeight="true" outlineLevel="0" collapsed="false">
      <c r="D56" s="88"/>
      <c r="G56" s="11"/>
    </row>
    <row r="57" customFormat="false" ht="13.9" hidden="false" customHeight="true" outlineLevel="0" collapsed="false">
      <c r="A57" s="69" t="s">
        <v>35</v>
      </c>
      <c r="G57" s="11"/>
    </row>
    <row r="58" customFormat="false" ht="13.9" hidden="false" customHeight="true" outlineLevel="0" collapsed="false">
      <c r="A58" s="70" t="s">
        <v>16</v>
      </c>
      <c r="B58" s="71" t="s">
        <v>17</v>
      </c>
      <c r="C58" s="71" t="s">
        <v>9</v>
      </c>
      <c r="D58" s="72" t="s">
        <v>18</v>
      </c>
      <c r="E58" s="72" t="s">
        <v>19</v>
      </c>
      <c r="F58" s="73" t="s">
        <v>20</v>
      </c>
      <c r="G58" s="11"/>
    </row>
    <row r="59" customFormat="false" ht="13.9" hidden="false" customHeight="true" outlineLevel="0" collapsed="false">
      <c r="A59" s="74" t="s">
        <v>21</v>
      </c>
      <c r="B59" s="75" t="s">
        <v>22</v>
      </c>
      <c r="C59" s="75" t="n">
        <v>1</v>
      </c>
      <c r="D59" s="76" t="n">
        <f aca="false">D46</f>
        <v>2082.31</v>
      </c>
      <c r="E59" s="77" t="n">
        <f aca="false">C59*D59</f>
        <v>2082.31</v>
      </c>
      <c r="G59" s="11"/>
    </row>
    <row r="60" customFormat="false" ht="13.9" hidden="false" customHeight="true" outlineLevel="0" collapsed="false">
      <c r="A60" s="78" t="s">
        <v>23</v>
      </c>
      <c r="B60" s="79" t="s">
        <v>24</v>
      </c>
      <c r="C60" s="80" t="n">
        <f aca="false">C47</f>
        <v>7.92</v>
      </c>
      <c r="D60" s="81" t="n">
        <f aca="false">D59/220*2</f>
        <v>18.9300909090909</v>
      </c>
      <c r="E60" s="81" t="n">
        <f aca="false">C60*D60</f>
        <v>149.92632</v>
      </c>
      <c r="G60" s="11"/>
    </row>
    <row r="61" customFormat="false" ht="13.9" hidden="false" customHeight="true" outlineLevel="0" collapsed="false">
      <c r="A61" s="78" t="s">
        <v>25</v>
      </c>
      <c r="B61" s="79" t="s">
        <v>24</v>
      </c>
      <c r="C61" s="80"/>
      <c r="D61" s="81" t="n">
        <f aca="false">D59/220*1.5</f>
        <v>14.1975681818182</v>
      </c>
      <c r="E61" s="81" t="n">
        <f aca="false">C61*D61</f>
        <v>0</v>
      </c>
      <c r="G61" s="11"/>
    </row>
    <row r="62" customFormat="false" ht="13.9" hidden="false" customHeight="true" outlineLevel="0" collapsed="false">
      <c r="A62" s="78" t="s">
        <v>26</v>
      </c>
      <c r="B62" s="79" t="s">
        <v>27</v>
      </c>
      <c r="D62" s="81" t="n">
        <f aca="false">63/302*(SUM(E60:E61))</f>
        <v>31.276020397351</v>
      </c>
      <c r="E62" s="81" t="n">
        <f aca="false">D62</f>
        <v>31.276020397351</v>
      </c>
      <c r="G62" s="11"/>
    </row>
    <row r="63" customFormat="false" ht="13.9" hidden="false" customHeight="true" outlineLevel="0" collapsed="false">
      <c r="A63" s="78" t="s">
        <v>28</v>
      </c>
      <c r="B63" s="79" t="s">
        <v>5</v>
      </c>
      <c r="C63" s="79" t="n">
        <v>40</v>
      </c>
      <c r="D63" s="81" t="n">
        <f aca="false">SUM(E59:E62)</f>
        <v>2263.51234039735</v>
      </c>
      <c r="E63" s="81" t="n">
        <f aca="false">C63*D63/100</f>
        <v>905.404936158941</v>
      </c>
      <c r="G63" s="11"/>
    </row>
    <row r="64" customFormat="false" ht="13.9" hidden="false" customHeight="true" outlineLevel="0" collapsed="false">
      <c r="A64" s="82" t="s">
        <v>29</v>
      </c>
      <c r="B64" s="83"/>
      <c r="C64" s="83"/>
      <c r="D64" s="84"/>
      <c r="E64" s="85" t="n">
        <f aca="false">SUM(E59:E63)</f>
        <v>3168.91727655629</v>
      </c>
      <c r="G64" s="11"/>
    </row>
    <row r="65" customFormat="false" ht="13.9" hidden="false" customHeight="true" outlineLevel="0" collapsed="false">
      <c r="A65" s="78" t="s">
        <v>30</v>
      </c>
      <c r="B65" s="79" t="s">
        <v>5</v>
      </c>
      <c r="C65" s="86" t="n">
        <f aca="false">'2.Encargos Sociais'!$C$31*100</f>
        <v>70.595952</v>
      </c>
      <c r="D65" s="81" t="n">
        <f aca="false">E64</f>
        <v>3168.91727655629</v>
      </c>
      <c r="E65" s="81" t="n">
        <f aca="false">D65*C65/100</f>
        <v>2237.12731947739</v>
      </c>
      <c r="G65" s="11"/>
    </row>
    <row r="66" customFormat="false" ht="13.9" hidden="false" customHeight="true" outlineLevel="0" collapsed="false">
      <c r="A66" s="82" t="s">
        <v>31</v>
      </c>
      <c r="B66" s="83"/>
      <c r="C66" s="83"/>
      <c r="D66" s="84"/>
      <c r="E66" s="85" t="n">
        <f aca="false">E64+E65</f>
        <v>5406.04459603368</v>
      </c>
      <c r="G66" s="11"/>
    </row>
    <row r="67" customFormat="false" ht="13.9" hidden="false" customHeight="true" outlineLevel="0" collapsed="false">
      <c r="A67" s="78" t="s">
        <v>32</v>
      </c>
      <c r="B67" s="79" t="s">
        <v>33</v>
      </c>
      <c r="C67" s="87" t="n">
        <f aca="false">E29</f>
        <v>2</v>
      </c>
      <c r="D67" s="81" t="n">
        <f aca="false">E66</f>
        <v>5406.04459603368</v>
      </c>
      <c r="E67" s="81" t="n">
        <f aca="false">C67*D67</f>
        <v>10812.0891920674</v>
      </c>
      <c r="G67" s="11"/>
    </row>
    <row r="68" customFormat="false" ht="13.9" hidden="false" customHeight="true" outlineLevel="0" collapsed="false">
      <c r="D68" s="88" t="s">
        <v>34</v>
      </c>
      <c r="E68" s="89" t="n">
        <f aca="false">'FATOR FU_OFICIAL'!F9</f>
        <v>1</v>
      </c>
      <c r="F68" s="90" t="n">
        <f aca="false">E67*E68</f>
        <v>10812.0891920674</v>
      </c>
      <c r="G68" s="11"/>
    </row>
    <row r="69" customFormat="false" ht="12.8" hidden="true" customHeight="false" outlineLevel="0" collapsed="false">
      <c r="A69" s="1" t="s">
        <v>36</v>
      </c>
    </row>
    <row r="70" customFormat="false" ht="12.8" hidden="true" customHeight="false" outlineLevel="0" collapsed="false">
      <c r="A70" s="70" t="s">
        <v>16</v>
      </c>
      <c r="B70" s="71" t="s">
        <v>17</v>
      </c>
      <c r="C70" s="71" t="s">
        <v>9</v>
      </c>
      <c r="D70" s="72" t="s">
        <v>18</v>
      </c>
      <c r="E70" s="72" t="s">
        <v>19</v>
      </c>
      <c r="F70" s="73" t="s">
        <v>20</v>
      </c>
    </row>
    <row r="71" customFormat="false" ht="12.8" hidden="true" customHeight="false" outlineLevel="0" collapsed="false">
      <c r="A71" s="74" t="s">
        <v>21</v>
      </c>
      <c r="B71" s="75" t="s">
        <v>22</v>
      </c>
      <c r="C71" s="75" t="n">
        <v>1</v>
      </c>
      <c r="D71" s="77" t="n">
        <f aca="false">D46</f>
        <v>2082.31</v>
      </c>
      <c r="E71" s="77" t="n">
        <f aca="false">C71*D71</f>
        <v>2082.31</v>
      </c>
    </row>
    <row r="72" customFormat="false" ht="12.8" hidden="true" customHeight="false" outlineLevel="0" collapsed="false">
      <c r="A72" s="78" t="s">
        <v>37</v>
      </c>
      <c r="B72" s="79" t="s">
        <v>38</v>
      </c>
      <c r="C72" s="80"/>
      <c r="D72" s="81"/>
      <c r="E72" s="81"/>
    </row>
    <row r="73" customFormat="false" ht="12.8" hidden="true" customHeight="false" outlineLevel="0" collapsed="false">
      <c r="A73" s="78"/>
      <c r="B73" s="79" t="s">
        <v>39</v>
      </c>
      <c r="C73" s="91" t="n">
        <f aca="false">C72*8/7</f>
        <v>0</v>
      </c>
      <c r="D73" s="81" t="n">
        <f aca="false">D71/220*0.2</f>
        <v>1.89300909090909</v>
      </c>
      <c r="E73" s="81" t="n">
        <f aca="false">C73*D73</f>
        <v>0</v>
      </c>
    </row>
    <row r="74" customFormat="false" ht="12.8" hidden="true" customHeight="false" outlineLevel="0" collapsed="false">
      <c r="A74" s="78" t="s">
        <v>23</v>
      </c>
      <c r="B74" s="79" t="s">
        <v>24</v>
      </c>
      <c r="C74" s="80"/>
      <c r="D74" s="81" t="n">
        <f aca="false">D71/220*2</f>
        <v>18.9300909090909</v>
      </c>
      <c r="E74" s="81" t="n">
        <f aca="false">C74*D74</f>
        <v>0</v>
      </c>
    </row>
    <row r="75" customFormat="false" ht="12.8" hidden="true" customHeight="false" outlineLevel="0" collapsed="false">
      <c r="A75" s="78" t="s">
        <v>40</v>
      </c>
      <c r="B75" s="79" t="s">
        <v>38</v>
      </c>
      <c r="C75" s="80"/>
      <c r="D75" s="81"/>
      <c r="E75" s="81"/>
    </row>
    <row r="76" customFormat="false" ht="12.8" hidden="true" customHeight="false" outlineLevel="0" collapsed="false">
      <c r="A76" s="78"/>
      <c r="B76" s="79" t="s">
        <v>39</v>
      </c>
      <c r="C76" s="91" t="n">
        <f aca="false">C75*8/7</f>
        <v>0</v>
      </c>
      <c r="D76" s="81" t="n">
        <f aca="false">D71/220*2*1.2</f>
        <v>22.7161090909091</v>
      </c>
      <c r="E76" s="81" t="n">
        <f aca="false">C76*D76</f>
        <v>0</v>
      </c>
    </row>
    <row r="77" customFormat="false" ht="12.8" hidden="true" customHeight="false" outlineLevel="0" collapsed="false">
      <c r="A77" s="78" t="s">
        <v>25</v>
      </c>
      <c r="B77" s="79" t="s">
        <v>24</v>
      </c>
      <c r="C77" s="80"/>
      <c r="D77" s="81" t="n">
        <f aca="false">D71/220*1.5</f>
        <v>14.1975681818182</v>
      </c>
      <c r="E77" s="81" t="n">
        <f aca="false">C77*D77</f>
        <v>0</v>
      </c>
    </row>
    <row r="78" customFormat="false" ht="12.8" hidden="true" customHeight="false" outlineLevel="0" collapsed="false">
      <c r="A78" s="78" t="s">
        <v>41</v>
      </c>
      <c r="B78" s="79" t="s">
        <v>38</v>
      </c>
      <c r="C78" s="80"/>
      <c r="D78" s="81"/>
      <c r="E78" s="81"/>
    </row>
    <row r="79" customFormat="false" ht="12.8" hidden="true" customHeight="false" outlineLevel="0" collapsed="false">
      <c r="A79" s="78"/>
      <c r="B79" s="79" t="s">
        <v>39</v>
      </c>
      <c r="C79" s="81" t="n">
        <f aca="false">C78*8/7</f>
        <v>0</v>
      </c>
      <c r="D79" s="81" t="n">
        <f aca="false">D71/220*1.5*1.2</f>
        <v>17.0370818181818</v>
      </c>
      <c r="E79" s="81" t="n">
        <f aca="false">C79*D79</f>
        <v>0</v>
      </c>
    </row>
    <row r="80" customFormat="false" ht="13.15" hidden="true" customHeight="true" outlineLevel="0" collapsed="false">
      <c r="A80" s="78" t="s">
        <v>26</v>
      </c>
      <c r="B80" s="79" t="s">
        <v>27</v>
      </c>
      <c r="D80" s="81" t="n">
        <f aca="false">63/302*(SUM(E74:E79))</f>
        <v>0</v>
      </c>
      <c r="E80" s="81" t="n">
        <f aca="false">D80</f>
        <v>0</v>
      </c>
    </row>
    <row r="81" customFormat="false" ht="12.8" hidden="true" customHeight="false" outlineLevel="0" collapsed="false">
      <c r="A81" s="78" t="s">
        <v>28</v>
      </c>
      <c r="B81" s="79" t="s">
        <v>5</v>
      </c>
      <c r="C81" s="79" t="n">
        <f aca="false">+C50</f>
        <v>40</v>
      </c>
      <c r="D81" s="81" t="n">
        <f aca="false">SUM(E71:E80)</f>
        <v>2082.31</v>
      </c>
      <c r="E81" s="81" t="n">
        <f aca="false">C81*D81/100</f>
        <v>832.924</v>
      </c>
    </row>
    <row r="82" customFormat="false" ht="12.8" hidden="true" customHeight="false" outlineLevel="0" collapsed="false">
      <c r="A82" s="82" t="s">
        <v>29</v>
      </c>
      <c r="B82" s="83"/>
      <c r="C82" s="83"/>
      <c r="D82" s="84"/>
      <c r="E82" s="85" t="n">
        <f aca="false">SUM(E71:E81)</f>
        <v>2915.234</v>
      </c>
    </row>
    <row r="83" customFormat="false" ht="12.8" hidden="true" customHeight="false" outlineLevel="0" collapsed="false">
      <c r="A83" s="78" t="s">
        <v>30</v>
      </c>
      <c r="B83" s="79" t="s">
        <v>5</v>
      </c>
      <c r="C83" s="86" t="n">
        <f aca="false">'2.Encargos Sociais'!$C$31*100</f>
        <v>70.595952</v>
      </c>
      <c r="D83" s="81" t="n">
        <f aca="false">E82</f>
        <v>2915.234</v>
      </c>
      <c r="E83" s="81" t="n">
        <f aca="false">D83*C83/100</f>
        <v>2058.03719532768</v>
      </c>
    </row>
    <row r="84" customFormat="false" ht="12.8" hidden="true" customHeight="false" outlineLevel="0" collapsed="false">
      <c r="A84" s="82" t="s">
        <v>31</v>
      </c>
      <c r="B84" s="83"/>
      <c r="C84" s="83"/>
      <c r="D84" s="84"/>
      <c r="E84" s="85" t="n">
        <f aca="false">E82+E83</f>
        <v>4973.27119532768</v>
      </c>
    </row>
    <row r="85" customFormat="false" ht="12.8" hidden="true" customHeight="false" outlineLevel="0" collapsed="false">
      <c r="A85" s="78" t="s">
        <v>32</v>
      </c>
      <c r="B85" s="79" t="s">
        <v>33</v>
      </c>
      <c r="C85" s="92" t="n">
        <v>0</v>
      </c>
      <c r="D85" s="81" t="n">
        <f aca="false">E84</f>
        <v>4973.27119532768</v>
      </c>
      <c r="E85" s="81" t="n">
        <f aca="false">C85*D85</f>
        <v>0</v>
      </c>
    </row>
    <row r="86" customFormat="false" ht="12.8" hidden="true" customHeight="false" outlineLevel="0" collapsed="false">
      <c r="D86" s="88" t="s">
        <v>34</v>
      </c>
      <c r="E86" s="93" t="n">
        <f aca="false">$B$40</f>
        <v>0.7158</v>
      </c>
      <c r="F86" s="90" t="n">
        <f aca="false">E85*E86</f>
        <v>0</v>
      </c>
    </row>
    <row r="87" customFormat="false" ht="11.25" hidden="false" customHeight="true" outlineLevel="0" collapsed="false"/>
    <row r="88" customFormat="false" ht="12.8" hidden="false" customHeight="false" outlineLevel="0" collapsed="false">
      <c r="A88" s="69" t="s">
        <v>42</v>
      </c>
    </row>
    <row r="89" customFormat="false" ht="13.15" hidden="false" customHeight="true" outlineLevel="0" collapsed="false">
      <c r="A89" s="70" t="s">
        <v>16</v>
      </c>
      <c r="B89" s="71" t="s">
        <v>17</v>
      </c>
      <c r="C89" s="71" t="s">
        <v>9</v>
      </c>
      <c r="D89" s="72" t="s">
        <v>18</v>
      </c>
      <c r="E89" s="72" t="s">
        <v>19</v>
      </c>
      <c r="F89" s="73" t="s">
        <v>20</v>
      </c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  <c r="AT89" s="94"/>
      <c r="AU89" s="94"/>
      <c r="AV89" s="94"/>
      <c r="AW89" s="94"/>
      <c r="AX89" s="94"/>
      <c r="AY89" s="94"/>
      <c r="AZ89" s="94"/>
      <c r="BA89" s="94"/>
      <c r="BB89" s="94"/>
      <c r="BC89" s="94"/>
      <c r="BD89" s="94"/>
      <c r="BE89" s="94"/>
      <c r="BF89" s="94"/>
      <c r="BG89" s="94"/>
      <c r="BH89" s="94"/>
      <c r="BI89" s="94"/>
      <c r="BJ89" s="94"/>
      <c r="BK89" s="94"/>
      <c r="BL89" s="94"/>
      <c r="BM89" s="94"/>
      <c r="BN89" s="94"/>
      <c r="BO89" s="94"/>
      <c r="BP89" s="94"/>
      <c r="BQ89" s="94"/>
      <c r="BR89" s="94"/>
      <c r="BS89" s="94"/>
      <c r="BT89" s="94"/>
      <c r="BU89" s="94"/>
      <c r="BV89" s="94"/>
      <c r="BW89" s="94"/>
      <c r="BX89" s="94"/>
      <c r="BY89" s="94"/>
      <c r="BZ89" s="94"/>
      <c r="CA89" s="94"/>
      <c r="CB89" s="94"/>
      <c r="CC89" s="94"/>
      <c r="CD89" s="94"/>
      <c r="CE89" s="94"/>
      <c r="CF89" s="94"/>
      <c r="CG89" s="94"/>
      <c r="CH89" s="94"/>
      <c r="CI89" s="94"/>
      <c r="CJ89" s="94"/>
      <c r="CK89" s="94"/>
      <c r="CL89" s="94"/>
      <c r="CM89" s="94"/>
      <c r="CN89" s="94"/>
      <c r="CO89" s="94"/>
      <c r="CP89" s="94"/>
      <c r="CQ89" s="94"/>
      <c r="CR89" s="94"/>
      <c r="CS89" s="94"/>
      <c r="CT89" s="94"/>
      <c r="CU89" s="94"/>
      <c r="CV89" s="94"/>
      <c r="CW89" s="94"/>
      <c r="CX89" s="94"/>
      <c r="CY89" s="94"/>
      <c r="CZ89" s="94"/>
      <c r="DA89" s="94"/>
      <c r="DB89" s="94"/>
      <c r="DC89" s="94"/>
      <c r="DD89" s="94"/>
      <c r="DE89" s="94"/>
      <c r="DF89" s="94"/>
      <c r="DG89" s="94"/>
      <c r="DH89" s="94"/>
      <c r="DI89" s="94"/>
      <c r="DJ89" s="94"/>
      <c r="DK89" s="94"/>
      <c r="DL89" s="94"/>
      <c r="DM89" s="94"/>
      <c r="DN89" s="94"/>
      <c r="DO89" s="94"/>
      <c r="DP89" s="94"/>
      <c r="DQ89" s="94"/>
      <c r="DR89" s="94"/>
      <c r="DS89" s="94"/>
      <c r="DT89" s="94"/>
      <c r="DU89" s="94"/>
      <c r="DV89" s="94"/>
      <c r="DW89" s="94"/>
      <c r="DX89" s="94"/>
      <c r="DY89" s="94"/>
      <c r="DZ89" s="94"/>
      <c r="EA89" s="94"/>
      <c r="EB89" s="94"/>
      <c r="EC89" s="94"/>
      <c r="ED89" s="94"/>
      <c r="EE89" s="94"/>
      <c r="EF89" s="94"/>
      <c r="EG89" s="94"/>
      <c r="EH89" s="94"/>
      <c r="EI89" s="94"/>
      <c r="EJ89" s="94"/>
      <c r="EK89" s="94"/>
      <c r="EL89" s="94"/>
      <c r="EM89" s="94"/>
      <c r="EN89" s="94"/>
      <c r="EO89" s="94"/>
      <c r="EP89" s="94"/>
      <c r="EQ89" s="94"/>
      <c r="ER89" s="94"/>
      <c r="ES89" s="94"/>
      <c r="ET89" s="94"/>
      <c r="EU89" s="94"/>
      <c r="EV89" s="94"/>
      <c r="EW89" s="94"/>
      <c r="EX89" s="94"/>
      <c r="EY89" s="94"/>
      <c r="EZ89" s="94"/>
      <c r="FA89" s="94"/>
      <c r="FB89" s="94"/>
      <c r="FC89" s="94"/>
      <c r="FD89" s="94"/>
      <c r="FE89" s="94"/>
      <c r="FF89" s="94"/>
      <c r="FG89" s="94"/>
      <c r="FH89" s="94"/>
      <c r="FI89" s="94"/>
      <c r="FJ89" s="94"/>
      <c r="FK89" s="94"/>
      <c r="FL89" s="94"/>
      <c r="FM89" s="94"/>
      <c r="FN89" s="94"/>
      <c r="FO89" s="94"/>
      <c r="FP89" s="94"/>
      <c r="FQ89" s="94"/>
      <c r="FR89" s="94"/>
      <c r="FS89" s="94"/>
      <c r="FT89" s="94"/>
      <c r="FU89" s="94"/>
      <c r="FV89" s="94"/>
      <c r="FW89" s="94"/>
      <c r="FX89" s="94"/>
      <c r="FY89" s="94"/>
      <c r="FZ89" s="94"/>
      <c r="GA89" s="94"/>
      <c r="GB89" s="94"/>
      <c r="GC89" s="94"/>
      <c r="GD89" s="94"/>
      <c r="GE89" s="94"/>
      <c r="GF89" s="94"/>
      <c r="GG89" s="94"/>
      <c r="GH89" s="94"/>
      <c r="GI89" s="94"/>
      <c r="GJ89" s="94"/>
      <c r="GK89" s="94"/>
      <c r="GL89" s="94"/>
      <c r="GM89" s="94"/>
      <c r="GN89" s="94"/>
      <c r="GO89" s="94"/>
      <c r="GP89" s="94"/>
      <c r="GQ89" s="94"/>
      <c r="GR89" s="94"/>
      <c r="GS89" s="94"/>
      <c r="GT89" s="94"/>
      <c r="GU89" s="94"/>
      <c r="GV89" s="94"/>
      <c r="GW89" s="94"/>
      <c r="GX89" s="94"/>
      <c r="GY89" s="94"/>
      <c r="GZ89" s="94"/>
      <c r="HA89" s="94"/>
      <c r="HB89" s="94"/>
      <c r="HC89" s="94"/>
      <c r="HD89" s="94"/>
      <c r="HE89" s="94"/>
      <c r="HF89" s="94"/>
      <c r="HG89" s="94"/>
      <c r="HH89" s="94"/>
      <c r="HI89" s="94"/>
      <c r="HJ89" s="94"/>
      <c r="HK89" s="94"/>
      <c r="HL89" s="94"/>
      <c r="HM89" s="94"/>
      <c r="HN89" s="94"/>
      <c r="HO89" s="94"/>
      <c r="HP89" s="94"/>
      <c r="HQ89" s="94"/>
      <c r="HR89" s="94"/>
      <c r="HS89" s="94"/>
      <c r="HT89" s="94"/>
      <c r="HU89" s="94"/>
      <c r="HV89" s="94"/>
      <c r="HW89" s="94"/>
      <c r="HX89" s="94"/>
      <c r="HY89" s="94"/>
      <c r="HZ89" s="94"/>
      <c r="IA89" s="94"/>
      <c r="IB89" s="94"/>
      <c r="IC89" s="94"/>
      <c r="ID89" s="94"/>
      <c r="IE89" s="94"/>
      <c r="IF89" s="94"/>
      <c r="IG89" s="94"/>
      <c r="IH89" s="94"/>
      <c r="II89" s="94"/>
      <c r="IJ89" s="94"/>
      <c r="IK89" s="94"/>
      <c r="IL89" s="94"/>
      <c r="IM89" s="94"/>
      <c r="IN89" s="94"/>
      <c r="IO89" s="94"/>
      <c r="IP89" s="94"/>
      <c r="IQ89" s="94"/>
      <c r="IR89" s="94"/>
      <c r="IS89" s="94"/>
      <c r="IT89" s="94"/>
      <c r="IU89" s="94"/>
      <c r="IV89" s="94"/>
      <c r="IW89" s="94"/>
      <c r="IX89" s="94"/>
      <c r="IY89" s="94"/>
      <c r="IZ89" s="94"/>
      <c r="JA89" s="94"/>
      <c r="JB89" s="94"/>
      <c r="JC89" s="94"/>
      <c r="JD89" s="94"/>
      <c r="JE89" s="94"/>
      <c r="JF89" s="94"/>
      <c r="JG89" s="94"/>
      <c r="JH89" s="94"/>
      <c r="JI89" s="94"/>
      <c r="JJ89" s="94"/>
      <c r="JK89" s="94"/>
      <c r="JL89" s="94"/>
      <c r="JM89" s="94"/>
      <c r="JN89" s="94"/>
      <c r="JO89" s="94"/>
      <c r="JP89" s="94"/>
      <c r="JQ89" s="94"/>
      <c r="JR89" s="94"/>
      <c r="JS89" s="94"/>
      <c r="JT89" s="94"/>
      <c r="JU89" s="94"/>
      <c r="JV89" s="94"/>
      <c r="JW89" s="94"/>
      <c r="JX89" s="94"/>
      <c r="JY89" s="94"/>
      <c r="JZ89" s="94"/>
      <c r="KA89" s="94"/>
      <c r="KB89" s="94"/>
      <c r="KC89" s="94"/>
      <c r="KD89" s="94"/>
      <c r="KE89" s="94"/>
      <c r="KF89" s="94"/>
      <c r="KG89" s="94"/>
      <c r="KH89" s="94"/>
      <c r="KI89" s="94"/>
      <c r="KJ89" s="94"/>
      <c r="KK89" s="94"/>
      <c r="KL89" s="94"/>
      <c r="KM89" s="94"/>
      <c r="KN89" s="94"/>
      <c r="KO89" s="94"/>
      <c r="KP89" s="94"/>
      <c r="KQ89" s="94"/>
      <c r="KR89" s="94"/>
      <c r="KS89" s="94"/>
      <c r="KT89" s="94"/>
      <c r="KU89" s="94"/>
      <c r="KV89" s="94"/>
      <c r="KW89" s="94"/>
      <c r="KX89" s="94"/>
      <c r="KY89" s="94"/>
      <c r="KZ89" s="94"/>
      <c r="LA89" s="94"/>
      <c r="LB89" s="94"/>
      <c r="LC89" s="94"/>
      <c r="LD89" s="94"/>
      <c r="LE89" s="94"/>
      <c r="LF89" s="94"/>
      <c r="LG89" s="94"/>
      <c r="LH89" s="94"/>
      <c r="LI89" s="94"/>
      <c r="LJ89" s="94"/>
      <c r="LK89" s="94"/>
      <c r="LL89" s="94"/>
      <c r="LM89" s="94"/>
      <c r="LN89" s="94"/>
      <c r="LO89" s="94"/>
      <c r="LP89" s="94"/>
      <c r="LQ89" s="94"/>
      <c r="LR89" s="94"/>
      <c r="LS89" s="94"/>
      <c r="LT89" s="94"/>
      <c r="LU89" s="94"/>
      <c r="LV89" s="94"/>
      <c r="LW89" s="94"/>
      <c r="LX89" s="94"/>
      <c r="LY89" s="94"/>
      <c r="LZ89" s="94"/>
      <c r="MA89" s="94"/>
      <c r="MB89" s="94"/>
      <c r="MC89" s="94"/>
      <c r="MD89" s="94"/>
      <c r="ME89" s="94"/>
      <c r="MF89" s="94"/>
      <c r="MG89" s="94"/>
      <c r="MH89" s="94"/>
      <c r="MI89" s="94"/>
      <c r="MJ89" s="94"/>
      <c r="MK89" s="94"/>
      <c r="ML89" s="94"/>
      <c r="MM89" s="94"/>
      <c r="MN89" s="94"/>
      <c r="MO89" s="94"/>
      <c r="MP89" s="94"/>
      <c r="MQ89" s="94"/>
      <c r="MR89" s="94"/>
      <c r="MS89" s="94"/>
      <c r="MT89" s="94"/>
      <c r="MU89" s="94"/>
      <c r="MV89" s="94"/>
      <c r="MW89" s="94"/>
      <c r="MX89" s="94"/>
      <c r="MY89" s="94"/>
      <c r="MZ89" s="94"/>
      <c r="NA89" s="94"/>
      <c r="NB89" s="94"/>
      <c r="NC89" s="94"/>
      <c r="ND89" s="94"/>
      <c r="NE89" s="94"/>
      <c r="NF89" s="94"/>
      <c r="NG89" s="94"/>
      <c r="NH89" s="94"/>
      <c r="NI89" s="94"/>
      <c r="NJ89" s="94"/>
      <c r="NK89" s="94"/>
      <c r="NL89" s="94"/>
      <c r="NM89" s="94"/>
      <c r="NN89" s="94"/>
      <c r="NO89" s="94"/>
      <c r="NP89" s="94"/>
      <c r="NQ89" s="94"/>
      <c r="NR89" s="94"/>
      <c r="NS89" s="94"/>
      <c r="NT89" s="94"/>
      <c r="NU89" s="94"/>
      <c r="NV89" s="94"/>
      <c r="NW89" s="94"/>
      <c r="NX89" s="94"/>
      <c r="NY89" s="94"/>
      <c r="NZ89" s="94"/>
      <c r="OA89" s="94"/>
      <c r="OB89" s="94"/>
      <c r="OC89" s="94"/>
      <c r="OD89" s="94"/>
      <c r="OE89" s="94"/>
      <c r="OF89" s="94"/>
      <c r="OG89" s="94"/>
      <c r="OH89" s="94"/>
      <c r="OI89" s="94"/>
      <c r="OJ89" s="94"/>
      <c r="OK89" s="94"/>
      <c r="OL89" s="94"/>
      <c r="OM89" s="94"/>
      <c r="ON89" s="94"/>
      <c r="OO89" s="94"/>
      <c r="OP89" s="94"/>
      <c r="OQ89" s="94"/>
      <c r="OR89" s="94"/>
      <c r="OS89" s="94"/>
      <c r="OT89" s="94"/>
      <c r="OU89" s="94"/>
      <c r="OV89" s="94"/>
      <c r="OW89" s="94"/>
      <c r="OX89" s="94"/>
      <c r="OY89" s="94"/>
      <c r="OZ89" s="94"/>
      <c r="PA89" s="94"/>
      <c r="PB89" s="94"/>
      <c r="PC89" s="94"/>
      <c r="PD89" s="94"/>
      <c r="PE89" s="94"/>
      <c r="PF89" s="94"/>
      <c r="PG89" s="94"/>
      <c r="PH89" s="94"/>
      <c r="PI89" s="94"/>
      <c r="PJ89" s="94"/>
      <c r="PK89" s="94"/>
      <c r="PL89" s="94"/>
      <c r="PM89" s="94"/>
      <c r="PN89" s="94"/>
      <c r="PO89" s="94"/>
      <c r="PP89" s="94"/>
      <c r="PQ89" s="94"/>
      <c r="PR89" s="94"/>
      <c r="PS89" s="94"/>
      <c r="PT89" s="94"/>
      <c r="PU89" s="94"/>
      <c r="PV89" s="94"/>
      <c r="PW89" s="94"/>
      <c r="PX89" s="94"/>
      <c r="PY89" s="94"/>
      <c r="PZ89" s="94"/>
      <c r="QA89" s="94"/>
      <c r="QB89" s="94"/>
      <c r="QC89" s="94"/>
      <c r="QD89" s="94"/>
      <c r="QE89" s="94"/>
      <c r="QF89" s="94"/>
      <c r="QG89" s="94"/>
      <c r="QH89" s="94"/>
      <c r="QI89" s="94"/>
      <c r="QJ89" s="94"/>
      <c r="QK89" s="94"/>
      <c r="QL89" s="94"/>
      <c r="QM89" s="94"/>
      <c r="QN89" s="94"/>
      <c r="QO89" s="94"/>
      <c r="QP89" s="94"/>
      <c r="QQ89" s="94"/>
      <c r="QR89" s="94"/>
      <c r="QS89" s="94"/>
      <c r="QT89" s="94"/>
      <c r="QU89" s="94"/>
      <c r="QV89" s="94"/>
      <c r="QW89" s="94"/>
      <c r="QX89" s="94"/>
      <c r="QY89" s="94"/>
      <c r="QZ89" s="94"/>
      <c r="RA89" s="94"/>
      <c r="RB89" s="94"/>
      <c r="RC89" s="94"/>
      <c r="RD89" s="94"/>
      <c r="RE89" s="94"/>
      <c r="RF89" s="94"/>
      <c r="RG89" s="94"/>
      <c r="RH89" s="94"/>
      <c r="RI89" s="94"/>
      <c r="RJ89" s="94"/>
      <c r="RK89" s="94"/>
      <c r="RL89" s="94"/>
      <c r="RM89" s="94"/>
      <c r="RN89" s="94"/>
      <c r="RO89" s="94"/>
      <c r="RP89" s="94"/>
      <c r="RQ89" s="94"/>
      <c r="RR89" s="94"/>
      <c r="RS89" s="94"/>
      <c r="RT89" s="94"/>
      <c r="RU89" s="94"/>
      <c r="RV89" s="94"/>
      <c r="RW89" s="94"/>
      <c r="RX89" s="94"/>
      <c r="RY89" s="94"/>
      <c r="RZ89" s="94"/>
      <c r="SA89" s="94"/>
      <c r="SB89" s="94"/>
      <c r="SC89" s="94"/>
      <c r="SD89" s="94"/>
      <c r="SE89" s="94"/>
      <c r="SF89" s="94"/>
      <c r="SG89" s="94"/>
      <c r="SH89" s="94"/>
      <c r="SI89" s="94"/>
      <c r="SJ89" s="94"/>
      <c r="SK89" s="94"/>
      <c r="SL89" s="94"/>
      <c r="SM89" s="94"/>
      <c r="SN89" s="94"/>
      <c r="SO89" s="94"/>
      <c r="SP89" s="94"/>
      <c r="SQ89" s="94"/>
      <c r="SR89" s="94"/>
      <c r="SS89" s="94"/>
      <c r="ST89" s="94"/>
      <c r="SU89" s="94"/>
      <c r="SV89" s="94"/>
      <c r="SW89" s="94"/>
      <c r="SX89" s="94"/>
      <c r="SY89" s="94"/>
      <c r="SZ89" s="94"/>
      <c r="TA89" s="94"/>
      <c r="TB89" s="94"/>
      <c r="TC89" s="94"/>
      <c r="TD89" s="94"/>
      <c r="TE89" s="94"/>
      <c r="TF89" s="94"/>
      <c r="TG89" s="94"/>
      <c r="TH89" s="94"/>
      <c r="TI89" s="94"/>
      <c r="TJ89" s="94"/>
      <c r="TK89" s="94"/>
      <c r="TL89" s="94"/>
      <c r="TM89" s="94"/>
      <c r="TN89" s="94"/>
      <c r="TO89" s="94"/>
      <c r="TP89" s="94"/>
      <c r="TQ89" s="94"/>
      <c r="TR89" s="94"/>
      <c r="TS89" s="94"/>
      <c r="TT89" s="94"/>
      <c r="TU89" s="94"/>
      <c r="TV89" s="94"/>
      <c r="TW89" s="94"/>
      <c r="TX89" s="94"/>
      <c r="TY89" s="94"/>
      <c r="TZ89" s="94"/>
      <c r="UA89" s="94"/>
      <c r="UB89" s="94"/>
      <c r="UC89" s="94"/>
      <c r="UD89" s="94"/>
      <c r="UE89" s="94"/>
      <c r="UF89" s="94"/>
      <c r="UG89" s="94"/>
      <c r="UH89" s="94"/>
      <c r="UI89" s="94"/>
      <c r="UJ89" s="94"/>
      <c r="UK89" s="94"/>
      <c r="UL89" s="94"/>
      <c r="UM89" s="94"/>
      <c r="UN89" s="94"/>
      <c r="UO89" s="94"/>
      <c r="UP89" s="94"/>
      <c r="UQ89" s="94"/>
      <c r="UR89" s="94"/>
      <c r="US89" s="94"/>
      <c r="UT89" s="94"/>
      <c r="UU89" s="94"/>
      <c r="UV89" s="94"/>
      <c r="UW89" s="94"/>
      <c r="UX89" s="94"/>
      <c r="UY89" s="94"/>
      <c r="UZ89" s="94"/>
      <c r="VA89" s="94"/>
      <c r="VB89" s="94"/>
      <c r="VC89" s="94"/>
      <c r="VD89" s="94"/>
      <c r="VE89" s="94"/>
      <c r="VF89" s="94"/>
      <c r="VG89" s="94"/>
      <c r="VH89" s="94"/>
      <c r="VI89" s="94"/>
      <c r="VJ89" s="94"/>
      <c r="VK89" s="94"/>
      <c r="VL89" s="94"/>
      <c r="VM89" s="94"/>
      <c r="VN89" s="94"/>
      <c r="VO89" s="94"/>
      <c r="VP89" s="94"/>
      <c r="VQ89" s="94"/>
      <c r="VR89" s="94"/>
      <c r="VS89" s="94"/>
      <c r="VT89" s="94"/>
      <c r="VU89" s="94"/>
      <c r="VV89" s="94"/>
      <c r="VW89" s="94"/>
      <c r="VX89" s="94"/>
      <c r="VY89" s="94"/>
      <c r="VZ89" s="94"/>
      <c r="WA89" s="94"/>
      <c r="WB89" s="94"/>
      <c r="WC89" s="94"/>
      <c r="WD89" s="94"/>
      <c r="WE89" s="94"/>
      <c r="WF89" s="94"/>
      <c r="WG89" s="94"/>
      <c r="WH89" s="94"/>
      <c r="WI89" s="94"/>
      <c r="WJ89" s="94"/>
      <c r="WK89" s="94"/>
      <c r="WL89" s="94"/>
      <c r="WM89" s="94"/>
      <c r="WN89" s="94"/>
      <c r="WO89" s="94"/>
      <c r="WP89" s="94"/>
      <c r="WQ89" s="94"/>
      <c r="WR89" s="94"/>
      <c r="WS89" s="94"/>
      <c r="WT89" s="94"/>
      <c r="WU89" s="94"/>
      <c r="WV89" s="94"/>
      <c r="WW89" s="94"/>
      <c r="WX89" s="94"/>
      <c r="WY89" s="94"/>
      <c r="WZ89" s="94"/>
      <c r="XA89" s="94"/>
      <c r="XB89" s="94"/>
      <c r="XC89" s="94"/>
      <c r="XD89" s="94"/>
      <c r="XE89" s="94"/>
      <c r="XF89" s="94"/>
      <c r="XG89" s="94"/>
      <c r="XH89" s="94"/>
      <c r="XI89" s="94"/>
      <c r="XJ89" s="94"/>
      <c r="XK89" s="94"/>
      <c r="XL89" s="94"/>
      <c r="XM89" s="94"/>
      <c r="XN89" s="94"/>
      <c r="XO89" s="94"/>
      <c r="XP89" s="94"/>
      <c r="XQ89" s="94"/>
      <c r="XR89" s="94"/>
      <c r="XS89" s="94"/>
      <c r="XT89" s="94"/>
      <c r="XU89" s="94"/>
      <c r="XV89" s="94"/>
      <c r="XW89" s="94"/>
      <c r="XX89" s="94"/>
      <c r="XY89" s="94"/>
      <c r="XZ89" s="94"/>
      <c r="YA89" s="94"/>
      <c r="YB89" s="94"/>
      <c r="YC89" s="94"/>
      <c r="YD89" s="94"/>
      <c r="YE89" s="94"/>
      <c r="YF89" s="94"/>
      <c r="YG89" s="94"/>
      <c r="YH89" s="94"/>
      <c r="YI89" s="94"/>
      <c r="YJ89" s="94"/>
      <c r="YK89" s="94"/>
      <c r="YL89" s="94"/>
      <c r="YM89" s="94"/>
      <c r="YN89" s="94"/>
      <c r="YO89" s="94"/>
      <c r="YP89" s="94"/>
      <c r="YQ89" s="94"/>
      <c r="YR89" s="94"/>
      <c r="YS89" s="94"/>
      <c r="YT89" s="94"/>
      <c r="YU89" s="94"/>
      <c r="YV89" s="94"/>
      <c r="YW89" s="94"/>
      <c r="YX89" s="94"/>
      <c r="YY89" s="94"/>
      <c r="YZ89" s="94"/>
      <c r="ZA89" s="94"/>
      <c r="ZB89" s="94"/>
      <c r="ZC89" s="94"/>
      <c r="ZD89" s="94"/>
      <c r="ZE89" s="94"/>
      <c r="ZF89" s="94"/>
      <c r="ZG89" s="94"/>
      <c r="ZH89" s="94"/>
      <c r="ZI89" s="94"/>
      <c r="ZJ89" s="94"/>
      <c r="ZK89" s="94"/>
      <c r="ZL89" s="94"/>
      <c r="ZM89" s="94"/>
      <c r="ZN89" s="94"/>
      <c r="ZO89" s="94"/>
      <c r="ZP89" s="94"/>
      <c r="ZQ89" s="94"/>
      <c r="ZR89" s="94"/>
      <c r="ZS89" s="94"/>
      <c r="ZT89" s="94"/>
      <c r="ZU89" s="94"/>
      <c r="ZV89" s="94"/>
      <c r="ZW89" s="94"/>
      <c r="ZX89" s="94"/>
      <c r="ZY89" s="94"/>
      <c r="ZZ89" s="94"/>
      <c r="AAA89" s="94"/>
      <c r="AAB89" s="94"/>
      <c r="AAC89" s="94"/>
      <c r="AAD89" s="94"/>
      <c r="AAE89" s="94"/>
      <c r="AAF89" s="94"/>
      <c r="AAG89" s="94"/>
      <c r="AAH89" s="94"/>
      <c r="AAI89" s="94"/>
      <c r="AAJ89" s="94"/>
      <c r="AAK89" s="94"/>
      <c r="AAL89" s="94"/>
      <c r="AAM89" s="94"/>
      <c r="AAN89" s="94"/>
      <c r="AAO89" s="94"/>
      <c r="AAP89" s="94"/>
      <c r="AAQ89" s="94"/>
      <c r="AAR89" s="94"/>
      <c r="AAS89" s="94"/>
      <c r="AAT89" s="94"/>
      <c r="AAU89" s="94"/>
      <c r="AAV89" s="94"/>
      <c r="AAW89" s="94"/>
      <c r="AAX89" s="94"/>
      <c r="AAY89" s="94"/>
      <c r="AAZ89" s="94"/>
      <c r="ABA89" s="94"/>
      <c r="ABB89" s="94"/>
      <c r="ABC89" s="94"/>
      <c r="ABD89" s="94"/>
      <c r="ABE89" s="94"/>
      <c r="ABF89" s="94"/>
      <c r="ABG89" s="94"/>
      <c r="ABH89" s="94"/>
      <c r="ABI89" s="94"/>
      <c r="ABJ89" s="94"/>
      <c r="ABK89" s="94"/>
      <c r="ABL89" s="94"/>
      <c r="ABM89" s="94"/>
      <c r="ABN89" s="94"/>
      <c r="ABO89" s="94"/>
      <c r="ABP89" s="94"/>
      <c r="ABQ89" s="94"/>
      <c r="ABR89" s="94"/>
      <c r="ABS89" s="94"/>
      <c r="ABT89" s="94"/>
      <c r="ABU89" s="94"/>
      <c r="ABV89" s="94"/>
      <c r="ABW89" s="94"/>
      <c r="ABX89" s="94"/>
      <c r="ABY89" s="94"/>
      <c r="ABZ89" s="94"/>
      <c r="ACA89" s="94"/>
      <c r="ACB89" s="94"/>
      <c r="ACC89" s="94"/>
      <c r="ACD89" s="94"/>
      <c r="ACE89" s="94"/>
      <c r="ACF89" s="94"/>
      <c r="ACG89" s="94"/>
      <c r="ACH89" s="94"/>
      <c r="ACI89" s="94"/>
      <c r="ACJ89" s="94"/>
      <c r="ACK89" s="94"/>
      <c r="ACL89" s="94"/>
      <c r="ACM89" s="94"/>
      <c r="ACN89" s="94"/>
      <c r="ACO89" s="94"/>
      <c r="ACP89" s="94"/>
      <c r="ACQ89" s="94"/>
      <c r="ACR89" s="94"/>
      <c r="ACS89" s="94"/>
      <c r="ACT89" s="94"/>
      <c r="ACU89" s="94"/>
      <c r="ACV89" s="94"/>
      <c r="ACW89" s="94"/>
      <c r="ACX89" s="94"/>
      <c r="ACY89" s="94"/>
      <c r="ACZ89" s="94"/>
      <c r="ADA89" s="94"/>
      <c r="ADB89" s="94"/>
      <c r="ADC89" s="94"/>
      <c r="ADD89" s="94"/>
      <c r="ADE89" s="94"/>
      <c r="ADF89" s="94"/>
      <c r="ADG89" s="94"/>
      <c r="ADH89" s="94"/>
      <c r="ADI89" s="94"/>
      <c r="ADJ89" s="94"/>
      <c r="ADK89" s="94"/>
      <c r="ADL89" s="94"/>
      <c r="ADM89" s="94"/>
      <c r="ADN89" s="94"/>
      <c r="ADO89" s="94"/>
      <c r="ADP89" s="94"/>
      <c r="ADQ89" s="94"/>
      <c r="ADR89" s="94"/>
      <c r="ADS89" s="94"/>
      <c r="ADT89" s="94"/>
      <c r="ADU89" s="94"/>
      <c r="ADV89" s="94"/>
      <c r="ADW89" s="94"/>
      <c r="ADX89" s="94"/>
      <c r="ADY89" s="94"/>
      <c r="ADZ89" s="94"/>
      <c r="AEA89" s="94"/>
      <c r="AEB89" s="94"/>
      <c r="AEC89" s="94"/>
      <c r="AED89" s="94"/>
      <c r="AEE89" s="94"/>
      <c r="AEF89" s="94"/>
      <c r="AEG89" s="94"/>
      <c r="AEH89" s="94"/>
      <c r="AEI89" s="94"/>
      <c r="AEJ89" s="94"/>
      <c r="AEK89" s="94"/>
      <c r="AEL89" s="94"/>
      <c r="AEM89" s="94"/>
      <c r="AEN89" s="94"/>
      <c r="AEO89" s="94"/>
      <c r="AEP89" s="94"/>
      <c r="AEQ89" s="94"/>
      <c r="AER89" s="94"/>
      <c r="AES89" s="94"/>
      <c r="AET89" s="94"/>
      <c r="AEU89" s="94"/>
      <c r="AEV89" s="94"/>
      <c r="AEW89" s="94"/>
      <c r="AEX89" s="94"/>
      <c r="AEY89" s="94"/>
      <c r="AEZ89" s="94"/>
      <c r="AFA89" s="94"/>
      <c r="AFB89" s="94"/>
      <c r="AFC89" s="94"/>
      <c r="AFD89" s="94"/>
      <c r="AFE89" s="94"/>
      <c r="AFF89" s="94"/>
      <c r="AFG89" s="94"/>
      <c r="AFH89" s="94"/>
      <c r="AFI89" s="94"/>
      <c r="AFJ89" s="94"/>
      <c r="AFK89" s="94"/>
      <c r="AFL89" s="94"/>
      <c r="AFM89" s="94"/>
      <c r="AFN89" s="94"/>
      <c r="AFO89" s="94"/>
      <c r="AFP89" s="94"/>
      <c r="AFQ89" s="94"/>
      <c r="AFR89" s="94"/>
      <c r="AFS89" s="94"/>
      <c r="AFT89" s="94"/>
      <c r="AFU89" s="94"/>
      <c r="AFV89" s="94"/>
      <c r="AFW89" s="94"/>
      <c r="AFX89" s="94"/>
      <c r="AFY89" s="94"/>
      <c r="AFZ89" s="94"/>
      <c r="AGA89" s="94"/>
      <c r="AGB89" s="94"/>
      <c r="AGC89" s="94"/>
      <c r="AGD89" s="94"/>
      <c r="AGE89" s="94"/>
      <c r="AGF89" s="94"/>
      <c r="AGG89" s="94"/>
      <c r="AGH89" s="94"/>
      <c r="AGI89" s="94"/>
      <c r="AGJ89" s="94"/>
      <c r="AGK89" s="94"/>
      <c r="AGL89" s="94"/>
      <c r="AGM89" s="94"/>
      <c r="AGN89" s="94"/>
      <c r="AGO89" s="94"/>
      <c r="AGP89" s="94"/>
      <c r="AGQ89" s="94"/>
      <c r="AGR89" s="94"/>
      <c r="AGS89" s="94"/>
      <c r="AGT89" s="94"/>
      <c r="AGU89" s="94"/>
      <c r="AGV89" s="94"/>
      <c r="AGW89" s="94"/>
      <c r="AGX89" s="94"/>
      <c r="AGY89" s="94"/>
      <c r="AGZ89" s="94"/>
      <c r="AHA89" s="94"/>
      <c r="AHB89" s="94"/>
      <c r="AHC89" s="94"/>
      <c r="AHD89" s="94"/>
      <c r="AHE89" s="94"/>
      <c r="AHF89" s="94"/>
      <c r="AHG89" s="94"/>
      <c r="AHH89" s="94"/>
      <c r="AHI89" s="94"/>
      <c r="AHJ89" s="94"/>
      <c r="AHK89" s="94"/>
      <c r="AHL89" s="94"/>
      <c r="AHM89" s="94"/>
      <c r="AHN89" s="94"/>
      <c r="AHO89" s="94"/>
      <c r="AHP89" s="94"/>
      <c r="AHQ89" s="94"/>
      <c r="AHR89" s="94"/>
      <c r="AHS89" s="94"/>
      <c r="AHT89" s="94"/>
      <c r="AHU89" s="94"/>
      <c r="AHV89" s="94"/>
      <c r="AHW89" s="94"/>
      <c r="AHX89" s="94"/>
      <c r="AHY89" s="94"/>
      <c r="AHZ89" s="94"/>
      <c r="AIA89" s="94"/>
      <c r="AIB89" s="94"/>
      <c r="AIC89" s="94"/>
      <c r="AID89" s="94"/>
      <c r="AIE89" s="94"/>
      <c r="AIF89" s="94"/>
      <c r="AIG89" s="94"/>
      <c r="AIH89" s="94"/>
      <c r="AII89" s="94"/>
      <c r="AIJ89" s="94"/>
      <c r="AIK89" s="94"/>
      <c r="AIL89" s="94"/>
      <c r="AIM89" s="94"/>
      <c r="AIN89" s="94"/>
      <c r="AIO89" s="94"/>
      <c r="AIP89" s="94"/>
      <c r="AIQ89" s="94"/>
      <c r="AIR89" s="94"/>
      <c r="AIS89" s="94"/>
      <c r="AIT89" s="94"/>
      <c r="AIU89" s="94"/>
      <c r="AIV89" s="94"/>
      <c r="AIW89" s="94"/>
      <c r="AIX89" s="94"/>
      <c r="AIY89" s="94"/>
      <c r="AIZ89" s="94"/>
      <c r="AJA89" s="94"/>
      <c r="AJB89" s="94"/>
      <c r="AJC89" s="94"/>
      <c r="AJD89" s="94"/>
      <c r="AJE89" s="94"/>
      <c r="AJF89" s="94"/>
      <c r="AJG89" s="94"/>
      <c r="AJH89" s="94"/>
      <c r="AJI89" s="94"/>
      <c r="AJJ89" s="94"/>
      <c r="AJK89" s="94"/>
      <c r="AJL89" s="94"/>
      <c r="AJM89" s="94"/>
      <c r="AJN89" s="94"/>
      <c r="AJO89" s="94"/>
      <c r="AJP89" s="94"/>
      <c r="AJQ89" s="94"/>
      <c r="AJR89" s="94"/>
      <c r="AJS89" s="94"/>
      <c r="AJT89" s="94"/>
      <c r="AJU89" s="94"/>
      <c r="AJV89" s="94"/>
      <c r="AJW89" s="94"/>
      <c r="AJX89" s="94"/>
      <c r="AJY89" s="94"/>
      <c r="AJZ89" s="94"/>
      <c r="AKA89" s="94"/>
      <c r="AKB89" s="94"/>
      <c r="AKC89" s="94"/>
      <c r="AKD89" s="94"/>
      <c r="AKE89" s="94"/>
      <c r="AKF89" s="94"/>
      <c r="AKG89" s="94"/>
      <c r="AKH89" s="94"/>
      <c r="AKI89" s="94"/>
      <c r="AKJ89" s="94"/>
      <c r="AKK89" s="94"/>
      <c r="AKL89" s="94"/>
      <c r="AKM89" s="94"/>
      <c r="AKN89" s="94"/>
      <c r="AKO89" s="94"/>
      <c r="AKP89" s="94"/>
      <c r="AKQ89" s="94"/>
      <c r="AKR89" s="94"/>
      <c r="AKS89" s="94"/>
      <c r="AKT89" s="94"/>
      <c r="AKU89" s="94"/>
      <c r="AKV89" s="94"/>
      <c r="AKW89" s="94"/>
      <c r="AKX89" s="94"/>
      <c r="AKY89" s="94"/>
      <c r="AKZ89" s="94"/>
      <c r="ALA89" s="94"/>
      <c r="ALB89" s="94"/>
      <c r="ALC89" s="94"/>
      <c r="ALD89" s="94"/>
      <c r="ALE89" s="94"/>
      <c r="ALF89" s="94"/>
      <c r="ALG89" s="94"/>
      <c r="ALH89" s="94"/>
      <c r="ALI89" s="94"/>
      <c r="ALJ89" s="94"/>
      <c r="ALK89" s="94"/>
      <c r="ALL89" s="94"/>
      <c r="ALM89" s="94"/>
      <c r="ALN89" s="94"/>
      <c r="ALO89" s="94"/>
      <c r="ALP89" s="94"/>
      <c r="ALQ89" s="94"/>
      <c r="ALR89" s="94"/>
      <c r="ALS89" s="94"/>
      <c r="ALT89" s="94"/>
      <c r="ALU89" s="94"/>
      <c r="ALV89" s="94"/>
      <c r="ALW89" s="94"/>
      <c r="ALX89" s="94"/>
      <c r="ALY89" s="94"/>
      <c r="ALZ89" s="94"/>
      <c r="AMA89" s="94"/>
      <c r="AMB89" s="94"/>
      <c r="AMC89" s="94"/>
      <c r="AMD89" s="94"/>
      <c r="AME89" s="94"/>
      <c r="AMF89" s="94"/>
      <c r="AMG89" s="94"/>
      <c r="AMH89" s="94"/>
      <c r="AMI89" s="94"/>
      <c r="AMJ89" s="94"/>
    </row>
    <row r="90" customFormat="false" ht="12.8" hidden="false" customHeight="false" outlineLevel="0" collapsed="false">
      <c r="A90" s="74" t="s">
        <v>43</v>
      </c>
      <c r="B90" s="75" t="s">
        <v>22</v>
      </c>
      <c r="C90" s="75" t="n">
        <v>1</v>
      </c>
      <c r="D90" s="76" t="n">
        <f aca="false">'VALORES BASE'!B2</f>
        <v>2827</v>
      </c>
      <c r="E90" s="77" t="n">
        <f aca="false">C90*D90</f>
        <v>2827</v>
      </c>
    </row>
    <row r="91" customFormat="false" ht="12.8" hidden="false" customHeight="false" outlineLevel="0" collapsed="false">
      <c r="A91" s="74" t="s">
        <v>44</v>
      </c>
      <c r="B91" s="75" t="s">
        <v>22</v>
      </c>
      <c r="C91" s="75" t="n">
        <v>1</v>
      </c>
      <c r="D91" s="76" t="n">
        <f aca="false">'VALORES BASE'!B40</f>
        <v>1621</v>
      </c>
      <c r="E91" s="77"/>
    </row>
    <row r="92" customFormat="false" ht="12.8" hidden="false" customHeight="false" outlineLevel="0" collapsed="false">
      <c r="A92" s="78" t="s">
        <v>23</v>
      </c>
      <c r="B92" s="79" t="s">
        <v>24</v>
      </c>
      <c r="C92" s="80" t="n">
        <f aca="false">'VALORES BASE'!B58</f>
        <v>7.92</v>
      </c>
      <c r="D92" s="81" t="n">
        <f aca="false">D90/220*2</f>
        <v>25.7</v>
      </c>
      <c r="E92" s="81" t="n">
        <f aca="false">C92*D92</f>
        <v>203.544</v>
      </c>
    </row>
    <row r="93" customFormat="false" ht="12.8" hidden="false" customHeight="false" outlineLevel="0" collapsed="false">
      <c r="A93" s="78" t="s">
        <v>25</v>
      </c>
      <c r="B93" s="79" t="s">
        <v>24</v>
      </c>
      <c r="C93" s="80"/>
      <c r="D93" s="81" t="n">
        <f aca="false">D90/220*1.5</f>
        <v>19.275</v>
      </c>
      <c r="E93" s="81" t="n">
        <f aca="false">C93*D93</f>
        <v>0</v>
      </c>
    </row>
    <row r="94" customFormat="false" ht="13.15" hidden="false" customHeight="true" outlineLevel="0" collapsed="false">
      <c r="A94" s="78" t="s">
        <v>26</v>
      </c>
      <c r="B94" s="79" t="s">
        <v>27</v>
      </c>
      <c r="D94" s="81" t="n">
        <f aca="false">63/302*(SUM(E92:E93))</f>
        <v>42.4611655629139</v>
      </c>
      <c r="E94" s="81" t="n">
        <f aca="false">D94</f>
        <v>42.4611655629139</v>
      </c>
    </row>
    <row r="95" customFormat="false" ht="12.8" hidden="false" customHeight="false" outlineLevel="0" collapsed="false">
      <c r="A95" s="78" t="s">
        <v>45</v>
      </c>
      <c r="B95" s="79"/>
      <c r="C95" s="87" t="n">
        <v>1</v>
      </c>
      <c r="D95" s="81"/>
      <c r="E95" s="81"/>
    </row>
    <row r="96" customFormat="false" ht="12.8" hidden="false" customHeight="false" outlineLevel="0" collapsed="false">
      <c r="A96" s="78" t="s">
        <v>28</v>
      </c>
      <c r="B96" s="79" t="s">
        <v>5</v>
      </c>
      <c r="C96" s="92" t="n">
        <v>40</v>
      </c>
      <c r="D96" s="81" t="n">
        <f aca="false">IF(C95=2,SUM(E90:E94),IF(C95=1,(SUM(E90:E94))*D91/D90,0))</f>
        <v>1762.05920529801</v>
      </c>
      <c r="E96" s="81" t="n">
        <f aca="false">C96*D96/100</f>
        <v>704.823682119205</v>
      </c>
    </row>
    <row r="97" customFormat="false" ht="12.8" hidden="false" customHeight="false" outlineLevel="0" collapsed="false">
      <c r="A97" s="95" t="s">
        <v>29</v>
      </c>
      <c r="B97" s="83"/>
      <c r="C97" s="83"/>
      <c r="D97" s="84"/>
      <c r="E97" s="96" t="n">
        <f aca="false">SUM(E90:E96)</f>
        <v>3777.82884768212</v>
      </c>
      <c r="F97" s="25"/>
      <c r="G97" s="25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</row>
    <row r="98" customFormat="false" ht="12.8" hidden="false" customHeight="false" outlineLevel="0" collapsed="false">
      <c r="A98" s="78" t="s">
        <v>30</v>
      </c>
      <c r="B98" s="79" t="s">
        <v>5</v>
      </c>
      <c r="C98" s="86" t="n">
        <f aca="false">'2.Encargos Sociais'!$C$31*100</f>
        <v>70.595952</v>
      </c>
      <c r="D98" s="81" t="n">
        <f aca="false">E97</f>
        <v>3777.82884768212</v>
      </c>
      <c r="E98" s="81" t="n">
        <f aca="false">D98*C98/100</f>
        <v>2666.99423995182</v>
      </c>
    </row>
    <row r="99" customFormat="false" ht="12.8" hidden="false" customHeight="false" outlineLevel="0" collapsed="false">
      <c r="A99" s="95" t="s">
        <v>46</v>
      </c>
      <c r="B99" s="97"/>
      <c r="C99" s="97"/>
      <c r="D99" s="98"/>
      <c r="E99" s="96" t="n">
        <f aca="false">E97+E98</f>
        <v>6444.82308763394</v>
      </c>
      <c r="F99" s="25"/>
      <c r="G99" s="25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</row>
    <row r="100" customFormat="false" ht="12.8" hidden="false" customHeight="false" outlineLevel="0" collapsed="false">
      <c r="A100" s="78" t="s">
        <v>32</v>
      </c>
      <c r="B100" s="79" t="s">
        <v>33</v>
      </c>
      <c r="C100" s="87" t="n">
        <f aca="false">E30</f>
        <v>4</v>
      </c>
      <c r="D100" s="81" t="n">
        <f aca="false">E99</f>
        <v>6444.82308763394</v>
      </c>
      <c r="E100" s="81" t="n">
        <f aca="false">C100*D100</f>
        <v>25779.2923505358</v>
      </c>
    </row>
    <row r="101" customFormat="false" ht="12.8" hidden="false" customHeight="false" outlineLevel="0" collapsed="false">
      <c r="D101" s="88" t="s">
        <v>34</v>
      </c>
      <c r="E101" s="89" t="n">
        <f aca="false">'FATOR FU_OFICIAL'!F5</f>
        <v>1</v>
      </c>
      <c r="F101" s="90" t="n">
        <f aca="false">E100*E101</f>
        <v>25779.2923505358</v>
      </c>
    </row>
    <row r="102" customFormat="false" ht="11.25" hidden="false" customHeight="true" outlineLevel="0" collapsed="false"/>
    <row r="103" customFormat="false" ht="11.25" hidden="false" customHeight="true" outlineLevel="0" collapsed="false">
      <c r="A103" s="69" t="s">
        <v>47</v>
      </c>
    </row>
    <row r="104" customFormat="false" ht="11.25" hidden="false" customHeight="true" outlineLevel="0" collapsed="false">
      <c r="A104" s="70" t="s">
        <v>16</v>
      </c>
      <c r="B104" s="71" t="s">
        <v>17</v>
      </c>
      <c r="C104" s="71" t="s">
        <v>9</v>
      </c>
      <c r="D104" s="72" t="s">
        <v>18</v>
      </c>
      <c r="E104" s="72" t="s">
        <v>19</v>
      </c>
      <c r="F104" s="73" t="s">
        <v>20</v>
      </c>
    </row>
    <row r="105" customFormat="false" ht="11.25" hidden="false" customHeight="true" outlineLevel="0" collapsed="false">
      <c r="A105" s="74" t="s">
        <v>43</v>
      </c>
      <c r="B105" s="75" t="s">
        <v>22</v>
      </c>
      <c r="C105" s="75" t="n">
        <v>1</v>
      </c>
      <c r="D105" s="76" t="n">
        <f aca="false">'VALORES BASE'!B2</f>
        <v>2827</v>
      </c>
      <c r="E105" s="77" t="n">
        <f aca="false">C105*D105</f>
        <v>2827</v>
      </c>
    </row>
    <row r="106" customFormat="false" ht="11.25" hidden="false" customHeight="true" outlineLevel="0" collapsed="false">
      <c r="A106" s="74" t="s">
        <v>44</v>
      </c>
      <c r="B106" s="75" t="s">
        <v>22</v>
      </c>
      <c r="C106" s="75" t="n">
        <v>1</v>
      </c>
      <c r="D106" s="76" t="n">
        <f aca="false">'VALORES BASE'!B40</f>
        <v>1621</v>
      </c>
      <c r="E106" s="77"/>
    </row>
    <row r="107" customFormat="false" ht="11.25" hidden="false" customHeight="true" outlineLevel="0" collapsed="false">
      <c r="A107" s="78" t="s">
        <v>23</v>
      </c>
      <c r="B107" s="79" t="s">
        <v>24</v>
      </c>
      <c r="C107" s="80" t="n">
        <f aca="false">'VALORES BASE'!B58</f>
        <v>7.92</v>
      </c>
      <c r="D107" s="81" t="n">
        <f aca="false">D105/220*2</f>
        <v>25.7</v>
      </c>
      <c r="E107" s="81" t="n">
        <f aca="false">C107*D107</f>
        <v>203.544</v>
      </c>
    </row>
    <row r="108" customFormat="false" ht="11.25" hidden="false" customHeight="true" outlineLevel="0" collapsed="false">
      <c r="A108" s="78" t="s">
        <v>25</v>
      </c>
      <c r="B108" s="79" t="s">
        <v>24</v>
      </c>
      <c r="C108" s="80"/>
      <c r="D108" s="81" t="n">
        <f aca="false">D105/220*1.5</f>
        <v>19.275</v>
      </c>
      <c r="E108" s="81" t="n">
        <f aca="false">C108*D108</f>
        <v>0</v>
      </c>
    </row>
    <row r="109" customFormat="false" ht="11.25" hidden="false" customHeight="true" outlineLevel="0" collapsed="false">
      <c r="A109" s="78" t="s">
        <v>26</v>
      </c>
      <c r="B109" s="79" t="s">
        <v>27</v>
      </c>
      <c r="D109" s="81" t="n">
        <f aca="false">63/302*(SUM(E107:E108))</f>
        <v>42.4611655629139</v>
      </c>
      <c r="E109" s="81" t="n">
        <f aca="false">D109</f>
        <v>42.4611655629139</v>
      </c>
    </row>
    <row r="110" customFormat="false" ht="11.25" hidden="false" customHeight="true" outlineLevel="0" collapsed="false">
      <c r="A110" s="78" t="s">
        <v>45</v>
      </c>
      <c r="B110" s="79"/>
      <c r="C110" s="87" t="n">
        <v>1</v>
      </c>
      <c r="D110" s="81"/>
      <c r="E110" s="81"/>
    </row>
    <row r="111" customFormat="false" ht="11.25" hidden="false" customHeight="true" outlineLevel="0" collapsed="false">
      <c r="A111" s="78" t="s">
        <v>28</v>
      </c>
      <c r="B111" s="79" t="s">
        <v>5</v>
      </c>
      <c r="C111" s="92" t="n">
        <v>40</v>
      </c>
      <c r="D111" s="81" t="n">
        <f aca="false">IF(C110=2,SUM(E105:E109),IF(C110=1,(SUM(E105:E109))*D106/D105,0))</f>
        <v>1762.05920529801</v>
      </c>
      <c r="E111" s="81" t="n">
        <f aca="false">C111*D111/100</f>
        <v>704.823682119205</v>
      </c>
    </row>
    <row r="112" customFormat="false" ht="11.25" hidden="false" customHeight="true" outlineLevel="0" collapsed="false">
      <c r="A112" s="95" t="s">
        <v>29</v>
      </c>
      <c r="B112" s="83"/>
      <c r="C112" s="83"/>
      <c r="D112" s="84"/>
      <c r="E112" s="96" t="n">
        <f aca="false">SUM(E105:E111)</f>
        <v>3777.82884768212</v>
      </c>
      <c r="F112" s="25"/>
    </row>
    <row r="113" customFormat="false" ht="11.25" hidden="false" customHeight="true" outlineLevel="0" collapsed="false">
      <c r="A113" s="78" t="s">
        <v>30</v>
      </c>
      <c r="B113" s="79" t="s">
        <v>5</v>
      </c>
      <c r="C113" s="86" t="n">
        <f aca="false">'2.Encargos Sociais'!$C$31*100</f>
        <v>70.595952</v>
      </c>
      <c r="D113" s="81" t="n">
        <f aca="false">E112</f>
        <v>3777.82884768212</v>
      </c>
      <c r="E113" s="81" t="n">
        <f aca="false">D113*C113/100</f>
        <v>2666.99423995182</v>
      </c>
    </row>
    <row r="114" customFormat="false" ht="11.25" hidden="false" customHeight="true" outlineLevel="0" collapsed="false">
      <c r="A114" s="95" t="s">
        <v>46</v>
      </c>
      <c r="B114" s="97"/>
      <c r="C114" s="97"/>
      <c r="D114" s="98"/>
      <c r="E114" s="96" t="n">
        <f aca="false">E112+E113</f>
        <v>6444.82308763394</v>
      </c>
      <c r="F114" s="25"/>
    </row>
    <row r="115" customFormat="false" ht="11.25" hidden="false" customHeight="true" outlineLevel="0" collapsed="false">
      <c r="A115" s="78" t="s">
        <v>32</v>
      </c>
      <c r="B115" s="79" t="s">
        <v>33</v>
      </c>
      <c r="C115" s="87" t="n">
        <f aca="false">E31</f>
        <v>2</v>
      </c>
      <c r="D115" s="81" t="n">
        <f aca="false">E114</f>
        <v>6444.82308763394</v>
      </c>
      <c r="E115" s="81" t="n">
        <f aca="false">C115*D115</f>
        <v>12889.6461752679</v>
      </c>
    </row>
    <row r="116" customFormat="false" ht="11.25" hidden="false" customHeight="true" outlineLevel="0" collapsed="false">
      <c r="D116" s="88" t="s">
        <v>34</v>
      </c>
      <c r="E116" s="89" t="n">
        <f aca="false">'FATOR FU_OFICIAL'!F9</f>
        <v>1</v>
      </c>
      <c r="F116" s="90" t="n">
        <f aca="false">E115*E116</f>
        <v>12889.6461752679</v>
      </c>
    </row>
    <row r="117" customFormat="false" ht="11.25" hidden="true" customHeight="true" outlineLevel="0" collapsed="false"/>
    <row r="118" customFormat="false" ht="11.25" hidden="true" customHeight="true" outlineLevel="0" collapsed="false"/>
    <row r="119" customFormat="false" ht="12.8" hidden="true" customHeight="false" outlineLevel="0" collapsed="false">
      <c r="A119" s="1" t="s">
        <v>48</v>
      </c>
    </row>
    <row r="120" customFormat="false" ht="12.8" hidden="true" customHeight="false" outlineLevel="0" collapsed="false">
      <c r="A120" s="70" t="s">
        <v>16</v>
      </c>
      <c r="B120" s="71" t="s">
        <v>17</v>
      </c>
      <c r="C120" s="71" t="s">
        <v>9</v>
      </c>
      <c r="D120" s="72" t="s">
        <v>18</v>
      </c>
      <c r="E120" s="72" t="s">
        <v>19</v>
      </c>
      <c r="F120" s="73" t="s">
        <v>20</v>
      </c>
    </row>
    <row r="121" customFormat="false" ht="12.8" hidden="true" customHeight="false" outlineLevel="0" collapsed="false">
      <c r="A121" s="74" t="s">
        <v>43</v>
      </c>
      <c r="B121" s="75" t="s">
        <v>22</v>
      </c>
      <c r="C121" s="75" t="n">
        <v>1</v>
      </c>
      <c r="D121" s="77" t="n">
        <f aca="false">D90</f>
        <v>2827</v>
      </c>
      <c r="E121" s="77" t="n">
        <f aca="false">C121*D121</f>
        <v>2827</v>
      </c>
    </row>
    <row r="122" customFormat="false" ht="12.8" hidden="true" customHeight="false" outlineLevel="0" collapsed="false">
      <c r="A122" s="74" t="s">
        <v>44</v>
      </c>
      <c r="B122" s="75" t="s">
        <v>22</v>
      </c>
      <c r="C122" s="75" t="n">
        <v>1</v>
      </c>
      <c r="D122" s="81" t="n">
        <f aca="false">D91</f>
        <v>1621</v>
      </c>
      <c r="E122" s="81"/>
    </row>
    <row r="123" customFormat="false" ht="12.8" hidden="true" customHeight="false" outlineLevel="0" collapsed="false">
      <c r="A123" s="78" t="s">
        <v>37</v>
      </c>
      <c r="B123" s="79" t="s">
        <v>38</v>
      </c>
      <c r="C123" s="80"/>
      <c r="D123" s="78"/>
      <c r="E123" s="78"/>
    </row>
    <row r="124" customFormat="false" ht="12.8" hidden="true" customHeight="false" outlineLevel="0" collapsed="false">
      <c r="A124" s="78"/>
      <c r="B124" s="79" t="s">
        <v>39</v>
      </c>
      <c r="C124" s="81" t="n">
        <f aca="false">C123*8/7</f>
        <v>0</v>
      </c>
      <c r="D124" s="81" t="n">
        <f aca="false">D121/220*0.2</f>
        <v>2.57</v>
      </c>
      <c r="E124" s="81" t="n">
        <f aca="false">C124*D124</f>
        <v>0</v>
      </c>
    </row>
    <row r="125" customFormat="false" ht="12.8" hidden="true" customHeight="false" outlineLevel="0" collapsed="false">
      <c r="A125" s="78" t="s">
        <v>23</v>
      </c>
      <c r="B125" s="79" t="s">
        <v>24</v>
      </c>
      <c r="C125" s="80"/>
      <c r="D125" s="81" t="n">
        <f aca="false">D121/220*2</f>
        <v>25.7</v>
      </c>
      <c r="E125" s="81" t="n">
        <f aca="false">C125*D125</f>
        <v>0</v>
      </c>
      <c r="G125" s="2" t="s">
        <v>49</v>
      </c>
    </row>
    <row r="126" customFormat="false" ht="12.8" hidden="true" customHeight="false" outlineLevel="0" collapsed="false">
      <c r="A126" s="78" t="s">
        <v>40</v>
      </c>
      <c r="B126" s="79" t="s">
        <v>38</v>
      </c>
      <c r="C126" s="80"/>
      <c r="D126" s="81"/>
      <c r="E126" s="81"/>
      <c r="G126" s="2" t="s">
        <v>50</v>
      </c>
    </row>
    <row r="127" customFormat="false" ht="12.8" hidden="true" customHeight="false" outlineLevel="0" collapsed="false">
      <c r="A127" s="78"/>
      <c r="B127" s="79" t="s">
        <v>39</v>
      </c>
      <c r="C127" s="81" t="n">
        <f aca="false">C126*8/7</f>
        <v>0</v>
      </c>
      <c r="D127" s="81" t="n">
        <f aca="false">D121/220*2*1.2</f>
        <v>30.84</v>
      </c>
      <c r="E127" s="81" t="n">
        <f aca="false">C127*D127</f>
        <v>0</v>
      </c>
      <c r="G127" s="2" t="s">
        <v>50</v>
      </c>
    </row>
    <row r="128" customFormat="false" ht="12.8" hidden="true" customHeight="false" outlineLevel="0" collapsed="false">
      <c r="A128" s="78" t="s">
        <v>25</v>
      </c>
      <c r="B128" s="79" t="s">
        <v>24</v>
      </c>
      <c r="C128" s="80"/>
      <c r="D128" s="81" t="n">
        <f aca="false">D121/220*1.5</f>
        <v>19.275</v>
      </c>
      <c r="E128" s="81" t="n">
        <f aca="false">C128*D128</f>
        <v>0</v>
      </c>
      <c r="G128" s="2" t="s">
        <v>51</v>
      </c>
    </row>
    <row r="129" customFormat="false" ht="12.8" hidden="true" customHeight="false" outlineLevel="0" collapsed="false">
      <c r="A129" s="78" t="s">
        <v>41</v>
      </c>
      <c r="B129" s="79" t="s">
        <v>38</v>
      </c>
      <c r="C129" s="80"/>
      <c r="D129" s="81"/>
      <c r="E129" s="81"/>
      <c r="G129" s="2" t="s">
        <v>52</v>
      </c>
    </row>
    <row r="130" customFormat="false" ht="12.8" hidden="true" customHeight="false" outlineLevel="0" collapsed="false">
      <c r="A130" s="78"/>
      <c r="B130" s="79" t="s">
        <v>39</v>
      </c>
      <c r="C130" s="81" t="n">
        <f aca="false">C129*8/7</f>
        <v>0</v>
      </c>
      <c r="D130" s="81" t="n">
        <f aca="false">D121/220*1.5*1.2</f>
        <v>23.13</v>
      </c>
      <c r="E130" s="81" t="n">
        <f aca="false">C130*D130</f>
        <v>0</v>
      </c>
      <c r="G130" s="2" t="s">
        <v>52</v>
      </c>
    </row>
    <row r="131" customFormat="false" ht="13.15" hidden="true" customHeight="true" outlineLevel="0" collapsed="false">
      <c r="A131" s="78" t="s">
        <v>26</v>
      </c>
      <c r="B131" s="79" t="s">
        <v>27</v>
      </c>
      <c r="D131" s="81" t="n">
        <f aca="false">63/302*(SUM(E125:E130))</f>
        <v>0</v>
      </c>
      <c r="E131" s="81" t="n">
        <f aca="false">D131</f>
        <v>0</v>
      </c>
      <c r="G131" s="2" t="s">
        <v>53</v>
      </c>
    </row>
    <row r="132" customFormat="false" ht="12.8" hidden="true" customHeight="false" outlineLevel="0" collapsed="false">
      <c r="A132" s="78" t="s">
        <v>45</v>
      </c>
      <c r="B132" s="79"/>
      <c r="C132" s="87"/>
      <c r="D132" s="81"/>
      <c r="E132" s="81"/>
    </row>
    <row r="133" customFormat="false" ht="12.8" hidden="true" customHeight="false" outlineLevel="0" collapsed="false">
      <c r="A133" s="78" t="s">
        <v>28</v>
      </c>
      <c r="B133" s="79" t="s">
        <v>5</v>
      </c>
      <c r="C133" s="81" t="n">
        <f aca="false">+C96</f>
        <v>40</v>
      </c>
      <c r="D133" s="81" t="n">
        <f aca="false">IF(C132=2,SUM(E121:E131),IF(C132=1,SUM(E121:E131)*D122/D121,0))</f>
        <v>0</v>
      </c>
      <c r="E133" s="81" t="n">
        <f aca="false">C133*D133/100</f>
        <v>0</v>
      </c>
    </row>
    <row r="134" customFormat="false" ht="12.8" hidden="true" customHeight="false" outlineLevel="0" collapsed="false">
      <c r="A134" s="82" t="s">
        <v>29</v>
      </c>
      <c r="B134" s="83"/>
      <c r="C134" s="83"/>
      <c r="D134" s="84"/>
      <c r="E134" s="85" t="n">
        <f aca="false">SUM(E121:E133)</f>
        <v>2827</v>
      </c>
      <c r="F134" s="25"/>
      <c r="G134" s="25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</row>
    <row r="135" customFormat="false" ht="12.8" hidden="true" customHeight="false" outlineLevel="0" collapsed="false">
      <c r="A135" s="78" t="s">
        <v>30</v>
      </c>
      <c r="B135" s="79" t="s">
        <v>5</v>
      </c>
      <c r="C135" s="86" t="n">
        <f aca="false">'2.Encargos Sociais'!$C$31*100</f>
        <v>70.595952</v>
      </c>
      <c r="D135" s="81" t="n">
        <f aca="false">E134</f>
        <v>2827</v>
      </c>
      <c r="E135" s="81" t="n">
        <f aca="false">D135*C135/100</f>
        <v>1995.74756304</v>
      </c>
    </row>
    <row r="136" customFormat="false" ht="12.8" hidden="true" customHeight="false" outlineLevel="0" collapsed="false">
      <c r="A136" s="82" t="s">
        <v>46</v>
      </c>
      <c r="B136" s="83"/>
      <c r="C136" s="83"/>
      <c r="D136" s="84"/>
      <c r="E136" s="85" t="n">
        <f aca="false">E134+E135</f>
        <v>4822.74756304</v>
      </c>
      <c r="F136" s="25"/>
      <c r="G136" s="25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</row>
    <row r="137" customFormat="false" ht="12.8" hidden="true" customHeight="false" outlineLevel="0" collapsed="false">
      <c r="A137" s="78" t="s">
        <v>32</v>
      </c>
      <c r="B137" s="79" t="s">
        <v>33</v>
      </c>
      <c r="C137" s="92" t="n">
        <v>0</v>
      </c>
      <c r="D137" s="81" t="n">
        <f aca="false">E136</f>
        <v>4822.74756304</v>
      </c>
      <c r="E137" s="81" t="n">
        <f aca="false">C137*D137</f>
        <v>0</v>
      </c>
    </row>
    <row r="138" customFormat="false" ht="12.8" hidden="true" customHeight="false" outlineLevel="0" collapsed="false">
      <c r="D138" s="88" t="s">
        <v>34</v>
      </c>
      <c r="E138" s="93" t="n">
        <f aca="false">$B$40</f>
        <v>0.7158</v>
      </c>
      <c r="F138" s="90" t="n">
        <f aca="false">E137*E138</f>
        <v>0</v>
      </c>
    </row>
    <row r="139" customFormat="false" ht="11.25" hidden="false" customHeight="true" outlineLevel="0" collapsed="false">
      <c r="G139" s="1"/>
    </row>
    <row r="140" customFormat="false" ht="11.25" hidden="false" customHeight="true" outlineLevel="0" collapsed="false">
      <c r="A140" s="69" t="s">
        <v>54</v>
      </c>
      <c r="G140" s="1"/>
    </row>
    <row r="141" customFormat="false" ht="11.25" hidden="false" customHeight="true" outlineLevel="0" collapsed="false">
      <c r="A141" s="70" t="s">
        <v>16</v>
      </c>
      <c r="B141" s="71" t="s">
        <v>17</v>
      </c>
      <c r="C141" s="71" t="s">
        <v>9</v>
      </c>
      <c r="D141" s="72" t="s">
        <v>18</v>
      </c>
      <c r="E141" s="72" t="s">
        <v>19</v>
      </c>
      <c r="F141" s="73" t="s">
        <v>20</v>
      </c>
      <c r="G141" s="1"/>
    </row>
    <row r="142" customFormat="false" ht="11.25" hidden="false" customHeight="true" outlineLevel="0" collapsed="false">
      <c r="A142" s="74" t="s">
        <v>43</v>
      </c>
      <c r="B142" s="75" t="s">
        <v>22</v>
      </c>
      <c r="C142" s="99" t="n">
        <f aca="false">E33</f>
        <v>1</v>
      </c>
      <c r="D142" s="76" t="n">
        <f aca="false">'VALORES BASE'!B2</f>
        <v>2827</v>
      </c>
      <c r="E142" s="77" t="n">
        <f aca="false">C142*D142</f>
        <v>2827</v>
      </c>
      <c r="G142" s="1"/>
    </row>
    <row r="143" customFormat="false" ht="11.25" hidden="false" customHeight="true" outlineLevel="0" collapsed="false">
      <c r="A143" s="74" t="s">
        <v>55</v>
      </c>
      <c r="B143" s="75" t="s">
        <v>5</v>
      </c>
      <c r="C143" s="99" t="n">
        <v>40</v>
      </c>
      <c r="D143" s="76" t="n">
        <f aca="false">D142</f>
        <v>2827</v>
      </c>
      <c r="E143" s="77" t="n">
        <f aca="false">D143*C143/100</f>
        <v>1130.8</v>
      </c>
      <c r="G143" s="1"/>
    </row>
    <row r="144" customFormat="false" ht="11.25" hidden="false" customHeight="true" outlineLevel="0" collapsed="false">
      <c r="A144" s="74" t="s">
        <v>44</v>
      </c>
      <c r="B144" s="75" t="s">
        <v>22</v>
      </c>
      <c r="C144" s="75" t="n">
        <v>1</v>
      </c>
      <c r="D144" s="76" t="n">
        <f aca="false">'VALORES BASE'!B40</f>
        <v>1621</v>
      </c>
      <c r="E144" s="77"/>
      <c r="G144" s="1"/>
    </row>
    <row r="145" customFormat="false" ht="11.25" hidden="false" customHeight="true" outlineLevel="0" collapsed="false">
      <c r="A145" s="78" t="s">
        <v>23</v>
      </c>
      <c r="B145" s="79" t="s">
        <v>24</v>
      </c>
      <c r="C145" s="80" t="n">
        <f aca="false">'VALORES BASE'!B64</f>
        <v>7.9164</v>
      </c>
      <c r="D145" s="81" t="n">
        <f aca="false">((D142+E143)/220)*2</f>
        <v>35.98</v>
      </c>
      <c r="E145" s="81" t="n">
        <f aca="false">C145*D145</f>
        <v>284.832072</v>
      </c>
      <c r="G145" s="1"/>
    </row>
    <row r="146" customFormat="false" ht="11.25" hidden="false" customHeight="true" outlineLevel="0" collapsed="false">
      <c r="A146" s="78" t="s">
        <v>25</v>
      </c>
      <c r="B146" s="79" t="s">
        <v>24</v>
      </c>
      <c r="C146" s="80"/>
      <c r="D146" s="81" t="n">
        <f aca="false">((D142+E143)/220)*1.5</f>
        <v>26.985</v>
      </c>
      <c r="E146" s="81" t="n">
        <f aca="false">C146*D146</f>
        <v>0</v>
      </c>
      <c r="G146" s="1"/>
    </row>
    <row r="147" customFormat="false" ht="11.25" hidden="false" customHeight="true" outlineLevel="0" collapsed="false">
      <c r="A147" s="78" t="s">
        <v>26</v>
      </c>
      <c r="B147" s="79" t="s">
        <v>27</v>
      </c>
      <c r="D147" s="81" t="n">
        <f aca="false">63/302*(SUM(E145:E146))</f>
        <v>59.4186110463576</v>
      </c>
      <c r="E147" s="81" t="n">
        <f aca="false">D147</f>
        <v>59.4186110463576</v>
      </c>
      <c r="G147" s="1"/>
    </row>
    <row r="148" customFormat="false" ht="11.25" hidden="false" customHeight="true" outlineLevel="0" collapsed="false">
      <c r="A148" s="78" t="s">
        <v>45</v>
      </c>
      <c r="B148" s="79"/>
      <c r="C148" s="87" t="n">
        <v>1</v>
      </c>
      <c r="D148" s="81"/>
      <c r="E148" s="81"/>
      <c r="G148" s="1"/>
    </row>
    <row r="149" customFormat="false" ht="11.25" hidden="false" customHeight="true" outlineLevel="0" collapsed="false">
      <c r="A149" s="78" t="s">
        <v>28</v>
      </c>
      <c r="B149" s="79" t="s">
        <v>5</v>
      </c>
      <c r="C149" s="92" t="n">
        <v>40</v>
      </c>
      <c r="D149" s="81" t="n">
        <f aca="false">IF(C148=2,SUM(E142:E147),IF(C148=1,(SUM(E142:E147))*D144/D142,0))</f>
        <v>2466.79312246839</v>
      </c>
      <c r="E149" s="81" t="n">
        <f aca="false">C149*D149/100</f>
        <v>986.717248987357</v>
      </c>
      <c r="G149" s="1"/>
    </row>
    <row r="150" customFormat="false" ht="11.25" hidden="false" customHeight="true" outlineLevel="0" collapsed="false">
      <c r="A150" s="95" t="s">
        <v>29</v>
      </c>
      <c r="B150" s="83"/>
      <c r="C150" s="83"/>
      <c r="D150" s="84"/>
      <c r="E150" s="96" t="n">
        <f aca="false">SUM(E142:E149)</f>
        <v>5288.76793203372</v>
      </c>
      <c r="F150" s="25"/>
      <c r="G150" s="1"/>
    </row>
    <row r="151" customFormat="false" ht="11.25" hidden="false" customHeight="true" outlineLevel="0" collapsed="false">
      <c r="A151" s="78" t="s">
        <v>30</v>
      </c>
      <c r="B151" s="79" t="s">
        <v>5</v>
      </c>
      <c r="C151" s="86" t="n">
        <f aca="false">'2.Encargos Sociais'!$C$31*100</f>
        <v>70.595952</v>
      </c>
      <c r="D151" s="81" t="n">
        <f aca="false">E150</f>
        <v>5288.76793203372</v>
      </c>
      <c r="E151" s="81" t="n">
        <f aca="false">D151*C151/100</f>
        <v>3733.65607068991</v>
      </c>
      <c r="G151" s="1"/>
    </row>
    <row r="152" customFormat="false" ht="11.25" hidden="false" customHeight="true" outlineLevel="0" collapsed="false">
      <c r="A152" s="95" t="s">
        <v>46</v>
      </c>
      <c r="B152" s="97"/>
      <c r="C152" s="97"/>
      <c r="D152" s="98"/>
      <c r="E152" s="96" t="n">
        <f aca="false">E150+E151</f>
        <v>9022.42400272363</v>
      </c>
      <c r="F152" s="25"/>
      <c r="G152" s="1"/>
    </row>
    <row r="153" customFormat="false" ht="11.25" hidden="false" customHeight="true" outlineLevel="0" collapsed="false">
      <c r="A153" s="78" t="s">
        <v>32</v>
      </c>
      <c r="B153" s="79" t="s">
        <v>33</v>
      </c>
      <c r="C153" s="87" t="n">
        <f aca="false">E33</f>
        <v>1</v>
      </c>
      <c r="D153" s="81" t="n">
        <f aca="false">E152</f>
        <v>9022.42400272363</v>
      </c>
      <c r="E153" s="81" t="n">
        <f aca="false">C153*D153</f>
        <v>9022.42400272363</v>
      </c>
      <c r="G153" s="1"/>
    </row>
    <row r="154" customFormat="false" ht="11.25" hidden="false" customHeight="true" outlineLevel="0" collapsed="false">
      <c r="D154" s="88" t="s">
        <v>34</v>
      </c>
      <c r="E154" s="89" t="n">
        <v>1</v>
      </c>
      <c r="F154" s="90" t="n">
        <f aca="false">E153*E154</f>
        <v>9022.42400272363</v>
      </c>
      <c r="G154" s="1"/>
    </row>
    <row r="155" customFormat="false" ht="11.25" hidden="false" customHeight="true" outlineLevel="0" collapsed="false">
      <c r="D155" s="88"/>
      <c r="E155" s="89"/>
      <c r="F155" s="88"/>
      <c r="G155" s="1"/>
    </row>
    <row r="156" customFormat="false" ht="11.25" hidden="false" customHeight="true" outlineLevel="0" collapsed="false">
      <c r="D156" s="88"/>
      <c r="E156" s="89"/>
      <c r="F156" s="88"/>
      <c r="G156" s="1"/>
    </row>
    <row r="157" customFormat="false" ht="12.8" hidden="false" customHeight="false" outlineLevel="0" collapsed="false">
      <c r="A157" s="69" t="s">
        <v>56</v>
      </c>
      <c r="B157" s="100"/>
      <c r="D157" s="1"/>
      <c r="E157" s="1"/>
      <c r="G157" s="1"/>
    </row>
    <row r="158" customFormat="false" ht="12.8" hidden="false" customHeight="false" outlineLevel="0" collapsed="false">
      <c r="A158" s="70" t="s">
        <v>16</v>
      </c>
      <c r="B158" s="71" t="s">
        <v>17</v>
      </c>
      <c r="C158" s="71" t="s">
        <v>9</v>
      </c>
      <c r="D158" s="72" t="s">
        <v>18</v>
      </c>
      <c r="E158" s="72" t="s">
        <v>19</v>
      </c>
      <c r="F158" s="73" t="s">
        <v>20</v>
      </c>
      <c r="G158" s="1"/>
    </row>
    <row r="159" customFormat="false" ht="12.8" hidden="false" customHeight="false" outlineLevel="0" collapsed="false">
      <c r="A159" s="78" t="s">
        <v>57</v>
      </c>
      <c r="B159" s="79" t="s">
        <v>27</v>
      </c>
      <c r="C159" s="101" t="n">
        <v>1</v>
      </c>
      <c r="D159" s="102" t="n">
        <f aca="false">'VALORES BASE'!B18</f>
        <v>6.4</v>
      </c>
      <c r="E159" s="81"/>
      <c r="G159" s="1"/>
    </row>
    <row r="160" customFormat="false" ht="12.8" hidden="false" customHeight="false" outlineLevel="0" collapsed="false">
      <c r="A160" s="78" t="s">
        <v>58</v>
      </c>
      <c r="B160" s="79" t="s">
        <v>59</v>
      </c>
      <c r="C160" s="103" t="n">
        <v>26</v>
      </c>
      <c r="D160" s="81"/>
      <c r="E160" s="81"/>
      <c r="G160" s="1"/>
    </row>
    <row r="161" customFormat="false" ht="12.8" hidden="false" customHeight="false" outlineLevel="0" collapsed="false">
      <c r="A161" s="78" t="s">
        <v>60</v>
      </c>
      <c r="B161" s="79" t="s">
        <v>61</v>
      </c>
      <c r="C161" s="104" t="n">
        <f aca="false">$C$160*2*(C54+C67)</f>
        <v>728</v>
      </c>
      <c r="D161" s="77" t="n">
        <f aca="false">IFERROR((($C$160*2*$D$159)-(E46*0.06*C160/26))/($C$160*2),"-")</f>
        <v>3.99733461538462</v>
      </c>
      <c r="E161" s="81" t="n">
        <f aca="false">IFERROR(C161*D161,"-")</f>
        <v>2910.0596</v>
      </c>
      <c r="G161" s="1"/>
    </row>
    <row r="162" customFormat="false" ht="12.8" hidden="false" customHeight="false" outlineLevel="0" collapsed="false">
      <c r="A162" s="74" t="s">
        <v>62</v>
      </c>
      <c r="B162" s="75" t="s">
        <v>61</v>
      </c>
      <c r="C162" s="104" t="n">
        <f aca="false">$C$160*2*(C100+C137+C115)</f>
        <v>312</v>
      </c>
      <c r="D162" s="77" t="n">
        <f aca="false">IFERROR((($C$160*2*$D$159)-(E90*0.06*C160/26))/($C$160*2),"-")</f>
        <v>3.13807692307692</v>
      </c>
      <c r="E162" s="77" t="n">
        <f aca="false">IFERROR(C162*D162,"-")</f>
        <v>979.08</v>
      </c>
      <c r="G162" s="1"/>
    </row>
    <row r="163" customFormat="false" ht="12.8" hidden="false" customHeight="false" outlineLevel="0" collapsed="false">
      <c r="A163" s="74" t="s">
        <v>63</v>
      </c>
      <c r="B163" s="75" t="s">
        <v>61</v>
      </c>
      <c r="C163" s="104" t="n">
        <f aca="false">$C$160*2*(C153)</f>
        <v>52</v>
      </c>
      <c r="D163" s="77" t="n">
        <f aca="false">IFERROR((($C$160*2*$D$159)-(D142*0.06*C160/26))/($C$160*2),"-")</f>
        <v>3.13807692307692</v>
      </c>
      <c r="E163" s="77" t="n">
        <f aca="false">IFERROR(C163*D163,"-")</f>
        <v>163.18</v>
      </c>
      <c r="G163" s="1"/>
    </row>
    <row r="164" customFormat="false" ht="12.8" hidden="false" customHeight="false" outlineLevel="0" collapsed="false">
      <c r="F164" s="105" t="n">
        <f aca="false">SUM(E161:E163)</f>
        <v>4052.3196</v>
      </c>
      <c r="G164" s="1"/>
    </row>
    <row r="165" customFormat="false" ht="11.25" hidden="false" customHeight="true" outlineLevel="0" collapsed="false">
      <c r="G165" s="1"/>
    </row>
    <row r="166" customFormat="false" ht="12.8" hidden="false" customHeight="false" outlineLevel="0" collapsed="false">
      <c r="A166" s="69" t="s">
        <v>64</v>
      </c>
      <c r="F166" s="25"/>
      <c r="G166" s="1"/>
    </row>
    <row r="167" customFormat="false" ht="12.8" hidden="false" customHeight="false" outlineLevel="0" collapsed="false">
      <c r="A167" s="70" t="s">
        <v>16</v>
      </c>
      <c r="B167" s="71" t="s">
        <v>17</v>
      </c>
      <c r="C167" s="71" t="s">
        <v>9</v>
      </c>
      <c r="D167" s="72" t="s">
        <v>18</v>
      </c>
      <c r="E167" s="72" t="s">
        <v>19</v>
      </c>
      <c r="F167" s="73" t="s">
        <v>20</v>
      </c>
      <c r="G167" s="1"/>
    </row>
    <row r="168" customFormat="false" ht="12.8" hidden="false" customHeight="false" outlineLevel="0" collapsed="false">
      <c r="A168" s="78" t="str">
        <f aca="false">+A161</f>
        <v>Coletor</v>
      </c>
      <c r="B168" s="79" t="s">
        <v>65</v>
      </c>
      <c r="C168" s="104" t="n">
        <f aca="false">C160*(E28+E29)</f>
        <v>364</v>
      </c>
      <c r="D168" s="106" t="n">
        <f aca="false">'VALORES BASE'!B19</f>
        <v>27.15</v>
      </c>
      <c r="E168" s="89" t="n">
        <f aca="false">C168*D168</f>
        <v>9882.6</v>
      </c>
      <c r="F168" s="25"/>
      <c r="G168" s="1"/>
    </row>
    <row r="169" customFormat="false" ht="12.8" hidden="false" customHeight="false" outlineLevel="0" collapsed="false">
      <c r="A169" s="78" t="str">
        <f aca="false">+A162</f>
        <v>Motorista</v>
      </c>
      <c r="B169" s="79" t="s">
        <v>65</v>
      </c>
      <c r="C169" s="104" t="n">
        <f aca="false">C160*(E30+E31+E32)</f>
        <v>156</v>
      </c>
      <c r="D169" s="106" t="n">
        <f aca="false">'VALORES BASE'!B20</f>
        <v>34</v>
      </c>
      <c r="E169" s="89" t="n">
        <f aca="false">C169*D169</f>
        <v>5304</v>
      </c>
      <c r="F169" s="25"/>
      <c r="G169" s="1"/>
    </row>
    <row r="170" customFormat="false" ht="12.8" hidden="false" customHeight="false" outlineLevel="0" collapsed="false">
      <c r="A170" s="78" t="str">
        <f aca="false">A163</f>
        <v>Líder de Equipe</v>
      </c>
      <c r="B170" s="79" t="s">
        <v>65</v>
      </c>
      <c r="C170" s="104" t="n">
        <f aca="false">C160*(E33)</f>
        <v>26</v>
      </c>
      <c r="D170" s="106" t="n">
        <f aca="false">'VALORES BASE'!B20</f>
        <v>34</v>
      </c>
      <c r="E170" s="89" t="n">
        <f aca="false">C170*D170</f>
        <v>884</v>
      </c>
      <c r="F170" s="25"/>
      <c r="G170" s="1"/>
    </row>
    <row r="171" customFormat="false" ht="12.8" hidden="false" customHeight="false" outlineLevel="0" collapsed="false">
      <c r="F171" s="105" t="n">
        <f aca="false">SUM(E168:E170)</f>
        <v>16070.6</v>
      </c>
      <c r="G171" s="1"/>
    </row>
    <row r="172" customFormat="false" ht="12.8" hidden="false" customHeight="false" outlineLevel="0" collapsed="false">
      <c r="G172" s="1"/>
    </row>
    <row r="173" customFormat="false" ht="12.8" hidden="false" customHeight="false" outlineLevel="0" collapsed="false">
      <c r="A173" s="69" t="s">
        <v>66</v>
      </c>
      <c r="F173" s="25"/>
      <c r="G173" s="1"/>
    </row>
    <row r="174" customFormat="false" ht="12.8" hidden="false" customHeight="false" outlineLevel="0" collapsed="false">
      <c r="A174" s="70" t="s">
        <v>16</v>
      </c>
      <c r="B174" s="71" t="s">
        <v>17</v>
      </c>
      <c r="C174" s="71" t="s">
        <v>9</v>
      </c>
      <c r="D174" s="72" t="s">
        <v>18</v>
      </c>
      <c r="E174" s="72" t="s">
        <v>19</v>
      </c>
      <c r="F174" s="73" t="s">
        <v>20</v>
      </c>
      <c r="G174" s="1"/>
    </row>
    <row r="175" customFormat="false" ht="12.8" hidden="false" customHeight="false" outlineLevel="0" collapsed="false">
      <c r="A175" s="78" t="str">
        <f aca="false">+A168</f>
        <v>Coletor</v>
      </c>
      <c r="B175" s="79" t="s">
        <v>65</v>
      </c>
      <c r="C175" s="104" t="n">
        <f aca="false">E28</f>
        <v>12</v>
      </c>
      <c r="D175" s="106" t="n">
        <f aca="false">'VALORES BASE'!B21</f>
        <v>300</v>
      </c>
      <c r="E175" s="89" t="n">
        <f aca="false">C175*D175</f>
        <v>3600</v>
      </c>
      <c r="F175" s="25"/>
      <c r="G175" s="1"/>
    </row>
    <row r="176" customFormat="false" ht="12.8" hidden="false" customHeight="false" outlineLevel="0" collapsed="false">
      <c r="A176" s="78" t="str">
        <f aca="false">+A169</f>
        <v>Motorista</v>
      </c>
      <c r="B176" s="79" t="s">
        <v>65</v>
      </c>
      <c r="C176" s="104" t="n">
        <f aca="false">E30</f>
        <v>4</v>
      </c>
      <c r="D176" s="106" t="n">
        <f aca="false">'VALORES BASE'!B22</f>
        <v>300</v>
      </c>
      <c r="E176" s="89" t="n">
        <f aca="false">C176*D176</f>
        <v>1200</v>
      </c>
      <c r="F176" s="25"/>
      <c r="G176" s="1"/>
    </row>
    <row r="177" customFormat="false" ht="12.8" hidden="false" customHeight="false" outlineLevel="0" collapsed="false">
      <c r="D177" s="88" t="s">
        <v>34</v>
      </c>
      <c r="E177" s="89" t="n">
        <f aca="false">'FATOR FU_OFICIAL'!F5</f>
        <v>1</v>
      </c>
      <c r="F177" s="105" t="n">
        <f aca="false">SUM(E175:E176)*E177</f>
        <v>4800</v>
      </c>
      <c r="G177" s="1"/>
    </row>
    <row r="178" customFormat="false" ht="12.8" hidden="false" customHeight="false" outlineLevel="0" collapsed="false">
      <c r="G178" s="1"/>
    </row>
    <row r="179" customFormat="false" ht="12.8" hidden="false" customHeight="false" outlineLevel="0" collapsed="false">
      <c r="A179" s="69" t="s">
        <v>67</v>
      </c>
      <c r="F179" s="25"/>
      <c r="G179" s="1"/>
    </row>
    <row r="180" customFormat="false" ht="12.8" hidden="false" customHeight="false" outlineLevel="0" collapsed="false">
      <c r="A180" s="70" t="s">
        <v>16</v>
      </c>
      <c r="B180" s="71" t="s">
        <v>17</v>
      </c>
      <c r="C180" s="71" t="s">
        <v>9</v>
      </c>
      <c r="D180" s="72" t="s">
        <v>18</v>
      </c>
      <c r="E180" s="72" t="s">
        <v>19</v>
      </c>
      <c r="F180" s="73" t="s">
        <v>20</v>
      </c>
      <c r="G180" s="1"/>
    </row>
    <row r="181" customFormat="false" ht="12.8" hidden="false" customHeight="false" outlineLevel="0" collapsed="false">
      <c r="A181" s="78" t="s">
        <v>68</v>
      </c>
      <c r="B181" s="79" t="s">
        <v>65</v>
      </c>
      <c r="C181" s="104" t="n">
        <f aca="false">E31</f>
        <v>2</v>
      </c>
      <c r="D181" s="106" t="n">
        <f aca="false">'VALORES BASE'!B21</f>
        <v>300</v>
      </c>
      <c r="E181" s="89" t="n">
        <f aca="false">C181*D181</f>
        <v>600</v>
      </c>
      <c r="F181" s="25"/>
      <c r="G181" s="1"/>
    </row>
    <row r="182" customFormat="false" ht="12.8" hidden="false" customHeight="false" outlineLevel="0" collapsed="false">
      <c r="A182" s="78" t="s">
        <v>69</v>
      </c>
      <c r="B182" s="79" t="s">
        <v>65</v>
      </c>
      <c r="C182" s="104" t="n">
        <f aca="false">E33</f>
        <v>1</v>
      </c>
      <c r="D182" s="106" t="n">
        <f aca="false">'VALORES BASE'!B22</f>
        <v>300</v>
      </c>
      <c r="E182" s="89" t="n">
        <f aca="false">C182*D182</f>
        <v>300</v>
      </c>
      <c r="F182" s="25"/>
      <c r="G182" s="1"/>
    </row>
    <row r="183" customFormat="false" ht="12.8" hidden="false" customHeight="false" outlineLevel="0" collapsed="false">
      <c r="A183" s="78" t="s">
        <v>70</v>
      </c>
      <c r="B183" s="79" t="s">
        <v>65</v>
      </c>
      <c r="C183" s="104" t="n">
        <f aca="false">E29</f>
        <v>2</v>
      </c>
      <c r="D183" s="106" t="n">
        <f aca="false">'VALORES BASE'!B22</f>
        <v>300</v>
      </c>
      <c r="E183" s="89" t="n">
        <f aca="false">C183*D183</f>
        <v>600</v>
      </c>
      <c r="F183" s="25"/>
      <c r="G183" s="1"/>
    </row>
    <row r="184" customFormat="false" ht="12.8" hidden="false" customHeight="false" outlineLevel="0" collapsed="false">
      <c r="D184" s="88" t="s">
        <v>34</v>
      </c>
      <c r="E184" s="89" t="n">
        <f aca="false">'FATOR FU_OFICIAL'!F9</f>
        <v>1</v>
      </c>
      <c r="F184" s="105" t="n">
        <f aca="false">SUM(E181:E183)*E184</f>
        <v>1500</v>
      </c>
      <c r="G184" s="1"/>
    </row>
    <row r="185" customFormat="false" ht="12.8" hidden="false" customHeight="false" outlineLevel="0" collapsed="false">
      <c r="G185" s="1"/>
    </row>
    <row r="186" customFormat="false" ht="12.8" hidden="false" customHeight="false" outlineLevel="0" collapsed="false">
      <c r="A186" s="107" t="s">
        <v>71</v>
      </c>
      <c r="B186" s="108"/>
      <c r="C186" s="108"/>
      <c r="D186" s="38"/>
      <c r="E186" s="109"/>
      <c r="F186" s="105" t="n">
        <f aca="false">F177+F116+F171+F164+F138+F101+F86+F55+F184+F154+F68</f>
        <v>149798.906472999</v>
      </c>
      <c r="G186" s="1"/>
    </row>
    <row r="188" customFormat="false" ht="12.8" hidden="false" customHeight="false" outlineLevel="0" collapsed="false">
      <c r="A188" s="26" t="s">
        <v>72</v>
      </c>
      <c r="G188" s="1"/>
    </row>
    <row r="189" customFormat="false" ht="11.25" hidden="false" customHeight="true" outlineLevel="0" collapsed="false">
      <c r="G189" s="1"/>
    </row>
    <row r="190" customFormat="false" ht="13.9" hidden="false" customHeight="true" outlineLevel="0" collapsed="false">
      <c r="A190" s="69" t="s">
        <v>73</v>
      </c>
      <c r="G190" s="1"/>
    </row>
    <row r="191" customFormat="false" ht="11.25" hidden="false" customHeight="true" outlineLevel="0" collapsed="false">
      <c r="G191" s="1"/>
    </row>
    <row r="192" customFormat="false" ht="27.75" hidden="false" customHeight="true" outlineLevel="0" collapsed="false">
      <c r="A192" s="70" t="s">
        <v>16</v>
      </c>
      <c r="B192" s="71" t="s">
        <v>17</v>
      </c>
      <c r="C192" s="110" t="s">
        <v>74</v>
      </c>
      <c r="D192" s="72" t="s">
        <v>18</v>
      </c>
      <c r="E192" s="72" t="s">
        <v>19</v>
      </c>
      <c r="F192" s="73" t="s">
        <v>20</v>
      </c>
      <c r="G192" s="1"/>
    </row>
    <row r="193" customFormat="false" ht="12.8" hidden="false" customHeight="false" outlineLevel="0" collapsed="false">
      <c r="A193" s="74" t="s">
        <v>75</v>
      </c>
      <c r="B193" s="75" t="s">
        <v>65</v>
      </c>
      <c r="C193" s="111" t="n">
        <v>6</v>
      </c>
      <c r="D193" s="76" t="n">
        <f aca="false">'VALORES BASE'!B5</f>
        <v>150</v>
      </c>
      <c r="E193" s="77" t="n">
        <f aca="false">IFERROR((D193/C193)*2,0)</f>
        <v>50</v>
      </c>
      <c r="G193" s="1"/>
    </row>
    <row r="194" customFormat="false" ht="13.15" hidden="false" customHeight="true" outlineLevel="0" collapsed="false">
      <c r="A194" s="78" t="s">
        <v>76</v>
      </c>
      <c r="B194" s="79" t="s">
        <v>65</v>
      </c>
      <c r="C194" s="111" t="n">
        <v>6</v>
      </c>
      <c r="D194" s="76" t="n">
        <f aca="false">'VALORES BASE'!B6</f>
        <v>64.66</v>
      </c>
      <c r="E194" s="77" t="n">
        <f aca="false">IFERROR((D194/C194)*2,0)</f>
        <v>21.5533333333333</v>
      </c>
      <c r="G194" s="1"/>
    </row>
    <row r="195" customFormat="false" ht="12.8" hidden="false" customHeight="false" outlineLevel="0" collapsed="false">
      <c r="A195" s="78" t="s">
        <v>77</v>
      </c>
      <c r="B195" s="79" t="s">
        <v>65</v>
      </c>
      <c r="C195" s="111" t="n">
        <v>6</v>
      </c>
      <c r="D195" s="76" t="n">
        <f aca="false">'VALORES BASE'!B7</f>
        <v>41.89</v>
      </c>
      <c r="E195" s="77" t="n">
        <f aca="false">IFERROR((D195/C195)*2,0)</f>
        <v>13.9633333333333</v>
      </c>
      <c r="G195" s="1"/>
    </row>
    <row r="196" customFormat="false" ht="13.15" hidden="false" customHeight="true" outlineLevel="0" collapsed="false">
      <c r="A196" s="78" t="s">
        <v>78</v>
      </c>
      <c r="B196" s="79" t="s">
        <v>65</v>
      </c>
      <c r="C196" s="111" t="n">
        <v>6</v>
      </c>
      <c r="D196" s="76" t="n">
        <f aca="false">'VALORES BASE'!B8</f>
        <v>165</v>
      </c>
      <c r="E196" s="77" t="n">
        <f aca="false">IFERROR(D196/C196,0)</f>
        <v>27.5</v>
      </c>
      <c r="G196" s="1"/>
    </row>
    <row r="197" customFormat="false" ht="13.15" hidden="false" customHeight="true" outlineLevel="0" collapsed="false">
      <c r="A197" s="78" t="s">
        <v>79</v>
      </c>
      <c r="B197" s="79" t="s">
        <v>65</v>
      </c>
      <c r="C197" s="111" t="n">
        <v>6</v>
      </c>
      <c r="D197" s="76" t="n">
        <f aca="false">'VALORES BASE'!B33</f>
        <v>5</v>
      </c>
      <c r="E197" s="77" t="n">
        <f aca="false">IFERROR((D197/C197)*2,0)</f>
        <v>1.66666666666667</v>
      </c>
      <c r="G197" s="1"/>
    </row>
    <row r="198" customFormat="false" ht="13.9" hidden="false" customHeight="true" outlineLevel="0" collapsed="false">
      <c r="A198" s="78" t="s">
        <v>80</v>
      </c>
      <c r="B198" s="79" t="s">
        <v>81</v>
      </c>
      <c r="C198" s="111" t="n">
        <v>6</v>
      </c>
      <c r="D198" s="76" t="n">
        <f aca="false">'VALORES BASE'!B9</f>
        <v>119.95</v>
      </c>
      <c r="E198" s="77" t="n">
        <f aca="false">IFERROR(D198/C198,0)</f>
        <v>19.9916666666667</v>
      </c>
      <c r="G198" s="1"/>
    </row>
    <row r="199" customFormat="false" ht="13.15" hidden="false" customHeight="true" outlineLevel="0" collapsed="false">
      <c r="A199" s="78" t="s">
        <v>82</v>
      </c>
      <c r="B199" s="79" t="s">
        <v>81</v>
      </c>
      <c r="C199" s="111" t="n">
        <v>3</v>
      </c>
      <c r="D199" s="76" t="n">
        <f aca="false">'VALORES BASE'!B10</f>
        <v>7.2</v>
      </c>
      <c r="E199" s="77" t="n">
        <f aca="false">IFERROR(D199/C199,0)</f>
        <v>2.4</v>
      </c>
    </row>
    <row r="200" customFormat="false" ht="12.8" hidden="false" customHeight="false" outlineLevel="0" collapsed="false">
      <c r="A200" s="78" t="s">
        <v>83</v>
      </c>
      <c r="B200" s="79" t="s">
        <v>65</v>
      </c>
      <c r="C200" s="111" t="n">
        <v>6</v>
      </c>
      <c r="D200" s="76" t="n">
        <f aca="false">'VALORES BASE'!B11</f>
        <v>43.19</v>
      </c>
      <c r="E200" s="77" t="n">
        <f aca="false">IFERROR(D200/C200,0)</f>
        <v>7.19833333333333</v>
      </c>
    </row>
    <row r="201" customFormat="false" ht="12.8" hidden="false" customHeight="false" outlineLevel="0" collapsed="false">
      <c r="A201" s="112" t="s">
        <v>84</v>
      </c>
      <c r="B201" s="113" t="s">
        <v>65</v>
      </c>
      <c r="C201" s="111" t="n">
        <v>6</v>
      </c>
      <c r="D201" s="76" t="n">
        <f aca="false">'VALORES BASE'!B12</f>
        <v>19.13</v>
      </c>
      <c r="E201" s="77" t="n">
        <f aca="false">IFERROR((D201/C201)*2,0)</f>
        <v>6.37666666666667</v>
      </c>
      <c r="F201" s="114"/>
      <c r="G201" s="114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  <c r="AR201" s="115"/>
      <c r="AS201" s="115"/>
      <c r="AT201" s="115"/>
      <c r="AU201" s="115"/>
      <c r="AV201" s="115"/>
      <c r="AW201" s="115"/>
      <c r="AX201" s="115"/>
      <c r="AY201" s="115"/>
      <c r="AZ201" s="115"/>
      <c r="BA201" s="115"/>
      <c r="BB201" s="115"/>
      <c r="BC201" s="115"/>
      <c r="BD201" s="115"/>
      <c r="BE201" s="115"/>
      <c r="BF201" s="115"/>
      <c r="BG201" s="115"/>
      <c r="BH201" s="115"/>
      <c r="BI201" s="115"/>
      <c r="BJ201" s="115"/>
      <c r="BK201" s="115"/>
      <c r="BL201" s="115"/>
      <c r="BM201" s="115"/>
      <c r="BN201" s="115"/>
      <c r="BO201" s="115"/>
      <c r="BP201" s="115"/>
      <c r="BQ201" s="115"/>
      <c r="BR201" s="115"/>
      <c r="BS201" s="115"/>
      <c r="BT201" s="115"/>
      <c r="BU201" s="115"/>
      <c r="BV201" s="115"/>
      <c r="BW201" s="115"/>
      <c r="BX201" s="115"/>
      <c r="BY201" s="115"/>
      <c r="BZ201" s="115"/>
      <c r="CA201" s="115"/>
      <c r="CB201" s="115"/>
      <c r="CC201" s="115"/>
      <c r="CD201" s="115"/>
      <c r="CE201" s="115"/>
      <c r="CF201" s="115"/>
      <c r="CG201" s="115"/>
      <c r="CH201" s="115"/>
      <c r="CI201" s="115"/>
      <c r="CJ201" s="115"/>
      <c r="CK201" s="115"/>
      <c r="CL201" s="115"/>
      <c r="CM201" s="115"/>
      <c r="CN201" s="115"/>
      <c r="CO201" s="115"/>
      <c r="CP201" s="115"/>
      <c r="CQ201" s="115"/>
      <c r="CR201" s="115"/>
      <c r="CS201" s="115"/>
      <c r="CT201" s="115"/>
      <c r="CU201" s="115"/>
      <c r="CV201" s="115"/>
      <c r="CW201" s="115"/>
      <c r="CX201" s="115"/>
      <c r="CY201" s="115"/>
      <c r="CZ201" s="115"/>
      <c r="DA201" s="115"/>
      <c r="DB201" s="115"/>
      <c r="DC201" s="115"/>
      <c r="DD201" s="115"/>
      <c r="DE201" s="115"/>
      <c r="DF201" s="115"/>
      <c r="DG201" s="115"/>
      <c r="DH201" s="115"/>
      <c r="DI201" s="115"/>
      <c r="DJ201" s="115"/>
      <c r="DK201" s="115"/>
      <c r="DL201" s="115"/>
      <c r="DM201" s="115"/>
      <c r="DN201" s="115"/>
      <c r="DO201" s="115"/>
      <c r="DP201" s="115"/>
      <c r="DQ201" s="115"/>
      <c r="DR201" s="115"/>
      <c r="DS201" s="115"/>
      <c r="DT201" s="115"/>
      <c r="DU201" s="115"/>
      <c r="DV201" s="115"/>
      <c r="DW201" s="115"/>
      <c r="DX201" s="115"/>
      <c r="DY201" s="115"/>
      <c r="DZ201" s="115"/>
      <c r="EA201" s="115"/>
      <c r="EB201" s="115"/>
      <c r="EC201" s="115"/>
      <c r="ED201" s="115"/>
      <c r="EE201" s="115"/>
      <c r="EF201" s="115"/>
      <c r="EG201" s="115"/>
      <c r="EH201" s="115"/>
      <c r="EI201" s="115"/>
      <c r="EJ201" s="115"/>
      <c r="EK201" s="115"/>
      <c r="EL201" s="115"/>
      <c r="EM201" s="115"/>
      <c r="EN201" s="115"/>
      <c r="EO201" s="115"/>
      <c r="EP201" s="115"/>
      <c r="EQ201" s="115"/>
      <c r="ER201" s="115"/>
      <c r="ES201" s="115"/>
      <c r="ET201" s="115"/>
      <c r="EU201" s="115"/>
      <c r="EV201" s="115"/>
      <c r="EW201" s="115"/>
      <c r="EX201" s="115"/>
      <c r="EY201" s="115"/>
      <c r="EZ201" s="115"/>
      <c r="FA201" s="115"/>
      <c r="FB201" s="115"/>
      <c r="FC201" s="115"/>
      <c r="FD201" s="115"/>
      <c r="FE201" s="115"/>
      <c r="FF201" s="115"/>
      <c r="FG201" s="115"/>
      <c r="FH201" s="115"/>
      <c r="FI201" s="115"/>
      <c r="FJ201" s="115"/>
      <c r="FK201" s="115"/>
      <c r="FL201" s="115"/>
      <c r="FM201" s="115"/>
      <c r="FN201" s="115"/>
      <c r="FO201" s="115"/>
      <c r="FP201" s="115"/>
      <c r="FQ201" s="115"/>
      <c r="FR201" s="115"/>
      <c r="FS201" s="115"/>
      <c r="FT201" s="115"/>
      <c r="FU201" s="115"/>
      <c r="FV201" s="115"/>
      <c r="FW201" s="115"/>
      <c r="FX201" s="115"/>
      <c r="FY201" s="115"/>
      <c r="FZ201" s="115"/>
      <c r="GA201" s="115"/>
      <c r="GB201" s="115"/>
      <c r="GC201" s="115"/>
      <c r="GD201" s="115"/>
      <c r="GE201" s="115"/>
      <c r="GF201" s="115"/>
      <c r="GG201" s="115"/>
      <c r="GH201" s="115"/>
      <c r="GI201" s="115"/>
      <c r="GJ201" s="115"/>
      <c r="GK201" s="115"/>
      <c r="GL201" s="115"/>
      <c r="GM201" s="115"/>
      <c r="GN201" s="115"/>
      <c r="GO201" s="115"/>
      <c r="GP201" s="115"/>
      <c r="GQ201" s="115"/>
      <c r="GR201" s="115"/>
      <c r="GS201" s="115"/>
      <c r="GT201" s="115"/>
      <c r="GU201" s="115"/>
      <c r="GV201" s="115"/>
      <c r="GW201" s="115"/>
      <c r="GX201" s="115"/>
      <c r="GY201" s="115"/>
      <c r="GZ201" s="115"/>
      <c r="HA201" s="115"/>
      <c r="HB201" s="115"/>
      <c r="HC201" s="115"/>
      <c r="HD201" s="115"/>
      <c r="HE201" s="115"/>
      <c r="HF201" s="115"/>
      <c r="HG201" s="115"/>
      <c r="HH201" s="115"/>
      <c r="HI201" s="115"/>
      <c r="HJ201" s="115"/>
      <c r="HK201" s="115"/>
      <c r="HL201" s="115"/>
      <c r="HM201" s="115"/>
      <c r="HN201" s="115"/>
      <c r="HO201" s="115"/>
      <c r="HP201" s="115"/>
      <c r="HQ201" s="115"/>
      <c r="HR201" s="115"/>
      <c r="HS201" s="115"/>
      <c r="HT201" s="115"/>
      <c r="HU201" s="115"/>
      <c r="HV201" s="115"/>
      <c r="HW201" s="115"/>
      <c r="HX201" s="115"/>
      <c r="HY201" s="115"/>
      <c r="HZ201" s="115"/>
      <c r="IA201" s="115"/>
      <c r="IB201" s="115"/>
      <c r="IC201" s="115"/>
      <c r="ID201" s="115"/>
      <c r="IE201" s="115"/>
      <c r="IF201" s="115"/>
      <c r="IG201" s="115"/>
      <c r="IH201" s="115"/>
      <c r="II201" s="115"/>
      <c r="IJ201" s="115"/>
      <c r="IK201" s="115"/>
      <c r="IL201" s="115"/>
      <c r="IM201" s="115"/>
      <c r="IN201" s="115"/>
      <c r="IO201" s="115"/>
      <c r="IP201" s="115"/>
      <c r="IQ201" s="115"/>
      <c r="IR201" s="115"/>
      <c r="IS201" s="115"/>
      <c r="IT201" s="115"/>
      <c r="IU201" s="115"/>
      <c r="IV201" s="115"/>
      <c r="IW201" s="115"/>
      <c r="IX201" s="115"/>
      <c r="IY201" s="115"/>
      <c r="IZ201" s="115"/>
      <c r="JA201" s="115"/>
      <c r="JB201" s="115"/>
      <c r="JC201" s="115"/>
      <c r="JD201" s="115"/>
      <c r="JE201" s="115"/>
      <c r="JF201" s="115"/>
      <c r="JG201" s="115"/>
      <c r="JH201" s="115"/>
      <c r="JI201" s="115"/>
      <c r="JJ201" s="115"/>
      <c r="JK201" s="115"/>
      <c r="JL201" s="115"/>
      <c r="JM201" s="115"/>
      <c r="JN201" s="115"/>
      <c r="JO201" s="115"/>
      <c r="JP201" s="115"/>
      <c r="JQ201" s="115"/>
      <c r="JR201" s="115"/>
      <c r="JS201" s="115"/>
      <c r="JT201" s="115"/>
      <c r="JU201" s="115"/>
      <c r="JV201" s="115"/>
      <c r="JW201" s="115"/>
      <c r="JX201" s="115"/>
      <c r="JY201" s="115"/>
      <c r="JZ201" s="115"/>
      <c r="KA201" s="115"/>
      <c r="KB201" s="115"/>
      <c r="KC201" s="115"/>
      <c r="KD201" s="115"/>
      <c r="KE201" s="115"/>
      <c r="KF201" s="115"/>
      <c r="KG201" s="115"/>
      <c r="KH201" s="115"/>
      <c r="KI201" s="115"/>
      <c r="KJ201" s="115"/>
      <c r="KK201" s="115"/>
      <c r="KL201" s="115"/>
      <c r="KM201" s="115"/>
      <c r="KN201" s="115"/>
      <c r="KO201" s="115"/>
      <c r="KP201" s="115"/>
      <c r="KQ201" s="115"/>
      <c r="KR201" s="115"/>
      <c r="KS201" s="115"/>
      <c r="KT201" s="115"/>
      <c r="KU201" s="115"/>
      <c r="KV201" s="115"/>
      <c r="KW201" s="115"/>
      <c r="KX201" s="115"/>
      <c r="KY201" s="115"/>
      <c r="KZ201" s="115"/>
      <c r="LA201" s="115"/>
      <c r="LB201" s="115"/>
      <c r="LC201" s="115"/>
      <c r="LD201" s="115"/>
      <c r="LE201" s="115"/>
      <c r="LF201" s="115"/>
      <c r="LG201" s="115"/>
      <c r="LH201" s="115"/>
      <c r="LI201" s="115"/>
      <c r="LJ201" s="115"/>
      <c r="LK201" s="115"/>
      <c r="LL201" s="115"/>
      <c r="LM201" s="115"/>
      <c r="LN201" s="115"/>
      <c r="LO201" s="115"/>
      <c r="LP201" s="115"/>
      <c r="LQ201" s="115"/>
      <c r="LR201" s="115"/>
      <c r="LS201" s="115"/>
      <c r="LT201" s="115"/>
      <c r="LU201" s="115"/>
      <c r="LV201" s="115"/>
      <c r="LW201" s="115"/>
      <c r="LX201" s="115"/>
      <c r="LY201" s="115"/>
      <c r="LZ201" s="115"/>
      <c r="MA201" s="115"/>
      <c r="MB201" s="115"/>
      <c r="MC201" s="115"/>
      <c r="MD201" s="115"/>
      <c r="ME201" s="115"/>
      <c r="MF201" s="115"/>
      <c r="MG201" s="115"/>
      <c r="MH201" s="115"/>
      <c r="MI201" s="115"/>
      <c r="MJ201" s="115"/>
      <c r="MK201" s="115"/>
      <c r="ML201" s="115"/>
      <c r="MM201" s="115"/>
      <c r="MN201" s="115"/>
      <c r="MO201" s="115"/>
      <c r="MP201" s="115"/>
      <c r="MQ201" s="115"/>
      <c r="MR201" s="115"/>
      <c r="MS201" s="115"/>
      <c r="MT201" s="115"/>
      <c r="MU201" s="115"/>
      <c r="MV201" s="115"/>
      <c r="MW201" s="115"/>
      <c r="MX201" s="115"/>
      <c r="MY201" s="115"/>
      <c r="MZ201" s="115"/>
      <c r="NA201" s="115"/>
      <c r="NB201" s="115"/>
      <c r="NC201" s="115"/>
      <c r="ND201" s="115"/>
      <c r="NE201" s="115"/>
      <c r="NF201" s="115"/>
      <c r="NG201" s="115"/>
      <c r="NH201" s="115"/>
      <c r="NI201" s="115"/>
      <c r="NJ201" s="115"/>
      <c r="NK201" s="115"/>
      <c r="NL201" s="115"/>
      <c r="NM201" s="115"/>
      <c r="NN201" s="115"/>
      <c r="NO201" s="115"/>
      <c r="NP201" s="115"/>
      <c r="NQ201" s="115"/>
      <c r="NR201" s="115"/>
      <c r="NS201" s="115"/>
      <c r="NT201" s="115"/>
      <c r="NU201" s="115"/>
      <c r="NV201" s="115"/>
      <c r="NW201" s="115"/>
      <c r="NX201" s="115"/>
      <c r="NY201" s="115"/>
      <c r="NZ201" s="115"/>
      <c r="OA201" s="115"/>
      <c r="OB201" s="115"/>
      <c r="OC201" s="115"/>
      <c r="OD201" s="115"/>
      <c r="OE201" s="115"/>
      <c r="OF201" s="115"/>
      <c r="OG201" s="115"/>
      <c r="OH201" s="115"/>
      <c r="OI201" s="115"/>
      <c r="OJ201" s="115"/>
      <c r="OK201" s="115"/>
      <c r="OL201" s="115"/>
      <c r="OM201" s="115"/>
      <c r="ON201" s="115"/>
      <c r="OO201" s="115"/>
      <c r="OP201" s="115"/>
      <c r="OQ201" s="115"/>
      <c r="OR201" s="115"/>
      <c r="OS201" s="115"/>
      <c r="OT201" s="115"/>
      <c r="OU201" s="115"/>
      <c r="OV201" s="115"/>
      <c r="OW201" s="115"/>
      <c r="OX201" s="115"/>
      <c r="OY201" s="115"/>
      <c r="OZ201" s="115"/>
      <c r="PA201" s="115"/>
      <c r="PB201" s="115"/>
      <c r="PC201" s="115"/>
      <c r="PD201" s="115"/>
      <c r="PE201" s="115"/>
      <c r="PF201" s="115"/>
      <c r="PG201" s="115"/>
      <c r="PH201" s="115"/>
      <c r="PI201" s="115"/>
      <c r="PJ201" s="115"/>
      <c r="PK201" s="115"/>
      <c r="PL201" s="115"/>
      <c r="PM201" s="115"/>
      <c r="PN201" s="115"/>
      <c r="PO201" s="115"/>
      <c r="PP201" s="115"/>
      <c r="PQ201" s="115"/>
      <c r="PR201" s="115"/>
      <c r="PS201" s="115"/>
      <c r="PT201" s="115"/>
      <c r="PU201" s="115"/>
      <c r="PV201" s="115"/>
      <c r="PW201" s="115"/>
      <c r="PX201" s="115"/>
      <c r="PY201" s="115"/>
      <c r="PZ201" s="115"/>
      <c r="QA201" s="115"/>
      <c r="QB201" s="115"/>
      <c r="QC201" s="115"/>
      <c r="QD201" s="115"/>
      <c r="QE201" s="115"/>
      <c r="QF201" s="115"/>
      <c r="QG201" s="115"/>
      <c r="QH201" s="115"/>
      <c r="QI201" s="115"/>
      <c r="QJ201" s="115"/>
      <c r="QK201" s="115"/>
      <c r="QL201" s="115"/>
      <c r="QM201" s="115"/>
      <c r="QN201" s="115"/>
      <c r="QO201" s="115"/>
      <c r="QP201" s="115"/>
      <c r="QQ201" s="115"/>
      <c r="QR201" s="115"/>
      <c r="QS201" s="115"/>
      <c r="QT201" s="115"/>
      <c r="QU201" s="115"/>
      <c r="QV201" s="115"/>
      <c r="QW201" s="115"/>
      <c r="QX201" s="115"/>
      <c r="QY201" s="115"/>
      <c r="QZ201" s="115"/>
      <c r="RA201" s="115"/>
      <c r="RB201" s="115"/>
      <c r="RC201" s="115"/>
      <c r="RD201" s="115"/>
      <c r="RE201" s="115"/>
      <c r="RF201" s="115"/>
      <c r="RG201" s="115"/>
      <c r="RH201" s="115"/>
      <c r="RI201" s="115"/>
      <c r="RJ201" s="115"/>
      <c r="RK201" s="115"/>
      <c r="RL201" s="115"/>
      <c r="RM201" s="115"/>
      <c r="RN201" s="115"/>
      <c r="RO201" s="115"/>
      <c r="RP201" s="115"/>
      <c r="RQ201" s="115"/>
      <c r="RR201" s="115"/>
      <c r="RS201" s="115"/>
      <c r="RT201" s="115"/>
      <c r="RU201" s="115"/>
      <c r="RV201" s="115"/>
      <c r="RW201" s="115"/>
      <c r="RX201" s="115"/>
      <c r="RY201" s="115"/>
      <c r="RZ201" s="115"/>
      <c r="SA201" s="115"/>
      <c r="SB201" s="115"/>
      <c r="SC201" s="115"/>
      <c r="SD201" s="115"/>
      <c r="SE201" s="115"/>
      <c r="SF201" s="115"/>
      <c r="SG201" s="115"/>
      <c r="SH201" s="115"/>
      <c r="SI201" s="115"/>
      <c r="SJ201" s="115"/>
      <c r="SK201" s="115"/>
      <c r="SL201" s="115"/>
      <c r="SM201" s="115"/>
      <c r="SN201" s="115"/>
      <c r="SO201" s="115"/>
      <c r="SP201" s="115"/>
      <c r="SQ201" s="115"/>
      <c r="SR201" s="115"/>
      <c r="SS201" s="115"/>
      <c r="ST201" s="115"/>
      <c r="SU201" s="115"/>
      <c r="SV201" s="115"/>
      <c r="SW201" s="115"/>
      <c r="SX201" s="115"/>
      <c r="SY201" s="115"/>
      <c r="SZ201" s="115"/>
      <c r="TA201" s="115"/>
      <c r="TB201" s="115"/>
      <c r="TC201" s="115"/>
      <c r="TD201" s="115"/>
      <c r="TE201" s="115"/>
      <c r="TF201" s="115"/>
      <c r="TG201" s="115"/>
      <c r="TH201" s="115"/>
      <c r="TI201" s="115"/>
      <c r="TJ201" s="115"/>
      <c r="TK201" s="115"/>
      <c r="TL201" s="115"/>
      <c r="TM201" s="115"/>
      <c r="TN201" s="115"/>
      <c r="TO201" s="115"/>
      <c r="TP201" s="115"/>
      <c r="TQ201" s="115"/>
      <c r="TR201" s="115"/>
      <c r="TS201" s="115"/>
      <c r="TT201" s="115"/>
      <c r="TU201" s="115"/>
      <c r="TV201" s="115"/>
      <c r="TW201" s="115"/>
      <c r="TX201" s="115"/>
      <c r="TY201" s="115"/>
      <c r="TZ201" s="115"/>
      <c r="UA201" s="115"/>
      <c r="UB201" s="115"/>
      <c r="UC201" s="115"/>
      <c r="UD201" s="115"/>
      <c r="UE201" s="115"/>
      <c r="UF201" s="115"/>
      <c r="UG201" s="115"/>
      <c r="UH201" s="115"/>
      <c r="UI201" s="115"/>
      <c r="UJ201" s="115"/>
      <c r="UK201" s="115"/>
      <c r="UL201" s="115"/>
      <c r="UM201" s="115"/>
      <c r="UN201" s="115"/>
      <c r="UO201" s="115"/>
      <c r="UP201" s="115"/>
      <c r="UQ201" s="115"/>
      <c r="UR201" s="115"/>
      <c r="US201" s="115"/>
      <c r="UT201" s="115"/>
      <c r="UU201" s="115"/>
      <c r="UV201" s="115"/>
      <c r="UW201" s="115"/>
      <c r="UX201" s="115"/>
      <c r="UY201" s="115"/>
      <c r="UZ201" s="115"/>
      <c r="VA201" s="115"/>
      <c r="VB201" s="115"/>
      <c r="VC201" s="115"/>
      <c r="VD201" s="115"/>
      <c r="VE201" s="115"/>
      <c r="VF201" s="115"/>
      <c r="VG201" s="115"/>
      <c r="VH201" s="115"/>
      <c r="VI201" s="115"/>
      <c r="VJ201" s="115"/>
      <c r="VK201" s="115"/>
      <c r="VL201" s="115"/>
      <c r="VM201" s="115"/>
      <c r="VN201" s="115"/>
      <c r="VO201" s="115"/>
      <c r="VP201" s="115"/>
      <c r="VQ201" s="115"/>
      <c r="VR201" s="115"/>
      <c r="VS201" s="115"/>
      <c r="VT201" s="115"/>
      <c r="VU201" s="115"/>
      <c r="VV201" s="115"/>
      <c r="VW201" s="115"/>
      <c r="VX201" s="115"/>
      <c r="VY201" s="115"/>
      <c r="VZ201" s="115"/>
      <c r="WA201" s="115"/>
      <c r="WB201" s="115"/>
      <c r="WC201" s="115"/>
      <c r="WD201" s="115"/>
      <c r="WE201" s="115"/>
      <c r="WF201" s="115"/>
      <c r="WG201" s="115"/>
      <c r="WH201" s="115"/>
      <c r="WI201" s="115"/>
      <c r="WJ201" s="115"/>
      <c r="WK201" s="115"/>
      <c r="WL201" s="115"/>
      <c r="WM201" s="115"/>
      <c r="WN201" s="115"/>
      <c r="WO201" s="115"/>
      <c r="WP201" s="115"/>
      <c r="WQ201" s="115"/>
      <c r="WR201" s="115"/>
      <c r="WS201" s="115"/>
      <c r="WT201" s="115"/>
      <c r="WU201" s="115"/>
      <c r="WV201" s="115"/>
      <c r="WW201" s="115"/>
      <c r="WX201" s="115"/>
      <c r="WY201" s="115"/>
      <c r="WZ201" s="115"/>
      <c r="XA201" s="115"/>
      <c r="XB201" s="115"/>
      <c r="XC201" s="115"/>
      <c r="XD201" s="115"/>
      <c r="XE201" s="115"/>
      <c r="XF201" s="115"/>
      <c r="XG201" s="115"/>
      <c r="XH201" s="115"/>
      <c r="XI201" s="115"/>
      <c r="XJ201" s="115"/>
      <c r="XK201" s="115"/>
      <c r="XL201" s="115"/>
      <c r="XM201" s="115"/>
      <c r="XN201" s="115"/>
      <c r="XO201" s="115"/>
      <c r="XP201" s="115"/>
      <c r="XQ201" s="115"/>
      <c r="XR201" s="115"/>
      <c r="XS201" s="115"/>
      <c r="XT201" s="115"/>
      <c r="XU201" s="115"/>
      <c r="XV201" s="115"/>
      <c r="XW201" s="115"/>
      <c r="XX201" s="115"/>
      <c r="XY201" s="115"/>
      <c r="XZ201" s="115"/>
      <c r="YA201" s="115"/>
      <c r="YB201" s="115"/>
      <c r="YC201" s="115"/>
      <c r="YD201" s="115"/>
      <c r="YE201" s="115"/>
      <c r="YF201" s="115"/>
      <c r="YG201" s="115"/>
      <c r="YH201" s="115"/>
      <c r="YI201" s="115"/>
      <c r="YJ201" s="115"/>
      <c r="YK201" s="115"/>
      <c r="YL201" s="115"/>
      <c r="YM201" s="115"/>
      <c r="YN201" s="115"/>
      <c r="YO201" s="115"/>
      <c r="YP201" s="115"/>
      <c r="YQ201" s="115"/>
      <c r="YR201" s="115"/>
      <c r="YS201" s="115"/>
      <c r="YT201" s="115"/>
      <c r="YU201" s="115"/>
      <c r="YV201" s="115"/>
      <c r="YW201" s="115"/>
      <c r="YX201" s="115"/>
      <c r="YY201" s="115"/>
      <c r="YZ201" s="115"/>
      <c r="ZA201" s="115"/>
      <c r="ZB201" s="115"/>
      <c r="ZC201" s="115"/>
      <c r="ZD201" s="115"/>
      <c r="ZE201" s="115"/>
      <c r="ZF201" s="115"/>
      <c r="ZG201" s="115"/>
      <c r="ZH201" s="115"/>
      <c r="ZI201" s="115"/>
      <c r="ZJ201" s="115"/>
      <c r="ZK201" s="115"/>
      <c r="ZL201" s="115"/>
      <c r="ZM201" s="115"/>
      <c r="ZN201" s="115"/>
      <c r="ZO201" s="115"/>
      <c r="ZP201" s="115"/>
      <c r="ZQ201" s="115"/>
      <c r="ZR201" s="115"/>
      <c r="ZS201" s="115"/>
      <c r="ZT201" s="115"/>
      <c r="ZU201" s="115"/>
      <c r="ZV201" s="115"/>
      <c r="ZW201" s="115"/>
      <c r="ZX201" s="115"/>
      <c r="ZY201" s="115"/>
      <c r="ZZ201" s="115"/>
      <c r="AAA201" s="115"/>
      <c r="AAB201" s="115"/>
      <c r="AAC201" s="115"/>
      <c r="AAD201" s="115"/>
      <c r="AAE201" s="115"/>
      <c r="AAF201" s="115"/>
      <c r="AAG201" s="115"/>
      <c r="AAH201" s="115"/>
      <c r="AAI201" s="115"/>
      <c r="AAJ201" s="115"/>
      <c r="AAK201" s="115"/>
      <c r="AAL201" s="115"/>
      <c r="AAM201" s="115"/>
      <c r="AAN201" s="115"/>
      <c r="AAO201" s="115"/>
      <c r="AAP201" s="115"/>
      <c r="AAQ201" s="115"/>
      <c r="AAR201" s="115"/>
      <c r="AAS201" s="115"/>
      <c r="AAT201" s="115"/>
      <c r="AAU201" s="115"/>
      <c r="AAV201" s="115"/>
      <c r="AAW201" s="115"/>
      <c r="AAX201" s="115"/>
      <c r="AAY201" s="115"/>
      <c r="AAZ201" s="115"/>
      <c r="ABA201" s="115"/>
      <c r="ABB201" s="115"/>
      <c r="ABC201" s="115"/>
      <c r="ABD201" s="115"/>
      <c r="ABE201" s="115"/>
      <c r="ABF201" s="115"/>
      <c r="ABG201" s="115"/>
      <c r="ABH201" s="115"/>
      <c r="ABI201" s="115"/>
      <c r="ABJ201" s="115"/>
      <c r="ABK201" s="115"/>
      <c r="ABL201" s="115"/>
      <c r="ABM201" s="115"/>
      <c r="ABN201" s="115"/>
      <c r="ABO201" s="115"/>
      <c r="ABP201" s="115"/>
      <c r="ABQ201" s="115"/>
      <c r="ABR201" s="115"/>
      <c r="ABS201" s="115"/>
      <c r="ABT201" s="115"/>
      <c r="ABU201" s="115"/>
      <c r="ABV201" s="115"/>
      <c r="ABW201" s="115"/>
      <c r="ABX201" s="115"/>
      <c r="ABY201" s="115"/>
      <c r="ABZ201" s="115"/>
      <c r="ACA201" s="115"/>
      <c r="ACB201" s="115"/>
      <c r="ACC201" s="115"/>
      <c r="ACD201" s="115"/>
      <c r="ACE201" s="115"/>
      <c r="ACF201" s="115"/>
      <c r="ACG201" s="115"/>
      <c r="ACH201" s="115"/>
      <c r="ACI201" s="115"/>
      <c r="ACJ201" s="115"/>
      <c r="ACK201" s="115"/>
      <c r="ACL201" s="115"/>
      <c r="ACM201" s="115"/>
      <c r="ACN201" s="115"/>
      <c r="ACO201" s="115"/>
      <c r="ACP201" s="115"/>
      <c r="ACQ201" s="115"/>
      <c r="ACR201" s="115"/>
      <c r="ACS201" s="115"/>
      <c r="ACT201" s="115"/>
      <c r="ACU201" s="115"/>
      <c r="ACV201" s="115"/>
      <c r="ACW201" s="115"/>
      <c r="ACX201" s="115"/>
      <c r="ACY201" s="115"/>
      <c r="ACZ201" s="115"/>
      <c r="ADA201" s="115"/>
      <c r="ADB201" s="115"/>
      <c r="ADC201" s="115"/>
      <c r="ADD201" s="115"/>
      <c r="ADE201" s="115"/>
      <c r="ADF201" s="115"/>
      <c r="ADG201" s="115"/>
      <c r="ADH201" s="115"/>
      <c r="ADI201" s="115"/>
      <c r="ADJ201" s="115"/>
      <c r="ADK201" s="115"/>
      <c r="ADL201" s="115"/>
      <c r="ADM201" s="115"/>
      <c r="ADN201" s="115"/>
      <c r="ADO201" s="115"/>
      <c r="ADP201" s="115"/>
      <c r="ADQ201" s="115"/>
      <c r="ADR201" s="115"/>
      <c r="ADS201" s="115"/>
      <c r="ADT201" s="115"/>
      <c r="ADU201" s="115"/>
      <c r="ADV201" s="115"/>
      <c r="ADW201" s="115"/>
      <c r="ADX201" s="115"/>
      <c r="ADY201" s="115"/>
      <c r="ADZ201" s="115"/>
      <c r="AEA201" s="115"/>
      <c r="AEB201" s="115"/>
      <c r="AEC201" s="115"/>
      <c r="AED201" s="115"/>
      <c r="AEE201" s="115"/>
      <c r="AEF201" s="115"/>
      <c r="AEG201" s="115"/>
      <c r="AEH201" s="115"/>
      <c r="AEI201" s="115"/>
      <c r="AEJ201" s="115"/>
      <c r="AEK201" s="115"/>
      <c r="AEL201" s="115"/>
      <c r="AEM201" s="115"/>
      <c r="AEN201" s="115"/>
      <c r="AEO201" s="115"/>
      <c r="AEP201" s="115"/>
      <c r="AEQ201" s="115"/>
      <c r="AER201" s="115"/>
      <c r="AES201" s="115"/>
      <c r="AET201" s="115"/>
      <c r="AEU201" s="115"/>
      <c r="AEV201" s="115"/>
      <c r="AEW201" s="115"/>
      <c r="AEX201" s="115"/>
      <c r="AEY201" s="115"/>
      <c r="AEZ201" s="115"/>
      <c r="AFA201" s="115"/>
      <c r="AFB201" s="115"/>
      <c r="AFC201" s="115"/>
      <c r="AFD201" s="115"/>
      <c r="AFE201" s="115"/>
      <c r="AFF201" s="115"/>
      <c r="AFG201" s="115"/>
      <c r="AFH201" s="115"/>
      <c r="AFI201" s="115"/>
      <c r="AFJ201" s="115"/>
      <c r="AFK201" s="115"/>
      <c r="AFL201" s="115"/>
      <c r="AFM201" s="115"/>
      <c r="AFN201" s="115"/>
      <c r="AFO201" s="115"/>
      <c r="AFP201" s="115"/>
      <c r="AFQ201" s="115"/>
      <c r="AFR201" s="115"/>
      <c r="AFS201" s="115"/>
      <c r="AFT201" s="115"/>
      <c r="AFU201" s="115"/>
      <c r="AFV201" s="115"/>
      <c r="AFW201" s="115"/>
      <c r="AFX201" s="115"/>
      <c r="AFY201" s="115"/>
      <c r="AFZ201" s="115"/>
      <c r="AGA201" s="115"/>
      <c r="AGB201" s="115"/>
      <c r="AGC201" s="115"/>
      <c r="AGD201" s="115"/>
      <c r="AGE201" s="115"/>
      <c r="AGF201" s="115"/>
      <c r="AGG201" s="115"/>
      <c r="AGH201" s="115"/>
      <c r="AGI201" s="115"/>
      <c r="AGJ201" s="115"/>
      <c r="AGK201" s="115"/>
      <c r="AGL201" s="115"/>
      <c r="AGM201" s="115"/>
      <c r="AGN201" s="115"/>
      <c r="AGO201" s="115"/>
      <c r="AGP201" s="115"/>
      <c r="AGQ201" s="115"/>
      <c r="AGR201" s="115"/>
      <c r="AGS201" s="115"/>
      <c r="AGT201" s="115"/>
      <c r="AGU201" s="115"/>
      <c r="AGV201" s="115"/>
      <c r="AGW201" s="115"/>
      <c r="AGX201" s="115"/>
      <c r="AGY201" s="115"/>
      <c r="AGZ201" s="115"/>
      <c r="AHA201" s="115"/>
      <c r="AHB201" s="115"/>
      <c r="AHC201" s="115"/>
      <c r="AHD201" s="115"/>
      <c r="AHE201" s="115"/>
      <c r="AHF201" s="115"/>
      <c r="AHG201" s="115"/>
      <c r="AHH201" s="115"/>
      <c r="AHI201" s="115"/>
      <c r="AHJ201" s="115"/>
      <c r="AHK201" s="115"/>
      <c r="AHL201" s="115"/>
      <c r="AHM201" s="115"/>
      <c r="AHN201" s="115"/>
      <c r="AHO201" s="115"/>
      <c r="AHP201" s="115"/>
      <c r="AHQ201" s="115"/>
      <c r="AHR201" s="115"/>
      <c r="AHS201" s="115"/>
      <c r="AHT201" s="115"/>
      <c r="AHU201" s="115"/>
      <c r="AHV201" s="115"/>
      <c r="AHW201" s="115"/>
      <c r="AHX201" s="115"/>
      <c r="AHY201" s="115"/>
      <c r="AHZ201" s="115"/>
      <c r="AIA201" s="115"/>
      <c r="AIB201" s="115"/>
      <c r="AIC201" s="115"/>
      <c r="AID201" s="115"/>
      <c r="AIE201" s="115"/>
      <c r="AIF201" s="115"/>
      <c r="AIG201" s="115"/>
      <c r="AIH201" s="115"/>
      <c r="AII201" s="115"/>
      <c r="AIJ201" s="115"/>
      <c r="AIK201" s="115"/>
      <c r="AIL201" s="115"/>
      <c r="AIM201" s="115"/>
      <c r="AIN201" s="115"/>
      <c r="AIO201" s="115"/>
      <c r="AIP201" s="115"/>
      <c r="AIQ201" s="115"/>
      <c r="AIR201" s="115"/>
      <c r="AIS201" s="115"/>
      <c r="AIT201" s="115"/>
      <c r="AIU201" s="115"/>
      <c r="AIV201" s="115"/>
      <c r="AIW201" s="115"/>
      <c r="AIX201" s="115"/>
      <c r="AIY201" s="115"/>
      <c r="AIZ201" s="115"/>
      <c r="AJA201" s="115"/>
      <c r="AJB201" s="115"/>
      <c r="AJC201" s="115"/>
      <c r="AJD201" s="115"/>
      <c r="AJE201" s="115"/>
      <c r="AJF201" s="115"/>
      <c r="AJG201" s="115"/>
      <c r="AJH201" s="115"/>
      <c r="AJI201" s="115"/>
      <c r="AJJ201" s="115"/>
      <c r="AJK201" s="115"/>
      <c r="AJL201" s="115"/>
      <c r="AJM201" s="115"/>
      <c r="AJN201" s="115"/>
      <c r="AJO201" s="115"/>
      <c r="AJP201" s="115"/>
      <c r="AJQ201" s="115"/>
      <c r="AJR201" s="115"/>
      <c r="AJS201" s="115"/>
      <c r="AJT201" s="115"/>
      <c r="AJU201" s="115"/>
      <c r="AJV201" s="115"/>
      <c r="AJW201" s="115"/>
      <c r="AJX201" s="115"/>
      <c r="AJY201" s="115"/>
      <c r="AJZ201" s="115"/>
      <c r="AKA201" s="115"/>
      <c r="AKB201" s="115"/>
      <c r="AKC201" s="115"/>
      <c r="AKD201" s="115"/>
      <c r="AKE201" s="115"/>
      <c r="AKF201" s="115"/>
      <c r="AKG201" s="115"/>
      <c r="AKH201" s="115"/>
      <c r="AKI201" s="115"/>
      <c r="AKJ201" s="115"/>
      <c r="AKK201" s="115"/>
      <c r="AKL201" s="115"/>
      <c r="AKM201" s="115"/>
      <c r="AKN201" s="115"/>
      <c r="AKO201" s="115"/>
      <c r="AKP201" s="115"/>
      <c r="AKQ201" s="115"/>
      <c r="AKR201" s="115"/>
      <c r="AKS201" s="115"/>
      <c r="AKT201" s="115"/>
      <c r="AKU201" s="115"/>
      <c r="AKV201" s="115"/>
      <c r="AKW201" s="115"/>
      <c r="AKX201" s="115"/>
      <c r="AKY201" s="115"/>
      <c r="AKZ201" s="115"/>
      <c r="ALA201" s="115"/>
      <c r="ALB201" s="115"/>
      <c r="ALC201" s="115"/>
      <c r="ALD201" s="115"/>
      <c r="ALE201" s="115"/>
      <c r="ALF201" s="115"/>
      <c r="ALG201" s="115"/>
      <c r="ALH201" s="115"/>
      <c r="ALI201" s="115"/>
      <c r="ALJ201" s="115"/>
      <c r="ALK201" s="115"/>
      <c r="ALL201" s="115"/>
      <c r="ALM201" s="115"/>
      <c r="ALN201" s="115"/>
      <c r="ALO201" s="115"/>
      <c r="ALP201" s="115"/>
      <c r="ALQ201" s="115"/>
      <c r="ALR201" s="115"/>
      <c r="ALS201" s="115"/>
      <c r="ALT201" s="115"/>
      <c r="ALU201" s="115"/>
      <c r="ALV201" s="115"/>
      <c r="ALW201" s="115"/>
      <c r="ALX201" s="115"/>
      <c r="ALY201" s="115"/>
      <c r="ALZ201" s="115"/>
      <c r="AMA201" s="115"/>
      <c r="AMB201" s="115"/>
      <c r="AMC201" s="115"/>
      <c r="AMD201" s="115"/>
      <c r="AME201" s="115"/>
      <c r="AMF201" s="115"/>
      <c r="AMG201" s="115"/>
      <c r="AMH201" s="115"/>
      <c r="AMI201" s="115"/>
      <c r="AMJ201" s="115"/>
    </row>
    <row r="202" customFormat="false" ht="12.8" hidden="false" customHeight="false" outlineLevel="0" collapsed="false">
      <c r="A202" s="78" t="s">
        <v>85</v>
      </c>
      <c r="B202" s="79" t="s">
        <v>81</v>
      </c>
      <c r="C202" s="111" t="n">
        <v>0.25</v>
      </c>
      <c r="D202" s="76" t="n">
        <f aca="false">'VALORES BASE'!B13</f>
        <v>28.39</v>
      </c>
      <c r="E202" s="77" t="n">
        <f aca="false">IFERROR(D202/C202,0)</f>
        <v>113.56</v>
      </c>
    </row>
    <row r="203" customFormat="false" ht="13.15" hidden="false" customHeight="true" outlineLevel="0" collapsed="false">
      <c r="A203" s="78" t="s">
        <v>86</v>
      </c>
      <c r="B203" s="79" t="s">
        <v>87</v>
      </c>
      <c r="C203" s="111" t="n">
        <v>1</v>
      </c>
      <c r="D203" s="76" t="n">
        <f aca="false">'VALORES BASE'!B14</f>
        <v>13.99</v>
      </c>
      <c r="E203" s="77" t="n">
        <f aca="false">IFERROR(D203/C203,0)</f>
        <v>13.99</v>
      </c>
    </row>
    <row r="204" customFormat="false" ht="12.8" hidden="false" customHeight="false" outlineLevel="0" collapsed="false">
      <c r="A204" s="78" t="s">
        <v>88</v>
      </c>
      <c r="B204" s="79" t="s">
        <v>89</v>
      </c>
      <c r="C204" s="116" t="n">
        <v>1</v>
      </c>
      <c r="D204" s="76" t="n">
        <f aca="false">'VALORES BASE'!B15</f>
        <v>100</v>
      </c>
      <c r="E204" s="81" t="n">
        <f aca="false">C204*D204</f>
        <v>100</v>
      </c>
    </row>
    <row r="205" customFormat="false" ht="12.8" hidden="false" customHeight="false" outlineLevel="0" collapsed="false">
      <c r="A205" s="78" t="s">
        <v>32</v>
      </c>
      <c r="B205" s="79" t="s">
        <v>33</v>
      </c>
      <c r="C205" s="116" t="n">
        <f aca="false">E28+E29</f>
        <v>14</v>
      </c>
      <c r="D205" s="81" t="n">
        <f aca="false">+SUM(E193:E204)</f>
        <v>378.2</v>
      </c>
      <c r="E205" s="81" t="n">
        <f aca="false">C205*D205</f>
        <v>5294.8</v>
      </c>
    </row>
    <row r="206" customFormat="false" ht="12.8" hidden="false" customHeight="false" outlineLevel="0" collapsed="false">
      <c r="D206" s="88" t="s">
        <v>34</v>
      </c>
      <c r="E206" s="89" t="n">
        <f aca="false">'FATOR FU_OFICIAL'!F5</f>
        <v>1</v>
      </c>
      <c r="F206" s="90" t="n">
        <f aca="false">E205*E206</f>
        <v>5294.8</v>
      </c>
    </row>
    <row r="207" customFormat="false" ht="11.25" hidden="false" customHeight="true" outlineLevel="0" collapsed="false"/>
    <row r="208" customFormat="false" ht="13.9" hidden="false" customHeight="true" outlineLevel="0" collapsed="false">
      <c r="A208" s="69" t="s">
        <v>90</v>
      </c>
    </row>
    <row r="209" customFormat="false" ht="11.25" hidden="false" customHeight="true" outlineLevel="0" collapsed="false"/>
    <row r="210" customFormat="false" ht="24.85" hidden="false" customHeight="true" outlineLevel="0" collapsed="false">
      <c r="A210" s="70" t="s">
        <v>16</v>
      </c>
      <c r="B210" s="71" t="s">
        <v>17</v>
      </c>
      <c r="C210" s="110" t="s">
        <v>74</v>
      </c>
      <c r="D210" s="72" t="s">
        <v>18</v>
      </c>
      <c r="E210" s="72" t="s">
        <v>19</v>
      </c>
      <c r="F210" s="73" t="s">
        <v>20</v>
      </c>
    </row>
    <row r="211" customFormat="false" ht="12.8" hidden="false" customHeight="false" outlineLevel="0" collapsed="false">
      <c r="A211" s="74" t="s">
        <v>75</v>
      </c>
      <c r="B211" s="75" t="s">
        <v>65</v>
      </c>
      <c r="C211" s="111" t="n">
        <v>6</v>
      </c>
      <c r="D211" s="77" t="n">
        <f aca="false">+D193</f>
        <v>150</v>
      </c>
      <c r="E211" s="77" t="n">
        <f aca="false">IFERROR((D211/C211)*2,0)</f>
        <v>50</v>
      </c>
    </row>
    <row r="212" customFormat="false" ht="12.8" hidden="false" customHeight="false" outlineLevel="0" collapsed="false">
      <c r="A212" s="78" t="s">
        <v>76</v>
      </c>
      <c r="B212" s="79" t="s">
        <v>65</v>
      </c>
      <c r="C212" s="111" t="n">
        <v>6</v>
      </c>
      <c r="D212" s="81" t="n">
        <f aca="false">+D194</f>
        <v>64.66</v>
      </c>
      <c r="E212" s="77" t="n">
        <f aca="false">IFERROR((D212/C212)*2,0)</f>
        <v>21.5533333333333</v>
      </c>
    </row>
    <row r="213" customFormat="false" ht="12.8" hidden="false" customHeight="false" outlineLevel="0" collapsed="false">
      <c r="A213" s="78" t="s">
        <v>77</v>
      </c>
      <c r="B213" s="79" t="s">
        <v>65</v>
      </c>
      <c r="C213" s="111" t="n">
        <v>6</v>
      </c>
      <c r="D213" s="81" t="n">
        <f aca="false">+D195</f>
        <v>41.89</v>
      </c>
      <c r="E213" s="77" t="n">
        <f aca="false">IFERROR((D213/C213)*2,0)</f>
        <v>13.9633333333333</v>
      </c>
    </row>
    <row r="214" customFormat="false" ht="12.8" hidden="false" customHeight="false" outlineLevel="0" collapsed="false">
      <c r="A214" s="78" t="s">
        <v>80</v>
      </c>
      <c r="B214" s="79" t="s">
        <v>81</v>
      </c>
      <c r="C214" s="111" t="n">
        <v>12</v>
      </c>
      <c r="D214" s="81" t="n">
        <f aca="false">+D198</f>
        <v>119.95</v>
      </c>
      <c r="E214" s="77" t="n">
        <f aca="false">IFERROR(D214/C214,0)</f>
        <v>9.99583333333333</v>
      </c>
    </row>
    <row r="215" customFormat="false" ht="12.8" hidden="false" customHeight="false" outlineLevel="0" collapsed="false">
      <c r="A215" s="78" t="s">
        <v>83</v>
      </c>
      <c r="B215" s="79" t="s">
        <v>65</v>
      </c>
      <c r="C215" s="111" t="n">
        <v>6</v>
      </c>
      <c r="D215" s="81" t="n">
        <f aca="false">+D200</f>
        <v>43.19</v>
      </c>
      <c r="E215" s="77" t="n">
        <f aca="false">IFERROR(D215/C215,0)</f>
        <v>7.19833333333333</v>
      </c>
      <c r="G215" s="1"/>
    </row>
    <row r="216" customFormat="false" ht="12.8" hidden="false" customHeight="false" outlineLevel="0" collapsed="false">
      <c r="A216" s="78" t="s">
        <v>86</v>
      </c>
      <c r="B216" s="79" t="s">
        <v>87</v>
      </c>
      <c r="C216" s="111" t="n">
        <v>2</v>
      </c>
      <c r="D216" s="81" t="n">
        <f aca="false">+D203</f>
        <v>13.99</v>
      </c>
      <c r="E216" s="77" t="n">
        <f aca="false">IFERROR(D216/C216,0)</f>
        <v>6.995</v>
      </c>
      <c r="G216" s="1"/>
    </row>
    <row r="217" customFormat="false" ht="12.8" hidden="false" customHeight="false" outlineLevel="0" collapsed="false">
      <c r="A217" s="78" t="s">
        <v>88</v>
      </c>
      <c r="B217" s="79" t="s">
        <v>89</v>
      </c>
      <c r="C217" s="116" t="n">
        <v>1</v>
      </c>
      <c r="D217" s="117" t="n">
        <f aca="false">D204</f>
        <v>100</v>
      </c>
      <c r="E217" s="81" t="n">
        <f aca="false">C217*D217</f>
        <v>100</v>
      </c>
      <c r="G217" s="1"/>
    </row>
    <row r="218" customFormat="false" ht="12.8" hidden="false" customHeight="false" outlineLevel="0" collapsed="false">
      <c r="A218" s="78" t="s">
        <v>32</v>
      </c>
      <c r="B218" s="79" t="s">
        <v>33</v>
      </c>
      <c r="C218" s="116" t="n">
        <f aca="false">E30</f>
        <v>4</v>
      </c>
      <c r="D218" s="81" t="n">
        <f aca="false">+SUM(E211:E217)</f>
        <v>209.705833333333</v>
      </c>
      <c r="E218" s="81" t="n">
        <f aca="false">C218*D218</f>
        <v>838.823333333333</v>
      </c>
      <c r="G218" s="1"/>
    </row>
    <row r="219" customFormat="false" ht="12.8" hidden="false" customHeight="false" outlineLevel="0" collapsed="false">
      <c r="D219" s="88" t="s">
        <v>34</v>
      </c>
      <c r="E219" s="89" t="n">
        <f aca="false">'FATOR FU_OFICIAL'!F5</f>
        <v>1</v>
      </c>
      <c r="F219" s="90" t="n">
        <f aca="false">E218*E219</f>
        <v>838.823333333333</v>
      </c>
      <c r="G219" s="1"/>
    </row>
    <row r="220" customFormat="false" ht="11.25" hidden="false" customHeight="true" outlineLevel="0" collapsed="false">
      <c r="G220" s="1"/>
    </row>
    <row r="221" customFormat="false" ht="12.4" hidden="false" customHeight="true" outlineLevel="0" collapsed="false">
      <c r="A221" s="69" t="s">
        <v>91</v>
      </c>
      <c r="G221" s="1"/>
    </row>
    <row r="222" customFormat="false" ht="11.25" hidden="false" customHeight="true" outlineLevel="0" collapsed="false">
      <c r="G222" s="1"/>
    </row>
    <row r="223" customFormat="false" ht="22.35" hidden="false" customHeight="true" outlineLevel="0" collapsed="false">
      <c r="A223" s="70" t="s">
        <v>16</v>
      </c>
      <c r="B223" s="71" t="s">
        <v>17</v>
      </c>
      <c r="C223" s="110" t="s">
        <v>74</v>
      </c>
      <c r="D223" s="72" t="s">
        <v>18</v>
      </c>
      <c r="E223" s="72" t="s">
        <v>19</v>
      </c>
      <c r="F223" s="73" t="s">
        <v>20</v>
      </c>
      <c r="G223" s="1"/>
    </row>
    <row r="224" customFormat="false" ht="11.25" hidden="false" customHeight="true" outlineLevel="0" collapsed="false">
      <c r="A224" s="74" t="s">
        <v>75</v>
      </c>
      <c r="B224" s="75" t="s">
        <v>65</v>
      </c>
      <c r="C224" s="111" t="n">
        <v>6</v>
      </c>
      <c r="D224" s="77" t="n">
        <f aca="false">D211</f>
        <v>150</v>
      </c>
      <c r="E224" s="77" t="n">
        <f aca="false">IFERROR((D224/C224)*2,0)</f>
        <v>50</v>
      </c>
      <c r="G224" s="1"/>
    </row>
    <row r="225" customFormat="false" ht="11.25" hidden="false" customHeight="true" outlineLevel="0" collapsed="false">
      <c r="A225" s="78" t="s">
        <v>76</v>
      </c>
      <c r="B225" s="79" t="s">
        <v>65</v>
      </c>
      <c r="C225" s="111" t="n">
        <v>6</v>
      </c>
      <c r="D225" s="77" t="n">
        <f aca="false">D212</f>
        <v>64.66</v>
      </c>
      <c r="E225" s="77" t="n">
        <f aca="false">IFERROR((D225/C225)*2,0)</f>
        <v>21.5533333333333</v>
      </c>
      <c r="G225" s="1"/>
    </row>
    <row r="226" customFormat="false" ht="11.25" hidden="false" customHeight="true" outlineLevel="0" collapsed="false">
      <c r="A226" s="78" t="s">
        <v>77</v>
      </c>
      <c r="B226" s="79" t="s">
        <v>65</v>
      </c>
      <c r="C226" s="111" t="n">
        <v>6</v>
      </c>
      <c r="D226" s="77" t="n">
        <f aca="false">D213</f>
        <v>41.89</v>
      </c>
      <c r="E226" s="77" t="n">
        <f aca="false">IFERROR((D226/C226)*2,0)</f>
        <v>13.9633333333333</v>
      </c>
      <c r="G226" s="1"/>
    </row>
    <row r="227" customFormat="false" ht="11.25" hidden="false" customHeight="true" outlineLevel="0" collapsed="false">
      <c r="A227" s="78" t="s">
        <v>80</v>
      </c>
      <c r="B227" s="79" t="s">
        <v>81</v>
      </c>
      <c r="C227" s="111" t="n">
        <v>12</v>
      </c>
      <c r="D227" s="77" t="n">
        <f aca="false">D214</f>
        <v>119.95</v>
      </c>
      <c r="E227" s="77" t="n">
        <f aca="false">IFERROR(D227/C227,0)</f>
        <v>9.99583333333333</v>
      </c>
      <c r="G227" s="1"/>
    </row>
    <row r="228" customFormat="false" ht="11.25" hidden="false" customHeight="true" outlineLevel="0" collapsed="false">
      <c r="A228" s="78" t="s">
        <v>83</v>
      </c>
      <c r="B228" s="79" t="s">
        <v>65</v>
      </c>
      <c r="C228" s="111" t="n">
        <v>6</v>
      </c>
      <c r="D228" s="77" t="n">
        <f aca="false">D215</f>
        <v>43.19</v>
      </c>
      <c r="E228" s="77" t="n">
        <f aca="false">IFERROR(D228/C228,0)</f>
        <v>7.19833333333333</v>
      </c>
      <c r="G228" s="1"/>
    </row>
    <row r="229" customFormat="false" ht="11.25" hidden="false" customHeight="true" outlineLevel="0" collapsed="false">
      <c r="A229" s="78" t="s">
        <v>86</v>
      </c>
      <c r="B229" s="79" t="s">
        <v>87</v>
      </c>
      <c r="C229" s="111" t="n">
        <v>2</v>
      </c>
      <c r="D229" s="77" t="n">
        <f aca="false">D216</f>
        <v>13.99</v>
      </c>
      <c r="E229" s="77" t="n">
        <f aca="false">IFERROR(D229/C229,0)</f>
        <v>6.995</v>
      </c>
      <c r="G229" s="1"/>
    </row>
    <row r="230" customFormat="false" ht="11.25" hidden="false" customHeight="true" outlineLevel="0" collapsed="false">
      <c r="A230" s="78" t="s">
        <v>88</v>
      </c>
      <c r="B230" s="79" t="s">
        <v>89</v>
      </c>
      <c r="C230" s="116" t="n">
        <v>1</v>
      </c>
      <c r="D230" s="77" t="n">
        <f aca="false">D217</f>
        <v>100</v>
      </c>
      <c r="E230" s="81" t="n">
        <f aca="false">C230*D230</f>
        <v>100</v>
      </c>
      <c r="G230" s="1"/>
    </row>
    <row r="231" customFormat="false" ht="11.25" hidden="false" customHeight="true" outlineLevel="0" collapsed="false">
      <c r="A231" s="78" t="s">
        <v>32</v>
      </c>
      <c r="B231" s="79" t="s">
        <v>33</v>
      </c>
      <c r="C231" s="116" t="n">
        <f aca="false">E31+E33</f>
        <v>3</v>
      </c>
      <c r="D231" s="81" t="n">
        <f aca="false">+SUM(E224:E230)</f>
        <v>209.705833333333</v>
      </c>
      <c r="E231" s="81" t="n">
        <f aca="false">C231*D231</f>
        <v>629.1175</v>
      </c>
      <c r="G231" s="1"/>
    </row>
    <row r="232" customFormat="false" ht="11.25" hidden="false" customHeight="true" outlineLevel="0" collapsed="false">
      <c r="D232" s="88" t="s">
        <v>34</v>
      </c>
      <c r="E232" s="89" t="n">
        <f aca="false">'FATOR FU_OFICIAL'!F23</f>
        <v>1</v>
      </c>
      <c r="F232" s="90" t="n">
        <f aca="false">E231*E232</f>
        <v>629.1175</v>
      </c>
      <c r="G232" s="1"/>
    </row>
    <row r="233" customFormat="false" ht="11.25" hidden="false" customHeight="true" outlineLevel="0" collapsed="false">
      <c r="G233" s="1"/>
    </row>
    <row r="234" customFormat="false" ht="12.8" hidden="false" customHeight="false" outlineLevel="0" collapsed="false">
      <c r="A234" s="107" t="s">
        <v>92</v>
      </c>
      <c r="B234" s="118"/>
      <c r="C234" s="118"/>
      <c r="D234" s="119"/>
      <c r="E234" s="120"/>
      <c r="F234" s="121" t="n">
        <f aca="false">+F206+F219+F232</f>
        <v>6762.74083333333</v>
      </c>
      <c r="G234" s="1"/>
    </row>
    <row r="235" customFormat="false" ht="11.25" hidden="false" customHeight="true" outlineLevel="0" collapsed="false">
      <c r="G235" s="1"/>
    </row>
    <row r="236" customFormat="false" ht="12.8" hidden="false" customHeight="false" outlineLevel="0" collapsed="false">
      <c r="A236" s="26" t="s">
        <v>93</v>
      </c>
      <c r="G236" s="1"/>
    </row>
    <row r="237" customFormat="false" ht="11.25" hidden="false" customHeight="true" outlineLevel="0" collapsed="false">
      <c r="B237" s="122"/>
      <c r="G237" s="1"/>
    </row>
    <row r="238" customFormat="false" ht="12.8" hidden="false" customHeight="false" outlineLevel="0" collapsed="false">
      <c r="A238" s="123" t="s">
        <v>94</v>
      </c>
      <c r="G238" s="1"/>
    </row>
    <row r="239" customFormat="false" ht="11.25" hidden="false" customHeight="true" outlineLevel="0" collapsed="false">
      <c r="G239" s="1"/>
    </row>
    <row r="240" customFormat="false" ht="12.8" hidden="false" customHeight="false" outlineLevel="0" collapsed="false">
      <c r="A240" s="124" t="s">
        <v>95</v>
      </c>
      <c r="G240" s="1"/>
    </row>
    <row r="241" customFormat="false" ht="12.8" hidden="false" customHeight="false" outlineLevel="0" collapsed="false">
      <c r="A241" s="70" t="s">
        <v>16</v>
      </c>
      <c r="B241" s="71" t="s">
        <v>17</v>
      </c>
      <c r="C241" s="71" t="s">
        <v>9</v>
      </c>
      <c r="D241" s="72" t="s">
        <v>18</v>
      </c>
      <c r="E241" s="72" t="s">
        <v>19</v>
      </c>
      <c r="F241" s="73" t="s">
        <v>20</v>
      </c>
      <c r="G241" s="1"/>
    </row>
    <row r="242" customFormat="false" ht="12.8" hidden="false" customHeight="false" outlineLevel="0" collapsed="false">
      <c r="A242" s="74" t="s">
        <v>96</v>
      </c>
      <c r="B242" s="75" t="s">
        <v>65</v>
      </c>
      <c r="C242" s="75" t="n">
        <v>1</v>
      </c>
      <c r="D242" s="76" t="n">
        <f aca="false">'VALORES BASE'!B3</f>
        <v>545875</v>
      </c>
      <c r="E242" s="77" t="n">
        <f aca="false">C242*D242</f>
        <v>545875</v>
      </c>
      <c r="G242" s="1"/>
    </row>
    <row r="243" customFormat="false" ht="12.8" hidden="false" customHeight="false" outlineLevel="0" collapsed="false">
      <c r="A243" s="78" t="s">
        <v>97</v>
      </c>
      <c r="B243" s="79" t="s">
        <v>98</v>
      </c>
      <c r="C243" s="92" t="n">
        <v>5</v>
      </c>
      <c r="D243" s="81"/>
      <c r="E243" s="81"/>
      <c r="G243" s="1"/>
    </row>
    <row r="244" customFormat="false" ht="12.8" hidden="false" customHeight="false" outlineLevel="0" collapsed="false">
      <c r="A244" s="78" t="s">
        <v>99</v>
      </c>
      <c r="B244" s="79" t="s">
        <v>98</v>
      </c>
      <c r="C244" s="92" t="n">
        <v>0</v>
      </c>
      <c r="D244" s="81"/>
      <c r="E244" s="81"/>
      <c r="F244" s="125"/>
      <c r="I244" s="126"/>
      <c r="J244" s="126"/>
    </row>
    <row r="245" customFormat="false" ht="12.8" hidden="false" customHeight="false" outlineLevel="0" collapsed="false">
      <c r="A245" s="78" t="s">
        <v>100</v>
      </c>
      <c r="B245" s="79" t="s">
        <v>5</v>
      </c>
      <c r="C245" s="86" t="n">
        <f aca="false">IFERROR(VLOOKUP(C243,'5. Depreciação'!A3:B17,2,0),0)</f>
        <v>55.68</v>
      </c>
      <c r="D245" s="81" t="n">
        <f aca="false">E242</f>
        <v>545875</v>
      </c>
      <c r="E245" s="81" t="n">
        <f aca="false">C245*D245/100</f>
        <v>303943.2</v>
      </c>
    </row>
    <row r="246" customFormat="false" ht="12.8" hidden="false" customHeight="false" outlineLevel="0" collapsed="false">
      <c r="A246" s="127" t="s">
        <v>101</v>
      </c>
      <c r="B246" s="128" t="s">
        <v>22</v>
      </c>
      <c r="C246" s="128" t="n">
        <f aca="false">C243*12</f>
        <v>60</v>
      </c>
      <c r="D246" s="129" t="n">
        <f aca="false">IF(C244&lt;=C243,E245,0)</f>
        <v>303943.2</v>
      </c>
      <c r="E246" s="130" t="n">
        <f aca="false">IFERROR(D246/C246,0)</f>
        <v>5065.72</v>
      </c>
    </row>
    <row r="247" customFormat="false" ht="12.8" hidden="false" customHeight="false" outlineLevel="0" collapsed="false">
      <c r="A247" s="74" t="s">
        <v>102</v>
      </c>
      <c r="B247" s="75" t="s">
        <v>65</v>
      </c>
      <c r="C247" s="75" t="n">
        <f aca="false">C242</f>
        <v>1</v>
      </c>
      <c r="D247" s="76" t="n">
        <f aca="false">'VALORES BASE'!B30</f>
        <v>247760</v>
      </c>
      <c r="E247" s="77" t="n">
        <f aca="false">C247*D247</f>
        <v>247760</v>
      </c>
      <c r="G247" s="1"/>
    </row>
    <row r="248" customFormat="false" ht="12.8" hidden="false" customHeight="false" outlineLevel="0" collapsed="false">
      <c r="A248" s="78" t="s">
        <v>103</v>
      </c>
      <c r="B248" s="79" t="s">
        <v>98</v>
      </c>
      <c r="C248" s="92" t="n">
        <v>5</v>
      </c>
      <c r="D248" s="81"/>
      <c r="E248" s="81"/>
    </row>
    <row r="249" customFormat="false" ht="12.8" hidden="false" customHeight="false" outlineLevel="0" collapsed="false">
      <c r="A249" s="78" t="s">
        <v>104</v>
      </c>
      <c r="B249" s="79" t="s">
        <v>98</v>
      </c>
      <c r="C249" s="92" t="n">
        <v>0</v>
      </c>
      <c r="D249" s="81"/>
      <c r="E249" s="81"/>
      <c r="F249" s="125"/>
      <c r="I249" s="126"/>
      <c r="J249" s="126"/>
    </row>
    <row r="250" customFormat="false" ht="12.8" hidden="false" customHeight="false" outlineLevel="0" collapsed="false">
      <c r="A250" s="78" t="s">
        <v>105</v>
      </c>
      <c r="B250" s="79" t="s">
        <v>5</v>
      </c>
      <c r="C250" s="131" t="n">
        <f aca="false">IFERROR(VLOOKUP(C248,'5. Depreciação'!A3:B17,2,0),0)</f>
        <v>55.68</v>
      </c>
      <c r="D250" s="81" t="n">
        <f aca="false">E247</f>
        <v>247760</v>
      </c>
      <c r="E250" s="81" t="n">
        <f aca="false">C250*D250/100</f>
        <v>137952.768</v>
      </c>
    </row>
    <row r="251" customFormat="false" ht="12.8" hidden="false" customHeight="false" outlineLevel="0" collapsed="false">
      <c r="A251" s="95" t="s">
        <v>106</v>
      </c>
      <c r="B251" s="132" t="s">
        <v>22</v>
      </c>
      <c r="C251" s="132" t="n">
        <f aca="false">C248*12</f>
        <v>60</v>
      </c>
      <c r="D251" s="96" t="n">
        <f aca="false">IF(C249&lt;=C248,E250,0)</f>
        <v>137952.768</v>
      </c>
      <c r="E251" s="133" t="n">
        <f aca="false">IFERROR(D251/C251,0)</f>
        <v>2299.2128</v>
      </c>
    </row>
    <row r="252" customFormat="false" ht="12.8" hidden="false" customHeight="false" outlineLevel="0" collapsed="false">
      <c r="A252" s="82" t="s">
        <v>107</v>
      </c>
      <c r="B252" s="83"/>
      <c r="C252" s="83"/>
      <c r="D252" s="84"/>
      <c r="E252" s="85" t="n">
        <f aca="false">E246+E251</f>
        <v>7364.9328</v>
      </c>
    </row>
    <row r="253" customFormat="false" ht="12.8" hidden="false" customHeight="false" outlineLevel="0" collapsed="false">
      <c r="A253" s="95" t="s">
        <v>108</v>
      </c>
      <c r="B253" s="132" t="s">
        <v>65</v>
      </c>
      <c r="C253" s="87" t="n">
        <f aca="false">E37</f>
        <v>5</v>
      </c>
      <c r="D253" s="96" t="n">
        <f aca="false">E252</f>
        <v>7364.9328</v>
      </c>
      <c r="E253" s="85" t="n">
        <f aca="false">C253*D253</f>
        <v>36824.664</v>
      </c>
    </row>
    <row r="254" customFormat="false" ht="12.8" hidden="false" customHeight="false" outlineLevel="0" collapsed="false">
      <c r="A254" s="134"/>
      <c r="B254" s="134"/>
      <c r="C254" s="134"/>
      <c r="D254" s="88" t="s">
        <v>34</v>
      </c>
      <c r="E254" s="89" t="n">
        <f aca="false">'FATOR FU_OFICIAL'!F5</f>
        <v>1</v>
      </c>
      <c r="F254" s="121" t="n">
        <f aca="false">E253*E254</f>
        <v>36824.664</v>
      </c>
    </row>
    <row r="255" customFormat="false" ht="11.25" hidden="false" customHeight="true" outlineLevel="0" collapsed="false"/>
    <row r="256" customFormat="false" ht="12.8" hidden="false" customHeight="false" outlineLevel="0" collapsed="false">
      <c r="A256" s="124" t="s">
        <v>109</v>
      </c>
    </row>
    <row r="257" customFormat="false" ht="12.8" hidden="false" customHeight="false" outlineLevel="0" collapsed="false">
      <c r="A257" s="135" t="s">
        <v>16</v>
      </c>
      <c r="B257" s="136" t="s">
        <v>17</v>
      </c>
      <c r="C257" s="136" t="s">
        <v>9</v>
      </c>
      <c r="D257" s="72" t="s">
        <v>18</v>
      </c>
      <c r="E257" s="137" t="s">
        <v>19</v>
      </c>
      <c r="F257" s="73" t="s">
        <v>20</v>
      </c>
      <c r="I257" s="126"/>
      <c r="J257" s="126"/>
    </row>
    <row r="258" customFormat="false" ht="12.8" hidden="false" customHeight="false" outlineLevel="0" collapsed="false">
      <c r="A258" s="78" t="s">
        <v>110</v>
      </c>
      <c r="B258" s="79" t="s">
        <v>65</v>
      </c>
      <c r="C258" s="75" t="n">
        <v>1</v>
      </c>
      <c r="D258" s="81" t="n">
        <f aca="false">D242</f>
        <v>545875</v>
      </c>
      <c r="E258" s="81" t="n">
        <f aca="false">C258*D258</f>
        <v>545875</v>
      </c>
      <c r="F258" s="125"/>
      <c r="I258" s="126"/>
      <c r="J258" s="126"/>
    </row>
    <row r="259" customFormat="false" ht="12.8" hidden="false" customHeight="false" outlineLevel="0" collapsed="false">
      <c r="A259" s="78" t="s">
        <v>111</v>
      </c>
      <c r="B259" s="79" t="s">
        <v>5</v>
      </c>
      <c r="C259" s="92" t="n">
        <f aca="false">'VALORES BASE'!B32</f>
        <v>14.5</v>
      </c>
      <c r="D259" s="81"/>
      <c r="E259" s="81"/>
      <c r="F259" s="125"/>
      <c r="I259" s="126"/>
      <c r="J259" s="126"/>
    </row>
    <row r="260" customFormat="false" ht="12.8" hidden="false" customHeight="false" outlineLevel="0" collapsed="false">
      <c r="A260" s="78" t="s">
        <v>112</v>
      </c>
      <c r="B260" s="79" t="s">
        <v>27</v>
      </c>
      <c r="C260" s="138" t="n">
        <f aca="false">IFERROR(IF(C244&lt;=C243,E242-(C245/(100*C243)*C244)*E242,E242-E245),0)</f>
        <v>545875</v>
      </c>
      <c r="D260" s="81"/>
      <c r="E260" s="81"/>
      <c r="F260" s="125"/>
      <c r="I260" s="126"/>
      <c r="J260" s="126"/>
    </row>
    <row r="261" customFormat="false" ht="12.8" hidden="false" customHeight="false" outlineLevel="0" collapsed="false">
      <c r="A261" s="78" t="s">
        <v>113</v>
      </c>
      <c r="B261" s="79" t="s">
        <v>27</v>
      </c>
      <c r="C261" s="81" t="n">
        <f aca="false">IFERROR(IF(C244&gt;=C243,C260,((((C260)-(E242-E245))*(((C243-C244)+1)/(2*(C243-C244))))+(E242-E245))),0)</f>
        <v>424297.72</v>
      </c>
      <c r="D261" s="81"/>
      <c r="E261" s="81"/>
      <c r="F261" s="125"/>
      <c r="I261" s="126"/>
      <c r="J261" s="126"/>
    </row>
    <row r="262" customFormat="false" ht="12.8" hidden="false" customHeight="false" outlineLevel="0" collapsed="false">
      <c r="A262" s="127" t="s">
        <v>114</v>
      </c>
      <c r="B262" s="128" t="s">
        <v>27</v>
      </c>
      <c r="C262" s="128"/>
      <c r="D262" s="129" t="n">
        <f aca="false">C259*C261/12/100</f>
        <v>5126.93078333333</v>
      </c>
      <c r="E262" s="129" t="n">
        <f aca="false">D262</f>
        <v>5126.93078333333</v>
      </c>
      <c r="F262" s="125"/>
      <c r="I262" s="126"/>
      <c r="J262" s="126"/>
    </row>
    <row r="263" customFormat="false" ht="12.8" hidden="false" customHeight="false" outlineLevel="0" collapsed="false">
      <c r="A263" s="74" t="s">
        <v>115</v>
      </c>
      <c r="B263" s="75" t="s">
        <v>65</v>
      </c>
      <c r="C263" s="75" t="n">
        <f aca="false">C247</f>
        <v>1</v>
      </c>
      <c r="D263" s="77" t="n">
        <f aca="false">D247</f>
        <v>247760</v>
      </c>
      <c r="E263" s="77" t="n">
        <f aca="false">C263*D263</f>
        <v>247760</v>
      </c>
      <c r="F263" s="125"/>
      <c r="I263" s="126"/>
      <c r="J263" s="126"/>
    </row>
    <row r="264" customFormat="false" ht="12.8" hidden="false" customHeight="false" outlineLevel="0" collapsed="false">
      <c r="A264" s="78" t="s">
        <v>111</v>
      </c>
      <c r="B264" s="79" t="s">
        <v>5</v>
      </c>
      <c r="C264" s="79" t="n">
        <f aca="false">C259</f>
        <v>14.5</v>
      </c>
      <c r="D264" s="81"/>
      <c r="E264" s="81"/>
      <c r="F264" s="125"/>
      <c r="I264" s="126"/>
      <c r="J264" s="126"/>
    </row>
    <row r="265" customFormat="false" ht="12.8" hidden="false" customHeight="false" outlineLevel="0" collapsed="false">
      <c r="A265" s="78" t="s">
        <v>116</v>
      </c>
      <c r="B265" s="79" t="s">
        <v>27</v>
      </c>
      <c r="C265" s="138" t="n">
        <f aca="false">IFERROR(IF(C249&lt;=C248,E247-(C250/(100*C248)*C249)*E247,E247-E250),0)</f>
        <v>247760</v>
      </c>
      <c r="D265" s="81"/>
      <c r="E265" s="81"/>
      <c r="F265" s="125"/>
      <c r="I265" s="126"/>
      <c r="J265" s="126"/>
    </row>
    <row r="266" customFormat="false" ht="12.8" hidden="false" customHeight="false" outlineLevel="0" collapsed="false">
      <c r="A266" s="78" t="s">
        <v>117</v>
      </c>
      <c r="B266" s="79" t="s">
        <v>27</v>
      </c>
      <c r="C266" s="81" t="n">
        <f aca="false">IFERROR(IF(C249&gt;=C248,C265,((((C265)-(E247-E250))*(((C248-C249)+1)/(2*(C248-C249))))+(E247-E250))),0)</f>
        <v>192578.8928</v>
      </c>
      <c r="D266" s="81"/>
      <c r="E266" s="81"/>
      <c r="F266" s="125"/>
      <c r="I266" s="126"/>
      <c r="J266" s="126"/>
    </row>
    <row r="267" customFormat="false" ht="12.8" hidden="false" customHeight="false" outlineLevel="0" collapsed="false">
      <c r="A267" s="95" t="s">
        <v>118</v>
      </c>
      <c r="B267" s="132" t="s">
        <v>27</v>
      </c>
      <c r="C267" s="132"/>
      <c r="D267" s="96" t="n">
        <f aca="false">C264*C266/12/100</f>
        <v>2326.99495466667</v>
      </c>
      <c r="E267" s="96" t="n">
        <f aca="false">D267</f>
        <v>2326.99495466667</v>
      </c>
      <c r="F267" s="125"/>
      <c r="I267" s="126"/>
      <c r="J267" s="126"/>
    </row>
    <row r="268" customFormat="false" ht="12.8" hidden="false" customHeight="false" outlineLevel="0" collapsed="false">
      <c r="A268" s="82" t="s">
        <v>107</v>
      </c>
      <c r="B268" s="83"/>
      <c r="C268" s="83"/>
      <c r="D268" s="84"/>
      <c r="E268" s="85" t="n">
        <f aca="false">E262+E267</f>
        <v>7453.925738</v>
      </c>
      <c r="F268" s="125"/>
      <c r="I268" s="126"/>
      <c r="J268" s="126"/>
    </row>
    <row r="269" customFormat="false" ht="12.8" hidden="false" customHeight="false" outlineLevel="0" collapsed="false">
      <c r="A269" s="95" t="s">
        <v>108</v>
      </c>
      <c r="B269" s="132" t="s">
        <v>65</v>
      </c>
      <c r="C269" s="79" t="n">
        <f aca="false">C253</f>
        <v>5</v>
      </c>
      <c r="D269" s="96" t="n">
        <f aca="false">E268</f>
        <v>7453.925738</v>
      </c>
      <c r="E269" s="85" t="n">
        <f aca="false">C269*D269</f>
        <v>37269.62869</v>
      </c>
      <c r="F269" s="125"/>
      <c r="I269" s="126"/>
      <c r="J269" s="126"/>
    </row>
    <row r="270" customFormat="false" ht="12.8" hidden="false" customHeight="false" outlineLevel="0" collapsed="false">
      <c r="C270" s="139"/>
      <c r="D270" s="88" t="s">
        <v>34</v>
      </c>
      <c r="E270" s="89" t="n">
        <f aca="false">'FATOR FU_OFICIAL'!F5</f>
        <v>1</v>
      </c>
      <c r="F270" s="121" t="n">
        <f aca="false">E269*E270</f>
        <v>37269.62869</v>
      </c>
      <c r="I270" s="126"/>
      <c r="J270" s="126"/>
    </row>
    <row r="271" customFormat="false" ht="11.25" hidden="false" customHeight="true" outlineLevel="0" collapsed="false">
      <c r="I271" s="126"/>
      <c r="J271" s="126"/>
    </row>
    <row r="272" customFormat="false" ht="12.8" hidden="false" customHeight="false" outlineLevel="0" collapsed="false">
      <c r="A272" s="69" t="s">
        <v>119</v>
      </c>
      <c r="I272" s="126"/>
      <c r="J272" s="126"/>
    </row>
    <row r="273" customFormat="false" ht="12.8" hidden="false" customHeight="false" outlineLevel="0" collapsed="false">
      <c r="A273" s="70" t="s">
        <v>16</v>
      </c>
      <c r="B273" s="71" t="s">
        <v>17</v>
      </c>
      <c r="C273" s="71" t="s">
        <v>9</v>
      </c>
      <c r="D273" s="72" t="s">
        <v>18</v>
      </c>
      <c r="E273" s="72" t="s">
        <v>19</v>
      </c>
      <c r="F273" s="73" t="s">
        <v>20</v>
      </c>
      <c r="I273" s="126"/>
      <c r="J273" s="126"/>
    </row>
    <row r="274" customFormat="false" ht="12.8" hidden="false" customHeight="false" outlineLevel="0" collapsed="false">
      <c r="A274" s="74" t="s">
        <v>120</v>
      </c>
      <c r="B274" s="75" t="s">
        <v>65</v>
      </c>
      <c r="C274" s="77" t="n">
        <f aca="false">C253</f>
        <v>5</v>
      </c>
      <c r="D274" s="77" t="n">
        <f aca="false">0.01*($E$242)</f>
        <v>5458.75</v>
      </c>
      <c r="E274" s="77" t="n">
        <f aca="false">C274*D274</f>
        <v>27293.75</v>
      </c>
      <c r="I274" s="126"/>
      <c r="J274" s="126"/>
    </row>
    <row r="275" customFormat="false" ht="12.8" hidden="false" customHeight="false" outlineLevel="0" collapsed="false">
      <c r="A275" s="78" t="s">
        <v>121</v>
      </c>
      <c r="B275" s="79" t="s">
        <v>65</v>
      </c>
      <c r="C275" s="77" t="n">
        <f aca="false">C253</f>
        <v>5</v>
      </c>
      <c r="D275" s="106" t="n">
        <f aca="false">'VALORES BASE'!B59</f>
        <v>183.142</v>
      </c>
      <c r="E275" s="81" t="n">
        <f aca="false">C275*D275</f>
        <v>915.71</v>
      </c>
      <c r="I275" s="126"/>
      <c r="J275" s="126"/>
    </row>
    <row r="276" customFormat="false" ht="12.8" hidden="false" customHeight="false" outlineLevel="0" collapsed="false">
      <c r="A276" s="78" t="s">
        <v>122</v>
      </c>
      <c r="B276" s="79" t="s">
        <v>65</v>
      </c>
      <c r="C276" s="77" t="n">
        <f aca="false">C253</f>
        <v>5</v>
      </c>
      <c r="D276" s="106" t="n">
        <f aca="false">'VALORES BASE'!B41</f>
        <v>3500</v>
      </c>
      <c r="E276" s="81" t="n">
        <f aca="false">C276*D276</f>
        <v>17500</v>
      </c>
      <c r="F276" s="84"/>
      <c r="I276" s="126"/>
      <c r="J276" s="126"/>
    </row>
    <row r="277" customFormat="false" ht="12.8" hidden="false" customHeight="false" outlineLevel="0" collapsed="false">
      <c r="A277" s="95" t="s">
        <v>123</v>
      </c>
      <c r="B277" s="132" t="s">
        <v>22</v>
      </c>
      <c r="C277" s="132" t="n">
        <v>12</v>
      </c>
      <c r="D277" s="96" t="n">
        <f aca="false">SUM(E274:E276)</f>
        <v>45709.46</v>
      </c>
      <c r="E277" s="96" t="n">
        <f aca="false">D277/C277</f>
        <v>3809.12166666667</v>
      </c>
      <c r="I277" s="126"/>
      <c r="J277" s="126"/>
    </row>
    <row r="278" customFormat="false" ht="12.8" hidden="false" customHeight="false" outlineLevel="0" collapsed="false">
      <c r="D278" s="88" t="s">
        <v>34</v>
      </c>
      <c r="E278" s="89" t="n">
        <f aca="false">'FATOR FU_OFICIAL'!F5</f>
        <v>1</v>
      </c>
      <c r="F278" s="90" t="n">
        <f aca="false">E277*E278</f>
        <v>3809.12166666667</v>
      </c>
      <c r="I278" s="126"/>
      <c r="J278" s="126"/>
    </row>
    <row r="279" customFormat="false" ht="11.25" hidden="false" customHeight="true" outlineLevel="0" collapsed="false">
      <c r="I279" s="126"/>
      <c r="J279" s="126"/>
    </row>
    <row r="280" customFormat="false" ht="12.8" hidden="false" customHeight="false" outlineLevel="0" collapsed="false">
      <c r="A280" s="69" t="s">
        <v>124</v>
      </c>
      <c r="B280" s="140"/>
      <c r="I280" s="126"/>
      <c r="J280" s="126"/>
    </row>
    <row r="281" customFormat="false" ht="12.8" hidden="false" customHeight="false" outlineLevel="0" collapsed="false">
      <c r="B281" s="140"/>
      <c r="I281" s="126"/>
      <c r="J281" s="126"/>
    </row>
    <row r="282" customFormat="false" ht="12.8" hidden="false" customHeight="false" outlineLevel="0" collapsed="false">
      <c r="A282" s="95" t="s">
        <v>125</v>
      </c>
      <c r="B282" s="141" t="n">
        <f aca="false">'Roteiros Coleta_URBANO'!M10</f>
        <v>3766.8</v>
      </c>
      <c r="I282" s="126"/>
      <c r="J282" s="126"/>
    </row>
    <row r="283" customFormat="false" ht="12.8" hidden="false" customHeight="false" outlineLevel="0" collapsed="false">
      <c r="B283" s="140"/>
      <c r="I283" s="126"/>
      <c r="J283" s="126"/>
    </row>
    <row r="284" customFormat="false" ht="12.8" hidden="false" customHeight="false" outlineLevel="0" collapsed="false">
      <c r="A284" s="70" t="s">
        <v>16</v>
      </c>
      <c r="B284" s="71" t="s">
        <v>17</v>
      </c>
      <c r="C284" s="71" t="s">
        <v>126</v>
      </c>
      <c r="D284" s="72" t="s">
        <v>18</v>
      </c>
      <c r="E284" s="72" t="s">
        <v>19</v>
      </c>
      <c r="F284" s="73" t="s">
        <v>20</v>
      </c>
      <c r="I284" s="126"/>
      <c r="J284" s="126"/>
    </row>
    <row r="285" customFormat="false" ht="12.8" hidden="false" customHeight="false" outlineLevel="0" collapsed="false">
      <c r="A285" s="74" t="s">
        <v>127</v>
      </c>
      <c r="B285" s="75" t="s">
        <v>128</v>
      </c>
      <c r="C285" s="142" t="n">
        <f aca="false">'VALORES BASE'!B60</f>
        <v>2.1</v>
      </c>
      <c r="D285" s="143" t="n">
        <f aca="false">'VALORES BASE'!B38</f>
        <v>7.03</v>
      </c>
      <c r="E285" s="77"/>
      <c r="I285" s="126"/>
      <c r="J285" s="126"/>
    </row>
    <row r="286" customFormat="false" ht="12.8" hidden="false" customHeight="false" outlineLevel="0" collapsed="false">
      <c r="A286" s="78" t="s">
        <v>129</v>
      </c>
      <c r="B286" s="79" t="s">
        <v>130</v>
      </c>
      <c r="C286" s="101" t="n">
        <f aca="false">B282</f>
        <v>3766.8</v>
      </c>
      <c r="D286" s="144" t="n">
        <f aca="false">IFERROR(+D285/C285,"-")</f>
        <v>3.34761904761905</v>
      </c>
      <c r="E286" s="81" t="n">
        <f aca="false">IFERROR(C286*D286,"-")</f>
        <v>12609.8114285714</v>
      </c>
      <c r="I286" s="126"/>
      <c r="J286" s="126"/>
    </row>
    <row r="287" customFormat="false" ht="12.8" hidden="false" customHeight="false" outlineLevel="0" collapsed="false">
      <c r="A287" s="78" t="s">
        <v>131</v>
      </c>
      <c r="B287" s="79" t="s">
        <v>132</v>
      </c>
      <c r="C287" s="145" t="n">
        <v>3</v>
      </c>
      <c r="D287" s="106" t="n">
        <f aca="false">'VALORES BASE'!B42</f>
        <v>36.3</v>
      </c>
      <c r="E287" s="81"/>
      <c r="I287" s="126"/>
      <c r="J287" s="126"/>
    </row>
    <row r="288" customFormat="false" ht="12.8" hidden="false" customHeight="false" outlineLevel="0" collapsed="false">
      <c r="A288" s="78" t="s">
        <v>133</v>
      </c>
      <c r="B288" s="79" t="s">
        <v>130</v>
      </c>
      <c r="C288" s="101" t="n">
        <f aca="false">C286</f>
        <v>3766.8</v>
      </c>
      <c r="D288" s="146" t="n">
        <f aca="false">+C287*D287/1000</f>
        <v>0.1089</v>
      </c>
      <c r="E288" s="81" t="n">
        <f aca="false">C288*D288</f>
        <v>410.20452</v>
      </c>
      <c r="I288" s="126"/>
      <c r="J288" s="126"/>
    </row>
    <row r="289" customFormat="false" ht="12.8" hidden="false" customHeight="false" outlineLevel="0" collapsed="false">
      <c r="A289" s="78" t="s">
        <v>134</v>
      </c>
      <c r="B289" s="79" t="s">
        <v>132</v>
      </c>
      <c r="C289" s="145" t="n">
        <v>0.66</v>
      </c>
      <c r="D289" s="106" t="n">
        <f aca="false">'VALORES BASE'!B43</f>
        <v>54.12</v>
      </c>
      <c r="E289" s="81"/>
      <c r="I289" s="126"/>
      <c r="J289" s="126"/>
    </row>
    <row r="290" customFormat="false" ht="12.8" hidden="false" customHeight="false" outlineLevel="0" collapsed="false">
      <c r="A290" s="78" t="s">
        <v>135</v>
      </c>
      <c r="B290" s="79" t="s">
        <v>130</v>
      </c>
      <c r="C290" s="101" t="n">
        <f aca="false">C286</f>
        <v>3766.8</v>
      </c>
      <c r="D290" s="146" t="n">
        <f aca="false">+C289*D289/1000</f>
        <v>0.0357192</v>
      </c>
      <c r="E290" s="81" t="n">
        <f aca="false">C290*D290</f>
        <v>134.54708256</v>
      </c>
      <c r="I290" s="126"/>
      <c r="J290" s="126"/>
    </row>
    <row r="291" customFormat="false" ht="12.8" hidden="false" customHeight="false" outlineLevel="0" collapsed="false">
      <c r="A291" s="78" t="s">
        <v>136</v>
      </c>
      <c r="B291" s="79" t="s">
        <v>132</v>
      </c>
      <c r="C291" s="145" t="n">
        <f aca="false">'VALORES BASE'!B61</f>
        <v>16.47</v>
      </c>
      <c r="D291" s="106" t="n">
        <f aca="false">'VALORES BASE'!B44</f>
        <v>47.4</v>
      </c>
      <c r="E291" s="81"/>
      <c r="I291" s="126"/>
      <c r="J291" s="126"/>
    </row>
    <row r="292" customFormat="false" ht="12.8" hidden="false" customHeight="false" outlineLevel="0" collapsed="false">
      <c r="A292" s="78" t="s">
        <v>137</v>
      </c>
      <c r="B292" s="79" t="s">
        <v>130</v>
      </c>
      <c r="C292" s="101" t="n">
        <f aca="false">C286</f>
        <v>3766.8</v>
      </c>
      <c r="D292" s="146" t="n">
        <f aca="false">+C291*D291/1000</f>
        <v>0.780678</v>
      </c>
      <c r="E292" s="81" t="n">
        <f aca="false">C292*D292</f>
        <v>2940.6578904</v>
      </c>
      <c r="I292" s="126"/>
      <c r="J292" s="126"/>
    </row>
    <row r="293" customFormat="false" ht="12.8" hidden="false" customHeight="false" outlineLevel="0" collapsed="false">
      <c r="A293" s="78" t="s">
        <v>138</v>
      </c>
      <c r="B293" s="79" t="s">
        <v>139</v>
      </c>
      <c r="C293" s="145" t="n">
        <v>2</v>
      </c>
      <c r="D293" s="106" t="n">
        <f aca="false">'VALORES BASE'!B45</f>
        <v>36</v>
      </c>
      <c r="E293" s="81"/>
      <c r="I293" s="126"/>
      <c r="J293" s="126"/>
    </row>
    <row r="294" customFormat="false" ht="12.8" hidden="false" customHeight="false" outlineLevel="0" collapsed="false">
      <c r="A294" s="78" t="s">
        <v>140</v>
      </c>
      <c r="B294" s="79" t="s">
        <v>130</v>
      </c>
      <c r="C294" s="101" t="n">
        <f aca="false">C286</f>
        <v>3766.8</v>
      </c>
      <c r="D294" s="146" t="n">
        <f aca="false">+C293*D293/1000</f>
        <v>0.072</v>
      </c>
      <c r="E294" s="81" t="n">
        <f aca="false">C294*D294</f>
        <v>271.2096</v>
      </c>
      <c r="I294" s="126"/>
      <c r="J294" s="126"/>
    </row>
    <row r="295" customFormat="false" ht="12.8" hidden="false" customHeight="false" outlineLevel="0" collapsed="false">
      <c r="A295" s="78" t="s">
        <v>141</v>
      </c>
      <c r="B295" s="79" t="s">
        <v>142</v>
      </c>
      <c r="C295" s="101" t="n">
        <f aca="false">(B282/C285)*(5/100)</f>
        <v>89.6857142857143</v>
      </c>
      <c r="D295" s="147" t="n">
        <f aca="false">'VALORES BASE'!B31</f>
        <v>8</v>
      </c>
      <c r="E295" s="81" t="n">
        <f aca="false">C295*D295</f>
        <v>717.485714285714</v>
      </c>
      <c r="I295" s="126"/>
      <c r="J295" s="126"/>
    </row>
    <row r="296" customFormat="false" ht="12.8" hidden="false" customHeight="false" outlineLevel="0" collapsed="false">
      <c r="A296" s="95" t="s">
        <v>143</v>
      </c>
      <c r="B296" s="132" t="s">
        <v>144</v>
      </c>
      <c r="C296" s="148"/>
      <c r="D296" s="149" t="n">
        <f aca="false">IFERROR(D286+D288+D290+D292+D294,0)</f>
        <v>4.34491624761905</v>
      </c>
      <c r="E296" s="81"/>
      <c r="I296" s="126"/>
      <c r="J296" s="126"/>
    </row>
    <row r="297" customFormat="false" ht="12.8" hidden="false" customHeight="false" outlineLevel="0" collapsed="false">
      <c r="F297" s="121" t="n">
        <f aca="false">SUM(E285:E295)</f>
        <v>17083.9162358171</v>
      </c>
      <c r="I297" s="126"/>
      <c r="J297" s="126"/>
    </row>
    <row r="298" customFormat="false" ht="11.25" hidden="false" customHeight="true" outlineLevel="0" collapsed="false">
      <c r="I298" s="126"/>
      <c r="J298" s="126"/>
    </row>
    <row r="299" customFormat="false" ht="12.8" hidden="false" customHeight="false" outlineLevel="0" collapsed="false">
      <c r="A299" s="69" t="s">
        <v>145</v>
      </c>
      <c r="I299" s="126"/>
      <c r="J299" s="126"/>
    </row>
    <row r="300" customFormat="false" ht="12.8" hidden="false" customHeight="false" outlineLevel="0" collapsed="false">
      <c r="A300" s="70" t="s">
        <v>16</v>
      </c>
      <c r="B300" s="71" t="s">
        <v>17</v>
      </c>
      <c r="C300" s="71" t="s">
        <v>9</v>
      </c>
      <c r="D300" s="72" t="s">
        <v>18</v>
      </c>
      <c r="E300" s="72" t="s">
        <v>19</v>
      </c>
      <c r="F300" s="73" t="s">
        <v>20</v>
      </c>
      <c r="I300" s="126"/>
      <c r="J300" s="126"/>
    </row>
    <row r="301" customFormat="false" ht="12.8" hidden="false" customHeight="false" outlineLevel="0" collapsed="false">
      <c r="A301" s="74" t="s">
        <v>146</v>
      </c>
      <c r="B301" s="75" t="s">
        <v>144</v>
      </c>
      <c r="C301" s="101" t="n">
        <f aca="false">C286</f>
        <v>3766.8</v>
      </c>
      <c r="D301" s="76" t="n">
        <f aca="false">'VALORES BASE'!B46</f>
        <v>1.32</v>
      </c>
      <c r="E301" s="77" t="n">
        <f aca="false">C301*D301</f>
        <v>4972.176</v>
      </c>
      <c r="I301" s="126"/>
      <c r="J301" s="126"/>
    </row>
    <row r="302" customFormat="false" ht="12.8" hidden="false" customHeight="false" outlineLevel="0" collapsed="false">
      <c r="F302" s="121" t="n">
        <f aca="false">E301</f>
        <v>4972.176</v>
      </c>
      <c r="I302" s="126"/>
      <c r="J302" s="126"/>
    </row>
    <row r="303" customFormat="false" ht="11.25" hidden="false" customHeight="true" outlineLevel="0" collapsed="false">
      <c r="I303" s="126"/>
      <c r="J303" s="126"/>
    </row>
    <row r="304" customFormat="false" ht="12.8" hidden="false" customHeight="false" outlineLevel="0" collapsed="false">
      <c r="A304" s="69" t="s">
        <v>147</v>
      </c>
      <c r="I304" s="126"/>
      <c r="J304" s="126"/>
    </row>
    <row r="305" customFormat="false" ht="12.8" hidden="false" customHeight="false" outlineLevel="0" collapsed="false">
      <c r="A305" s="70" t="s">
        <v>16</v>
      </c>
      <c r="B305" s="71" t="s">
        <v>17</v>
      </c>
      <c r="C305" s="71" t="s">
        <v>9</v>
      </c>
      <c r="D305" s="72" t="s">
        <v>18</v>
      </c>
      <c r="E305" s="72" t="s">
        <v>19</v>
      </c>
      <c r="F305" s="73" t="s">
        <v>20</v>
      </c>
      <c r="I305" s="126"/>
      <c r="J305" s="126"/>
    </row>
    <row r="306" customFormat="false" ht="12.8" hidden="false" customHeight="false" outlineLevel="0" collapsed="false">
      <c r="A306" s="74" t="s">
        <v>148</v>
      </c>
      <c r="B306" s="75" t="s">
        <v>65</v>
      </c>
      <c r="C306" s="150" t="n">
        <v>6</v>
      </c>
      <c r="D306" s="76" t="n">
        <f aca="false">'VALORES BASE'!B16</f>
        <v>1823.73</v>
      </c>
      <c r="E306" s="77" t="n">
        <f aca="false">C306*D306</f>
        <v>10942.38</v>
      </c>
      <c r="I306" s="126"/>
      <c r="J306" s="126"/>
    </row>
    <row r="307" customFormat="false" ht="12.8" hidden="false" customHeight="false" outlineLevel="0" collapsed="false">
      <c r="A307" s="74" t="s">
        <v>149</v>
      </c>
      <c r="B307" s="75" t="s">
        <v>65</v>
      </c>
      <c r="C307" s="150" t="n">
        <v>3</v>
      </c>
      <c r="D307" s="77"/>
      <c r="E307" s="77"/>
      <c r="I307" s="126"/>
      <c r="J307" s="126"/>
    </row>
    <row r="308" customFormat="false" ht="12.8" hidden="false" customHeight="false" outlineLevel="0" collapsed="false">
      <c r="A308" s="74" t="s">
        <v>150</v>
      </c>
      <c r="B308" s="75" t="s">
        <v>65</v>
      </c>
      <c r="C308" s="77" t="n">
        <f aca="false">C306*C307</f>
        <v>18</v>
      </c>
      <c r="D308" s="76" t="n">
        <f aca="false">0.35*D306</f>
        <v>638.3055</v>
      </c>
      <c r="E308" s="77" t="n">
        <f aca="false">C308*D308</f>
        <v>11489.499</v>
      </c>
      <c r="I308" s="126"/>
      <c r="J308" s="126"/>
    </row>
    <row r="309" customFormat="false" ht="12.8" hidden="false" customHeight="false" outlineLevel="0" collapsed="false">
      <c r="A309" s="151" t="s">
        <v>151</v>
      </c>
      <c r="B309" s="79" t="s">
        <v>152</v>
      </c>
      <c r="C309" s="152" t="n">
        <f aca="false">'VALORES BASE'!B63</f>
        <v>65000</v>
      </c>
      <c r="D309" s="81" t="n">
        <f aca="false">E306+E308</f>
        <v>22431.879</v>
      </c>
      <c r="E309" s="81" t="n">
        <f aca="false">IFERROR(D309/C309,"-")</f>
        <v>0.345105830769231</v>
      </c>
      <c r="I309" s="126"/>
      <c r="J309" s="126"/>
    </row>
    <row r="310" customFormat="false" ht="12.8" hidden="false" customHeight="false" outlineLevel="0" collapsed="false">
      <c r="A310" s="78" t="s">
        <v>153</v>
      </c>
      <c r="B310" s="79" t="s">
        <v>130</v>
      </c>
      <c r="C310" s="101" t="n">
        <f aca="false">B282</f>
        <v>3766.8</v>
      </c>
      <c r="D310" s="81" t="n">
        <f aca="false">E309</f>
        <v>0.345105830769231</v>
      </c>
      <c r="E310" s="81" t="n">
        <f aca="false">IFERROR(C310*D310,0)</f>
        <v>1299.94464334154</v>
      </c>
      <c r="I310" s="126"/>
      <c r="J310" s="126"/>
    </row>
    <row r="311" customFormat="false" ht="12.8" hidden="false" customHeight="false" outlineLevel="0" collapsed="false">
      <c r="F311" s="121" t="n">
        <f aca="false">E310</f>
        <v>1299.94464334154</v>
      </c>
      <c r="I311" s="126"/>
      <c r="J311" s="126"/>
    </row>
    <row r="312" customFormat="false" ht="12.8" hidden="false" customHeight="false" outlineLevel="0" collapsed="false">
      <c r="A312" s="69" t="s">
        <v>154</v>
      </c>
      <c r="I312" s="126"/>
      <c r="J312" s="126"/>
    </row>
    <row r="313" customFormat="false" ht="12.8" hidden="false" customHeight="false" outlineLevel="0" collapsed="false">
      <c r="A313" s="70" t="s">
        <v>16</v>
      </c>
      <c r="B313" s="71" t="s">
        <v>17</v>
      </c>
      <c r="C313" s="71" t="s">
        <v>9</v>
      </c>
      <c r="D313" s="72" t="s">
        <v>18</v>
      </c>
      <c r="E313" s="72" t="s">
        <v>19</v>
      </c>
      <c r="F313" s="73" t="s">
        <v>20</v>
      </c>
      <c r="I313" s="126"/>
      <c r="J313" s="126"/>
    </row>
    <row r="314" customFormat="false" ht="12.8" hidden="false" customHeight="false" outlineLevel="0" collapsed="false">
      <c r="A314" s="74" t="s">
        <v>155</v>
      </c>
      <c r="B314" s="75" t="s">
        <v>65</v>
      </c>
      <c r="C314" s="150" t="n">
        <v>1</v>
      </c>
      <c r="D314" s="76" t="n">
        <f aca="false">'VALORES BASE'!B17</f>
        <v>647</v>
      </c>
      <c r="E314" s="77" t="n">
        <f aca="false">C314*D314</f>
        <v>647</v>
      </c>
      <c r="I314" s="126"/>
      <c r="J314" s="126"/>
    </row>
    <row r="315" customFormat="false" ht="12.8" hidden="false" customHeight="false" outlineLevel="0" collapsed="false">
      <c r="A315" s="74" t="s">
        <v>108</v>
      </c>
      <c r="B315" s="75" t="s">
        <v>65</v>
      </c>
      <c r="C315" s="75" t="n">
        <f aca="false">E37</f>
        <v>5</v>
      </c>
      <c r="D315" s="77"/>
      <c r="E315" s="77" t="n">
        <f aca="false">PRODUCT(C315,E314)/60</f>
        <v>53.9166666666667</v>
      </c>
      <c r="I315" s="126"/>
      <c r="J315" s="126"/>
    </row>
    <row r="316" customFormat="false" ht="12.8" hidden="false" customHeight="false" outlineLevel="0" collapsed="false">
      <c r="A316" s="74" t="s">
        <v>156</v>
      </c>
      <c r="B316" s="75" t="s">
        <v>27</v>
      </c>
      <c r="C316" s="75"/>
      <c r="D316" s="75"/>
      <c r="E316" s="77" t="n">
        <f aca="false">E315</f>
        <v>53.9166666666667</v>
      </c>
      <c r="I316" s="126"/>
      <c r="J316" s="126"/>
    </row>
    <row r="317" customFormat="false" ht="12.8" hidden="false" customHeight="false" outlineLevel="0" collapsed="false">
      <c r="F317" s="121" t="n">
        <f aca="false">E316</f>
        <v>53.9166666666667</v>
      </c>
      <c r="I317" s="126"/>
      <c r="J317" s="126"/>
    </row>
    <row r="318" customFormat="false" ht="11.25" hidden="false" customHeight="true" outlineLevel="0" collapsed="false">
      <c r="I318" s="126"/>
      <c r="J318" s="126"/>
    </row>
    <row r="319" customFormat="false" ht="18.4" hidden="false" customHeight="true" outlineLevel="0" collapsed="false">
      <c r="A319" s="69" t="s">
        <v>157</v>
      </c>
      <c r="I319" s="126"/>
      <c r="J319" s="126"/>
    </row>
    <row r="320" customFormat="false" ht="11.25" hidden="false" customHeight="true" outlineLevel="0" collapsed="false">
      <c r="A320" s="70" t="s">
        <v>16</v>
      </c>
      <c r="B320" s="71" t="s">
        <v>17</v>
      </c>
      <c r="C320" s="71" t="s">
        <v>9</v>
      </c>
      <c r="D320" s="72" t="s">
        <v>18</v>
      </c>
      <c r="E320" s="72" t="s">
        <v>19</v>
      </c>
      <c r="F320" s="73" t="s">
        <v>20</v>
      </c>
      <c r="I320" s="126"/>
      <c r="J320" s="126"/>
    </row>
    <row r="321" customFormat="false" ht="11.25" hidden="false" customHeight="true" outlineLevel="0" collapsed="false">
      <c r="A321" s="74" t="s">
        <v>155</v>
      </c>
      <c r="B321" s="75" t="s">
        <v>65</v>
      </c>
      <c r="C321" s="153" t="n">
        <f aca="false">E37</f>
        <v>5</v>
      </c>
      <c r="D321" s="76" t="n">
        <f aca="false">'VALORES BASE'!B47</f>
        <v>650</v>
      </c>
      <c r="E321" s="77" t="n">
        <f aca="false">(C321*D321)/60</f>
        <v>54.1666666666667</v>
      </c>
      <c r="I321" s="126"/>
      <c r="J321" s="126"/>
    </row>
    <row r="322" customFormat="false" ht="11.25" hidden="false" customHeight="true" outlineLevel="0" collapsed="false">
      <c r="A322" s="74" t="s">
        <v>158</v>
      </c>
      <c r="B322" s="75" t="s">
        <v>65</v>
      </c>
      <c r="C322" s="99" t="n">
        <f aca="false">C321</f>
        <v>5</v>
      </c>
      <c r="D322" s="76" t="n">
        <f aca="false">'VALORES BASE'!B48</f>
        <v>159.9</v>
      </c>
      <c r="E322" s="77" t="n">
        <f aca="false">C322*D322</f>
        <v>799.5</v>
      </c>
      <c r="I322" s="126"/>
      <c r="J322" s="126"/>
    </row>
    <row r="323" customFormat="false" ht="11.25" hidden="false" customHeight="true" outlineLevel="0" collapsed="false">
      <c r="A323" s="74" t="s">
        <v>156</v>
      </c>
      <c r="B323" s="75" t="s">
        <v>27</v>
      </c>
      <c r="C323" s="75"/>
      <c r="D323" s="75"/>
      <c r="E323" s="77" t="n">
        <f aca="false">E322+E321/12</f>
        <v>804.013888888889</v>
      </c>
      <c r="I323" s="126"/>
      <c r="J323" s="126"/>
    </row>
    <row r="324" customFormat="false" ht="11.25" hidden="false" customHeight="true" outlineLevel="0" collapsed="false">
      <c r="F324" s="121" t="n">
        <f aca="false">E323</f>
        <v>804.013888888889</v>
      </c>
      <c r="I324" s="126"/>
      <c r="J324" s="126"/>
    </row>
    <row r="325" customFormat="false" ht="11.25" hidden="false" customHeight="true" outlineLevel="0" collapsed="false">
      <c r="A325" s="154" t="s">
        <v>159</v>
      </c>
      <c r="I325" s="126"/>
      <c r="J325" s="126"/>
    </row>
    <row r="326" customFormat="false" ht="11.25" hidden="false" customHeight="true" outlineLevel="0" collapsed="false">
      <c r="I326" s="126"/>
      <c r="J326" s="126"/>
    </row>
    <row r="327" customFormat="false" ht="11.25" hidden="false" customHeight="true" outlineLevel="0" collapsed="false">
      <c r="A327" s="155" t="s">
        <v>160</v>
      </c>
      <c r="I327" s="126"/>
      <c r="J327" s="126"/>
    </row>
    <row r="328" customFormat="false" ht="11.25" hidden="false" customHeight="true" outlineLevel="0" collapsed="false">
      <c r="A328" s="70" t="s">
        <v>16</v>
      </c>
      <c r="B328" s="71" t="s">
        <v>17</v>
      </c>
      <c r="C328" s="71" t="s">
        <v>9</v>
      </c>
      <c r="D328" s="72" t="s">
        <v>18</v>
      </c>
      <c r="E328" s="72" t="s">
        <v>19</v>
      </c>
      <c r="F328" s="73" t="s">
        <v>20</v>
      </c>
      <c r="I328" s="126"/>
      <c r="J328" s="126"/>
    </row>
    <row r="329" customFormat="false" ht="11.25" hidden="false" customHeight="true" outlineLevel="0" collapsed="false">
      <c r="A329" s="74" t="s">
        <v>161</v>
      </c>
      <c r="B329" s="75" t="s">
        <v>65</v>
      </c>
      <c r="C329" s="75" t="n">
        <v>1</v>
      </c>
      <c r="D329" s="76" t="n">
        <f aca="false">'VALORES BASE'!B4</f>
        <v>110623</v>
      </c>
      <c r="E329" s="77" t="n">
        <f aca="false">C329*D329</f>
        <v>110623</v>
      </c>
      <c r="I329" s="126"/>
      <c r="J329" s="126"/>
    </row>
    <row r="330" customFormat="false" ht="11.25" hidden="false" customHeight="true" outlineLevel="0" collapsed="false">
      <c r="A330" s="78" t="s">
        <v>162</v>
      </c>
      <c r="B330" s="79" t="s">
        <v>98</v>
      </c>
      <c r="C330" s="92" t="n">
        <v>10</v>
      </c>
      <c r="D330" s="81"/>
      <c r="E330" s="81"/>
      <c r="I330" s="126"/>
      <c r="J330" s="126"/>
    </row>
    <row r="331" customFormat="false" ht="11.25" hidden="false" customHeight="true" outlineLevel="0" collapsed="false">
      <c r="A331" s="78" t="s">
        <v>99</v>
      </c>
      <c r="B331" s="79" t="s">
        <v>98</v>
      </c>
      <c r="C331" s="92" t="n">
        <v>0</v>
      </c>
      <c r="D331" s="81"/>
      <c r="E331" s="81"/>
      <c r="F331" s="125"/>
      <c r="I331" s="126"/>
      <c r="J331" s="126"/>
    </row>
    <row r="332" customFormat="false" ht="11.25" hidden="false" customHeight="true" outlineLevel="0" collapsed="false">
      <c r="A332" s="78" t="s">
        <v>163</v>
      </c>
      <c r="B332" s="79" t="s">
        <v>5</v>
      </c>
      <c r="C332" s="86" t="n">
        <f aca="false">IFERROR(VLOOKUP(C330,'5. Depreciação'!A3:B17,2,0),0)</f>
        <v>65.18</v>
      </c>
      <c r="D332" s="81" t="n">
        <f aca="false">E329</f>
        <v>110623</v>
      </c>
      <c r="E332" s="81" t="n">
        <f aca="false">C332*D332/100</f>
        <v>72104.0714</v>
      </c>
      <c r="I332" s="126"/>
      <c r="J332" s="126"/>
    </row>
    <row r="333" customFormat="false" ht="11.25" hidden="false" customHeight="true" outlineLevel="0" collapsed="false">
      <c r="A333" s="127" t="s">
        <v>101</v>
      </c>
      <c r="B333" s="128" t="s">
        <v>22</v>
      </c>
      <c r="C333" s="128" t="n">
        <f aca="false">C330*12</f>
        <v>120</v>
      </c>
      <c r="D333" s="129" t="n">
        <f aca="false">IF(C331&lt;=C330,E332,0)</f>
        <v>72104.0714</v>
      </c>
      <c r="E333" s="129" t="n">
        <f aca="false">IFERROR(D333/C333,0)</f>
        <v>600.867261666667</v>
      </c>
      <c r="I333" s="126"/>
      <c r="J333" s="126"/>
    </row>
    <row r="334" customFormat="false" ht="11.25" hidden="false" customHeight="true" outlineLevel="0" collapsed="false">
      <c r="A334" s="127" t="s">
        <v>164</v>
      </c>
      <c r="B334" s="128" t="s">
        <v>22</v>
      </c>
      <c r="C334" s="128" t="n">
        <v>1</v>
      </c>
      <c r="D334" s="129"/>
      <c r="E334" s="129" t="n">
        <f aca="false">0.1*E333</f>
        <v>60.0867261666667</v>
      </c>
      <c r="I334" s="126"/>
      <c r="J334" s="126"/>
    </row>
    <row r="335" customFormat="false" ht="11.25" hidden="false" customHeight="true" outlineLevel="0" collapsed="false">
      <c r="A335" s="82" t="s">
        <v>107</v>
      </c>
      <c r="B335" s="83"/>
      <c r="C335" s="83"/>
      <c r="D335" s="84"/>
      <c r="E335" s="85" t="n">
        <f aca="false">E333+E334</f>
        <v>660.953987833333</v>
      </c>
      <c r="I335" s="126"/>
      <c r="J335" s="126"/>
    </row>
    <row r="336" customFormat="false" ht="11.25" hidden="false" customHeight="true" outlineLevel="0" collapsed="false">
      <c r="A336" s="95" t="s">
        <v>108</v>
      </c>
      <c r="B336" s="132" t="s">
        <v>65</v>
      </c>
      <c r="C336" s="87" t="n">
        <f aca="false">E38</f>
        <v>1</v>
      </c>
      <c r="D336" s="96" t="n">
        <f aca="false">E335</f>
        <v>660.953987833333</v>
      </c>
      <c r="E336" s="85" t="n">
        <f aca="false">C336*D336</f>
        <v>660.953987833333</v>
      </c>
      <c r="I336" s="126"/>
      <c r="J336" s="126"/>
    </row>
    <row r="337" customFormat="false" ht="11.25" hidden="false" customHeight="true" outlineLevel="0" collapsed="false">
      <c r="A337" s="134"/>
      <c r="B337" s="134"/>
      <c r="C337" s="134"/>
      <c r="D337" s="88" t="s">
        <v>34</v>
      </c>
      <c r="E337" s="89" t="n">
        <f aca="false">'FATOR FU_OFICIAL'!F9</f>
        <v>1</v>
      </c>
      <c r="F337" s="121" t="n">
        <f aca="false">E336*E337</f>
        <v>660.953987833333</v>
      </c>
      <c r="I337" s="126"/>
      <c r="J337" s="126"/>
    </row>
    <row r="338" customFormat="false" ht="11.25" hidden="false" customHeight="true" outlineLevel="0" collapsed="false">
      <c r="I338" s="126"/>
      <c r="J338" s="126"/>
    </row>
    <row r="339" customFormat="false" ht="11.25" hidden="false" customHeight="true" outlineLevel="0" collapsed="false">
      <c r="A339" s="124" t="s">
        <v>165</v>
      </c>
      <c r="I339" s="126"/>
      <c r="J339" s="126"/>
    </row>
    <row r="340" customFormat="false" ht="11.25" hidden="false" customHeight="true" outlineLevel="0" collapsed="false">
      <c r="A340" s="135" t="s">
        <v>16</v>
      </c>
      <c r="B340" s="136" t="s">
        <v>17</v>
      </c>
      <c r="C340" s="136" t="s">
        <v>9</v>
      </c>
      <c r="D340" s="72" t="s">
        <v>18</v>
      </c>
      <c r="E340" s="137" t="s">
        <v>19</v>
      </c>
      <c r="F340" s="73" t="s">
        <v>20</v>
      </c>
      <c r="I340" s="126"/>
      <c r="J340" s="126"/>
    </row>
    <row r="341" customFormat="false" ht="11.25" hidden="false" customHeight="true" outlineLevel="0" collapsed="false">
      <c r="A341" s="78" t="s">
        <v>110</v>
      </c>
      <c r="B341" s="79" t="s">
        <v>65</v>
      </c>
      <c r="C341" s="75" t="n">
        <f aca="false">C329</f>
        <v>1</v>
      </c>
      <c r="D341" s="81" t="n">
        <f aca="false">D329</f>
        <v>110623</v>
      </c>
      <c r="E341" s="81" t="n">
        <f aca="false">C341*D341</f>
        <v>110623</v>
      </c>
      <c r="F341" s="125"/>
      <c r="I341" s="126"/>
      <c r="J341" s="126"/>
    </row>
    <row r="342" customFormat="false" ht="11.25" hidden="false" customHeight="true" outlineLevel="0" collapsed="false">
      <c r="A342" s="78" t="s">
        <v>111</v>
      </c>
      <c r="B342" s="79" t="s">
        <v>5</v>
      </c>
      <c r="C342" s="92" t="n">
        <f aca="false">'VALORES BASE'!B32</f>
        <v>14.5</v>
      </c>
      <c r="D342" s="81"/>
      <c r="E342" s="81"/>
      <c r="F342" s="125"/>
      <c r="I342" s="126"/>
      <c r="J342" s="126"/>
    </row>
    <row r="343" customFormat="false" ht="11.25" hidden="false" customHeight="true" outlineLevel="0" collapsed="false">
      <c r="A343" s="78" t="s">
        <v>112</v>
      </c>
      <c r="B343" s="79" t="s">
        <v>27</v>
      </c>
      <c r="C343" s="138" t="n">
        <f aca="false">IFERROR(IF(C331&lt;=C330,E329-(C332/(100*C330)*C331)*E329,E329-E332),0)</f>
        <v>110623</v>
      </c>
      <c r="D343" s="81"/>
      <c r="E343" s="81"/>
      <c r="F343" s="125"/>
      <c r="I343" s="126"/>
      <c r="J343" s="126"/>
    </row>
    <row r="344" customFormat="false" ht="11.25" hidden="false" customHeight="true" outlineLevel="0" collapsed="false">
      <c r="A344" s="78" t="s">
        <v>166</v>
      </c>
      <c r="B344" s="79" t="s">
        <v>27</v>
      </c>
      <c r="C344" s="81" t="n">
        <f aca="false">IFERROR(IF(C331&gt;=C330,C343,((((C343)-(E329-E332))*(((C330-C331)+1)/(2*(C330-C331))))+(E329-E332))),0)</f>
        <v>78176.16787</v>
      </c>
      <c r="D344" s="81"/>
      <c r="E344" s="81"/>
      <c r="F344" s="125"/>
      <c r="I344" s="126"/>
      <c r="J344" s="126"/>
    </row>
    <row r="345" customFormat="false" ht="11.25" hidden="false" customHeight="true" outlineLevel="0" collapsed="false">
      <c r="A345" s="127" t="s">
        <v>114</v>
      </c>
      <c r="B345" s="128" t="s">
        <v>27</v>
      </c>
      <c r="C345" s="128"/>
      <c r="D345" s="129" t="n">
        <f aca="false">C342*C344/12/100</f>
        <v>944.628695095833</v>
      </c>
      <c r="E345" s="129" t="n">
        <f aca="false">D345</f>
        <v>944.628695095833</v>
      </c>
      <c r="F345" s="125"/>
      <c r="I345" s="126"/>
      <c r="J345" s="126"/>
    </row>
    <row r="346" customFormat="false" ht="11.25" hidden="false" customHeight="true" outlineLevel="0" collapsed="false">
      <c r="A346" s="127" t="s">
        <v>164</v>
      </c>
      <c r="B346" s="128" t="s">
        <v>22</v>
      </c>
      <c r="C346" s="128" t="n">
        <v>1</v>
      </c>
      <c r="D346" s="129"/>
      <c r="E346" s="129" t="n">
        <f aca="false">0.1*E345</f>
        <v>94.4628695095833</v>
      </c>
      <c r="F346" s="125"/>
      <c r="I346" s="126"/>
      <c r="J346" s="126"/>
    </row>
    <row r="347" customFormat="false" ht="11.25" hidden="false" customHeight="true" outlineLevel="0" collapsed="false">
      <c r="A347" s="82" t="s">
        <v>107</v>
      </c>
      <c r="B347" s="83"/>
      <c r="C347" s="83"/>
      <c r="D347" s="84"/>
      <c r="E347" s="85" t="n">
        <f aca="false">E345+E346</f>
        <v>1039.09156460542</v>
      </c>
      <c r="F347" s="125"/>
      <c r="I347" s="126"/>
      <c r="J347" s="126"/>
    </row>
    <row r="348" customFormat="false" ht="11.25" hidden="false" customHeight="true" outlineLevel="0" collapsed="false">
      <c r="A348" s="95" t="s">
        <v>108</v>
      </c>
      <c r="B348" s="132" t="s">
        <v>65</v>
      </c>
      <c r="C348" s="79" t="n">
        <f aca="false">C336</f>
        <v>1</v>
      </c>
      <c r="D348" s="96" t="n">
        <f aca="false">E347</f>
        <v>1039.09156460542</v>
      </c>
      <c r="E348" s="85" t="n">
        <f aca="false">C348*D348</f>
        <v>1039.09156460542</v>
      </c>
      <c r="F348" s="125"/>
      <c r="I348" s="126"/>
      <c r="J348" s="126"/>
    </row>
    <row r="349" customFormat="false" ht="11.25" hidden="false" customHeight="true" outlineLevel="0" collapsed="false">
      <c r="C349" s="139"/>
      <c r="D349" s="88" t="s">
        <v>34</v>
      </c>
      <c r="E349" s="89" t="n">
        <f aca="false">'FATOR FU_OFICIAL'!F9</f>
        <v>1</v>
      </c>
      <c r="F349" s="121" t="n">
        <f aca="false">E348*E349</f>
        <v>1039.09156460542</v>
      </c>
      <c r="I349" s="126"/>
      <c r="J349" s="126"/>
    </row>
    <row r="350" customFormat="false" ht="11.25" hidden="false" customHeight="true" outlineLevel="0" collapsed="false">
      <c r="I350" s="126"/>
      <c r="J350" s="126"/>
    </row>
    <row r="351" customFormat="false" ht="11.25" hidden="false" customHeight="true" outlineLevel="0" collapsed="false">
      <c r="A351" s="69" t="s">
        <v>167</v>
      </c>
      <c r="I351" s="126"/>
      <c r="J351" s="126"/>
    </row>
    <row r="352" customFormat="false" ht="11.25" hidden="false" customHeight="true" outlineLevel="0" collapsed="false">
      <c r="A352" s="70" t="s">
        <v>16</v>
      </c>
      <c r="B352" s="71" t="s">
        <v>17</v>
      </c>
      <c r="C352" s="71" t="s">
        <v>9</v>
      </c>
      <c r="D352" s="72" t="s">
        <v>18</v>
      </c>
      <c r="E352" s="72" t="s">
        <v>19</v>
      </c>
      <c r="F352" s="73" t="s">
        <v>20</v>
      </c>
      <c r="I352" s="126"/>
      <c r="J352" s="126"/>
    </row>
    <row r="353" customFormat="false" ht="11.25" hidden="false" customHeight="true" outlineLevel="0" collapsed="false">
      <c r="A353" s="74" t="s">
        <v>120</v>
      </c>
      <c r="B353" s="75" t="s">
        <v>65</v>
      </c>
      <c r="C353" s="77" t="n">
        <f aca="false">C336</f>
        <v>1</v>
      </c>
      <c r="D353" s="76" t="n">
        <f aca="false">0.03*($E$341)</f>
        <v>3318.69</v>
      </c>
      <c r="E353" s="77" t="n">
        <f aca="false">C353*D353</f>
        <v>3318.69</v>
      </c>
      <c r="I353" s="126"/>
      <c r="J353" s="126"/>
    </row>
    <row r="354" customFormat="false" ht="11.25" hidden="false" customHeight="true" outlineLevel="0" collapsed="false">
      <c r="A354" s="78" t="s">
        <v>121</v>
      </c>
      <c r="B354" s="79" t="s">
        <v>65</v>
      </c>
      <c r="C354" s="77" t="n">
        <f aca="false">C336</f>
        <v>1</v>
      </c>
      <c r="D354" s="106" t="n">
        <f aca="false">'VALORES BASE'!B59</f>
        <v>183.142</v>
      </c>
      <c r="E354" s="81" t="n">
        <f aca="false">C354*D354</f>
        <v>183.142</v>
      </c>
      <c r="I354" s="126"/>
      <c r="J354" s="126"/>
    </row>
    <row r="355" customFormat="false" ht="11.25" hidden="false" customHeight="true" outlineLevel="0" collapsed="false">
      <c r="A355" s="78" t="s">
        <v>122</v>
      </c>
      <c r="B355" s="79" t="s">
        <v>65</v>
      </c>
      <c r="C355" s="77" t="n">
        <f aca="false">C336</f>
        <v>1</v>
      </c>
      <c r="D355" s="106" t="n">
        <v>2194</v>
      </c>
      <c r="E355" s="81" t="n">
        <f aca="false">C355*D355</f>
        <v>2194</v>
      </c>
      <c r="F355" s="84"/>
      <c r="I355" s="126"/>
      <c r="J355" s="126"/>
    </row>
    <row r="356" customFormat="false" ht="11.25" hidden="false" customHeight="true" outlineLevel="0" collapsed="false">
      <c r="A356" s="95" t="s">
        <v>123</v>
      </c>
      <c r="B356" s="132" t="s">
        <v>22</v>
      </c>
      <c r="C356" s="132" t="n">
        <v>12</v>
      </c>
      <c r="D356" s="96" t="n">
        <f aca="false">SUM(E353:E355)</f>
        <v>5695.832</v>
      </c>
      <c r="E356" s="96" t="n">
        <f aca="false">D356/C356</f>
        <v>474.652666666667</v>
      </c>
      <c r="I356" s="126"/>
      <c r="J356" s="126"/>
    </row>
    <row r="357" customFormat="false" ht="11.25" hidden="false" customHeight="true" outlineLevel="0" collapsed="false">
      <c r="D357" s="88" t="s">
        <v>34</v>
      </c>
      <c r="E357" s="89" t="n">
        <f aca="false">'FATOR FU_OFICIAL'!F9</f>
        <v>1</v>
      </c>
      <c r="F357" s="90" t="n">
        <f aca="false">E356*E357</f>
        <v>474.652666666667</v>
      </c>
      <c r="I357" s="126"/>
      <c r="J357" s="126"/>
    </row>
    <row r="358" customFormat="false" ht="11.25" hidden="false" customHeight="true" outlineLevel="0" collapsed="false">
      <c r="I358" s="126"/>
      <c r="J358" s="126"/>
    </row>
    <row r="359" customFormat="false" ht="11.25" hidden="false" customHeight="true" outlineLevel="0" collapsed="false">
      <c r="A359" s="1" t="s">
        <v>168</v>
      </c>
      <c r="B359" s="140"/>
      <c r="I359" s="126"/>
      <c r="J359" s="126"/>
    </row>
    <row r="360" customFormat="false" ht="11.25" hidden="false" customHeight="true" outlineLevel="0" collapsed="false">
      <c r="B360" s="140"/>
      <c r="I360" s="126"/>
      <c r="J360" s="126"/>
    </row>
    <row r="361" customFormat="false" ht="11.25" hidden="false" customHeight="true" outlineLevel="0" collapsed="false">
      <c r="A361" s="95" t="s">
        <v>125</v>
      </c>
      <c r="B361" s="141" t="n">
        <f aca="false">0.2*B282</f>
        <v>753.36</v>
      </c>
      <c r="I361" s="126"/>
      <c r="J361" s="126"/>
    </row>
    <row r="362" customFormat="false" ht="11.25" hidden="false" customHeight="true" outlineLevel="0" collapsed="false">
      <c r="B362" s="140"/>
      <c r="I362" s="126"/>
      <c r="J362" s="126"/>
    </row>
    <row r="363" customFormat="false" ht="11.25" hidden="false" customHeight="true" outlineLevel="0" collapsed="false">
      <c r="A363" s="70" t="s">
        <v>16</v>
      </c>
      <c r="B363" s="71" t="s">
        <v>17</v>
      </c>
      <c r="C363" s="71" t="s">
        <v>126</v>
      </c>
      <c r="D363" s="72" t="s">
        <v>18</v>
      </c>
      <c r="E363" s="72" t="s">
        <v>19</v>
      </c>
      <c r="F363" s="73" t="s">
        <v>20</v>
      </c>
      <c r="I363" s="126"/>
      <c r="J363" s="126"/>
    </row>
    <row r="364" customFormat="false" ht="11.25" hidden="false" customHeight="true" outlineLevel="0" collapsed="false">
      <c r="A364" s="74" t="s">
        <v>169</v>
      </c>
      <c r="B364" s="75" t="s">
        <v>128</v>
      </c>
      <c r="C364" s="142" t="n">
        <v>10</v>
      </c>
      <c r="D364" s="143" t="n">
        <f aca="false">'VALORES BASE'!B37</f>
        <v>6.44</v>
      </c>
      <c r="E364" s="77"/>
      <c r="I364" s="126"/>
      <c r="J364" s="126"/>
    </row>
    <row r="365" customFormat="false" ht="11.25" hidden="false" customHeight="true" outlineLevel="0" collapsed="false">
      <c r="A365" s="78" t="s">
        <v>170</v>
      </c>
      <c r="B365" s="79" t="s">
        <v>130</v>
      </c>
      <c r="C365" s="101" t="n">
        <f aca="false">B361</f>
        <v>753.36</v>
      </c>
      <c r="D365" s="144" t="n">
        <f aca="false">IFERROR(+D364/C364,"-")</f>
        <v>0.644</v>
      </c>
      <c r="E365" s="81" t="n">
        <f aca="false">IFERROR(C365*D365,"-")</f>
        <v>485.16384</v>
      </c>
      <c r="I365" s="126"/>
      <c r="J365" s="126"/>
    </row>
    <row r="366" customFormat="false" ht="11.25" hidden="false" customHeight="true" outlineLevel="0" collapsed="false">
      <c r="A366" s="78" t="s">
        <v>131</v>
      </c>
      <c r="B366" s="79" t="s">
        <v>132</v>
      </c>
      <c r="C366" s="145" t="n">
        <v>0.5</v>
      </c>
      <c r="D366" s="106" t="n">
        <f aca="false">'VALORES BASE'!B42</f>
        <v>36.3</v>
      </c>
      <c r="E366" s="81"/>
      <c r="I366" s="126"/>
      <c r="J366" s="126"/>
    </row>
    <row r="367" customFormat="false" ht="11.25" hidden="false" customHeight="true" outlineLevel="0" collapsed="false">
      <c r="A367" s="78" t="s">
        <v>133</v>
      </c>
      <c r="B367" s="79" t="s">
        <v>130</v>
      </c>
      <c r="C367" s="101" t="n">
        <f aca="false">C365</f>
        <v>753.36</v>
      </c>
      <c r="D367" s="146" t="n">
        <f aca="false">+C366*D366/1000</f>
        <v>0.01815</v>
      </c>
      <c r="E367" s="81" t="n">
        <f aca="false">C367*D367</f>
        <v>13.673484</v>
      </c>
      <c r="I367" s="126"/>
      <c r="J367" s="126"/>
    </row>
    <row r="368" customFormat="false" ht="11.25" hidden="false" customHeight="true" outlineLevel="0" collapsed="false">
      <c r="A368" s="95" t="s">
        <v>143</v>
      </c>
      <c r="B368" s="132" t="s">
        <v>144</v>
      </c>
      <c r="C368" s="148"/>
      <c r="D368" s="149" t="n">
        <f aca="false">IFERROR(D365+D367,0)</f>
        <v>0.66215</v>
      </c>
      <c r="E368" s="81"/>
      <c r="I368" s="126"/>
      <c r="J368" s="126"/>
    </row>
    <row r="369" customFormat="false" ht="11.25" hidden="false" customHeight="true" outlineLevel="0" collapsed="false">
      <c r="F369" s="121" t="n">
        <f aca="false">SUM(E364:E367)</f>
        <v>498.837324</v>
      </c>
      <c r="I369" s="126"/>
      <c r="J369" s="126"/>
    </row>
    <row r="370" customFormat="false" ht="11.25" hidden="false" customHeight="true" outlineLevel="0" collapsed="false">
      <c r="I370" s="126"/>
      <c r="J370" s="126"/>
    </row>
    <row r="371" customFormat="false" ht="11.25" hidden="false" customHeight="true" outlineLevel="0" collapsed="false">
      <c r="A371" s="69" t="s">
        <v>171</v>
      </c>
      <c r="I371" s="126"/>
      <c r="J371" s="126"/>
    </row>
    <row r="372" customFormat="false" ht="11.25" hidden="false" customHeight="true" outlineLevel="0" collapsed="false">
      <c r="A372" s="70" t="s">
        <v>16</v>
      </c>
      <c r="B372" s="71" t="s">
        <v>17</v>
      </c>
      <c r="C372" s="71" t="s">
        <v>9</v>
      </c>
      <c r="D372" s="72" t="s">
        <v>18</v>
      </c>
      <c r="E372" s="72" t="s">
        <v>19</v>
      </c>
      <c r="F372" s="73" t="s">
        <v>20</v>
      </c>
      <c r="I372" s="126"/>
      <c r="J372" s="126"/>
    </row>
    <row r="373" customFormat="false" ht="11.25" hidden="false" customHeight="true" outlineLevel="0" collapsed="false">
      <c r="A373" s="74" t="s">
        <v>146</v>
      </c>
      <c r="B373" s="75" t="s">
        <v>144</v>
      </c>
      <c r="C373" s="101" t="n">
        <f aca="false">C365</f>
        <v>753.36</v>
      </c>
      <c r="D373" s="117" t="n">
        <f aca="false">0.33*D301</f>
        <v>0.4356</v>
      </c>
      <c r="E373" s="77" t="n">
        <f aca="false">C373*D373</f>
        <v>328.163616</v>
      </c>
      <c r="I373" s="126"/>
      <c r="J373" s="126"/>
    </row>
    <row r="374" customFormat="false" ht="11.25" hidden="false" customHeight="true" outlineLevel="0" collapsed="false">
      <c r="D374" s="2" t="s">
        <v>172</v>
      </c>
      <c r="F374" s="121" t="n">
        <f aca="false">E373</f>
        <v>328.163616</v>
      </c>
      <c r="I374" s="126"/>
      <c r="J374" s="126"/>
    </row>
    <row r="375" customFormat="false" ht="11.25" hidden="false" customHeight="true" outlineLevel="0" collapsed="false">
      <c r="I375" s="126"/>
      <c r="J375" s="126"/>
    </row>
    <row r="376" customFormat="false" ht="11.25" hidden="false" customHeight="true" outlineLevel="0" collapsed="false">
      <c r="A376" s="69" t="s">
        <v>173</v>
      </c>
      <c r="I376" s="126"/>
      <c r="J376" s="126"/>
    </row>
    <row r="377" customFormat="false" ht="11.25" hidden="false" customHeight="true" outlineLevel="0" collapsed="false">
      <c r="A377" s="70" t="s">
        <v>16</v>
      </c>
      <c r="B377" s="71" t="s">
        <v>17</v>
      </c>
      <c r="C377" s="71" t="s">
        <v>9</v>
      </c>
      <c r="D377" s="72" t="s">
        <v>18</v>
      </c>
      <c r="E377" s="72" t="s">
        <v>19</v>
      </c>
      <c r="F377" s="73" t="s">
        <v>20</v>
      </c>
      <c r="I377" s="126"/>
      <c r="J377" s="126"/>
    </row>
    <row r="378" customFormat="false" ht="11.25" hidden="false" customHeight="true" outlineLevel="0" collapsed="false">
      <c r="A378" s="74" t="s">
        <v>174</v>
      </c>
      <c r="B378" s="75" t="s">
        <v>65</v>
      </c>
      <c r="C378" s="150" t="n">
        <f aca="false">E38*4</f>
        <v>4</v>
      </c>
      <c r="D378" s="76" t="n">
        <f aca="false">'VALORES BASE'!B50</f>
        <v>349.9</v>
      </c>
      <c r="E378" s="77" t="n">
        <f aca="false">C378*D378</f>
        <v>1399.6</v>
      </c>
      <c r="I378" s="126"/>
      <c r="J378" s="126"/>
    </row>
    <row r="379" customFormat="false" ht="11.25" hidden="false" customHeight="true" outlineLevel="0" collapsed="false">
      <c r="A379" s="74" t="s">
        <v>149</v>
      </c>
      <c r="B379" s="75" t="s">
        <v>65</v>
      </c>
      <c r="C379" s="150" t="n">
        <v>2</v>
      </c>
      <c r="D379" s="77"/>
      <c r="E379" s="77"/>
      <c r="I379" s="126"/>
      <c r="J379" s="126"/>
    </row>
    <row r="380" customFormat="false" ht="11.25" hidden="false" customHeight="true" outlineLevel="0" collapsed="false">
      <c r="A380" s="74" t="s">
        <v>150</v>
      </c>
      <c r="B380" s="75" t="s">
        <v>65</v>
      </c>
      <c r="C380" s="77" t="n">
        <f aca="false">C379*C378</f>
        <v>8</v>
      </c>
      <c r="D380" s="76" t="n">
        <f aca="false">0.35*D378</f>
        <v>122.465</v>
      </c>
      <c r="E380" s="77" t="n">
        <f aca="false">C380*D380</f>
        <v>979.72</v>
      </c>
      <c r="I380" s="126"/>
      <c r="J380" s="126"/>
    </row>
    <row r="381" customFormat="false" ht="11.25" hidden="false" customHeight="true" outlineLevel="0" collapsed="false">
      <c r="A381" s="151" t="s">
        <v>175</v>
      </c>
      <c r="B381" s="79" t="s">
        <v>152</v>
      </c>
      <c r="C381" s="152" t="n">
        <v>40000</v>
      </c>
      <c r="D381" s="81" t="n">
        <f aca="false">E378+E380</f>
        <v>2379.32</v>
      </c>
      <c r="E381" s="81" t="n">
        <f aca="false">IFERROR(D381/C381,"-")</f>
        <v>0.059483</v>
      </c>
      <c r="I381" s="126"/>
      <c r="J381" s="126"/>
    </row>
    <row r="382" customFormat="false" ht="11.25" hidden="false" customHeight="true" outlineLevel="0" collapsed="false">
      <c r="A382" s="78" t="s">
        <v>153</v>
      </c>
      <c r="B382" s="79" t="s">
        <v>130</v>
      </c>
      <c r="C382" s="101" t="n">
        <f aca="false">B361</f>
        <v>753.36</v>
      </c>
      <c r="D382" s="81" t="n">
        <f aca="false">E381</f>
        <v>0.059483</v>
      </c>
      <c r="E382" s="81" t="n">
        <f aca="false">IFERROR(C382*D382,0)</f>
        <v>44.81211288</v>
      </c>
      <c r="I382" s="126"/>
      <c r="J382" s="126"/>
    </row>
    <row r="383" customFormat="false" ht="11.25" hidden="false" customHeight="true" outlineLevel="0" collapsed="false">
      <c r="F383" s="121" t="n">
        <f aca="false">E382</f>
        <v>44.81211288</v>
      </c>
      <c r="I383" s="126"/>
      <c r="J383" s="126"/>
    </row>
    <row r="384" customFormat="false" ht="11.25" hidden="false" customHeight="true" outlineLevel="0" collapsed="false">
      <c r="I384" s="126"/>
      <c r="J384" s="126"/>
    </row>
    <row r="385" customFormat="false" ht="11.25" hidden="false" customHeight="true" outlineLevel="0" collapsed="false">
      <c r="I385" s="126"/>
      <c r="J385" s="126"/>
    </row>
    <row r="386" customFormat="false" ht="11.25" hidden="false" customHeight="true" outlineLevel="0" collapsed="false">
      <c r="A386" s="156" t="s">
        <v>176</v>
      </c>
      <c r="I386" s="126"/>
      <c r="J386" s="126"/>
    </row>
    <row r="387" customFormat="false" ht="11.25" hidden="false" customHeight="true" outlineLevel="0" collapsed="false">
      <c r="I387" s="126"/>
      <c r="J387" s="126"/>
    </row>
    <row r="388" customFormat="false" ht="11.25" hidden="false" customHeight="true" outlineLevel="0" collapsed="false">
      <c r="A388" s="124" t="s">
        <v>177</v>
      </c>
      <c r="I388" s="126"/>
      <c r="J388" s="126"/>
    </row>
    <row r="389" customFormat="false" ht="11.25" hidden="false" customHeight="true" outlineLevel="0" collapsed="false">
      <c r="A389" s="70" t="s">
        <v>16</v>
      </c>
      <c r="B389" s="71" t="s">
        <v>17</v>
      </c>
      <c r="C389" s="71" t="s">
        <v>9</v>
      </c>
      <c r="D389" s="72" t="s">
        <v>18</v>
      </c>
      <c r="E389" s="72" t="s">
        <v>19</v>
      </c>
      <c r="F389" s="73" t="s">
        <v>20</v>
      </c>
      <c r="I389" s="126"/>
      <c r="J389" s="126"/>
    </row>
    <row r="390" customFormat="false" ht="11.25" hidden="false" customHeight="true" outlineLevel="0" collapsed="false">
      <c r="A390" s="74" t="s">
        <v>96</v>
      </c>
      <c r="B390" s="75" t="s">
        <v>65</v>
      </c>
      <c r="C390" s="75" t="n">
        <v>1</v>
      </c>
      <c r="D390" s="76" t="n">
        <f aca="false">'VALORES BASE'!B55</f>
        <v>256579</v>
      </c>
      <c r="E390" s="77" t="n">
        <f aca="false">C390*D390</f>
        <v>256579</v>
      </c>
      <c r="I390" s="126"/>
      <c r="J390" s="126"/>
    </row>
    <row r="391" customFormat="false" ht="11.25" hidden="false" customHeight="true" outlineLevel="0" collapsed="false">
      <c r="A391" s="78" t="s">
        <v>97</v>
      </c>
      <c r="B391" s="79" t="s">
        <v>98</v>
      </c>
      <c r="C391" s="92" t="n">
        <v>10</v>
      </c>
      <c r="D391" s="81"/>
      <c r="E391" s="81"/>
      <c r="I391" s="126"/>
      <c r="J391" s="126"/>
    </row>
    <row r="392" customFormat="false" ht="11.25" hidden="false" customHeight="true" outlineLevel="0" collapsed="false">
      <c r="A392" s="78" t="s">
        <v>99</v>
      </c>
      <c r="B392" s="79" t="s">
        <v>98</v>
      </c>
      <c r="C392" s="92" t="n">
        <v>0</v>
      </c>
      <c r="D392" s="81"/>
      <c r="E392" s="81"/>
      <c r="F392" s="125"/>
      <c r="I392" s="126"/>
      <c r="J392" s="126"/>
    </row>
    <row r="393" customFormat="false" ht="11.25" hidden="false" customHeight="true" outlineLevel="0" collapsed="false">
      <c r="A393" s="78" t="s">
        <v>100</v>
      </c>
      <c r="B393" s="79" t="s">
        <v>5</v>
      </c>
      <c r="C393" s="86" t="n">
        <f aca="false">IFERROR(VLOOKUP(C391,'5. Depreciação'!$A$3:$B$17,2,0),0)</f>
        <v>65.18</v>
      </c>
      <c r="D393" s="81" t="n">
        <f aca="false">E390</f>
        <v>256579</v>
      </c>
      <c r="E393" s="81" t="n">
        <f aca="false">C393*D393/100</f>
        <v>167238.1922</v>
      </c>
      <c r="I393" s="126"/>
      <c r="J393" s="126"/>
    </row>
    <row r="394" customFormat="false" ht="11.25" hidden="false" customHeight="true" outlineLevel="0" collapsed="false">
      <c r="A394" s="127" t="s">
        <v>101</v>
      </c>
      <c r="B394" s="128" t="s">
        <v>22</v>
      </c>
      <c r="C394" s="128" t="n">
        <f aca="false">C391*12</f>
        <v>120</v>
      </c>
      <c r="D394" s="129" t="n">
        <f aca="false">IF(C392&lt;=C391,E393,0)</f>
        <v>167238.1922</v>
      </c>
      <c r="E394" s="129" t="n">
        <f aca="false">IFERROR(D394/C394,0)</f>
        <v>1393.65160166667</v>
      </c>
      <c r="I394" s="126"/>
      <c r="J394" s="126"/>
    </row>
    <row r="395" customFormat="false" ht="11.25" hidden="false" customHeight="true" outlineLevel="0" collapsed="false">
      <c r="A395" s="74" t="s">
        <v>178</v>
      </c>
      <c r="B395" s="75" t="s">
        <v>65</v>
      </c>
      <c r="C395" s="75" t="n">
        <f aca="false">C390</f>
        <v>1</v>
      </c>
      <c r="D395" s="76" t="n">
        <f aca="false">'VALORES BASE'!B56</f>
        <v>10000</v>
      </c>
      <c r="E395" s="77" t="n">
        <f aca="false">C395*D395</f>
        <v>10000</v>
      </c>
      <c r="I395" s="126"/>
      <c r="J395" s="126"/>
    </row>
    <row r="396" customFormat="false" ht="11.25" hidden="false" customHeight="true" outlineLevel="0" collapsed="false">
      <c r="A396" s="78" t="s">
        <v>103</v>
      </c>
      <c r="B396" s="79" t="s">
        <v>98</v>
      </c>
      <c r="C396" s="92" t="n">
        <v>10</v>
      </c>
      <c r="D396" s="81"/>
      <c r="E396" s="81"/>
      <c r="I396" s="126"/>
      <c r="J396" s="126"/>
    </row>
    <row r="397" customFormat="false" ht="11.25" hidden="false" customHeight="true" outlineLevel="0" collapsed="false">
      <c r="A397" s="78" t="s">
        <v>104</v>
      </c>
      <c r="B397" s="79" t="s">
        <v>98</v>
      </c>
      <c r="C397" s="92" t="n">
        <v>0</v>
      </c>
      <c r="D397" s="81"/>
      <c r="E397" s="81"/>
      <c r="F397" s="125"/>
      <c r="I397" s="126"/>
      <c r="J397" s="126"/>
    </row>
    <row r="398" customFormat="false" ht="11.25" hidden="false" customHeight="true" outlineLevel="0" collapsed="false">
      <c r="A398" s="78" t="s">
        <v>179</v>
      </c>
      <c r="B398" s="79" t="s">
        <v>5</v>
      </c>
      <c r="C398" s="131" t="n">
        <f aca="false">IFERROR(VLOOKUP(C396,'5. Depreciação'!$A$3:$B$17,2,0),0)</f>
        <v>65.18</v>
      </c>
      <c r="D398" s="81" t="n">
        <f aca="false">E395</f>
        <v>10000</v>
      </c>
      <c r="E398" s="81" t="n">
        <f aca="false">C398*D398/100</f>
        <v>6518</v>
      </c>
      <c r="I398" s="126"/>
      <c r="J398" s="126"/>
    </row>
    <row r="399" customFormat="false" ht="11.25" hidden="false" customHeight="true" outlineLevel="0" collapsed="false">
      <c r="A399" s="95" t="s">
        <v>106</v>
      </c>
      <c r="B399" s="132" t="s">
        <v>22</v>
      </c>
      <c r="C399" s="132" t="n">
        <f aca="false">C396*12</f>
        <v>120</v>
      </c>
      <c r="D399" s="96" t="n">
        <f aca="false">IF(C397&lt;=C396,E398,0)</f>
        <v>6518</v>
      </c>
      <c r="E399" s="96" t="n">
        <f aca="false">IFERROR(D399/C399,0)</f>
        <v>54.3166666666667</v>
      </c>
      <c r="I399" s="126"/>
      <c r="J399" s="126"/>
    </row>
    <row r="400" customFormat="false" ht="11.25" hidden="false" customHeight="true" outlineLevel="0" collapsed="false">
      <c r="A400" s="127" t="s">
        <v>164</v>
      </c>
      <c r="B400" s="128" t="s">
        <v>22</v>
      </c>
      <c r="C400" s="128" t="n">
        <v>1</v>
      </c>
      <c r="D400" s="129"/>
      <c r="E400" s="129" t="n">
        <f aca="false">0.1*(E399+E394)</f>
        <v>144.796826833333</v>
      </c>
      <c r="I400" s="126"/>
      <c r="J400" s="126"/>
    </row>
    <row r="401" customFormat="false" ht="11.25" hidden="false" customHeight="true" outlineLevel="0" collapsed="false">
      <c r="A401" s="82" t="s">
        <v>107</v>
      </c>
      <c r="B401" s="83"/>
      <c r="C401" s="83"/>
      <c r="D401" s="84"/>
      <c r="E401" s="85" t="n">
        <f aca="false">E394+E399+E400</f>
        <v>1592.76509516667</v>
      </c>
      <c r="I401" s="126"/>
      <c r="J401" s="126"/>
    </row>
    <row r="402" customFormat="false" ht="11.25" hidden="false" customHeight="true" outlineLevel="0" collapsed="false">
      <c r="A402" s="95" t="s">
        <v>108</v>
      </c>
      <c r="B402" s="132" t="s">
        <v>65</v>
      </c>
      <c r="C402" s="87" t="n">
        <f aca="false">E39</f>
        <v>2</v>
      </c>
      <c r="D402" s="96" t="n">
        <f aca="false">E401</f>
        <v>1592.76509516667</v>
      </c>
      <c r="E402" s="85" t="n">
        <f aca="false">C402*D402</f>
        <v>3185.53019033333</v>
      </c>
      <c r="I402" s="126"/>
      <c r="J402" s="126"/>
    </row>
    <row r="403" customFormat="false" ht="11.25" hidden="false" customHeight="true" outlineLevel="0" collapsed="false">
      <c r="A403" s="134"/>
      <c r="B403" s="134"/>
      <c r="C403" s="134"/>
      <c r="D403" s="88" t="s">
        <v>34</v>
      </c>
      <c r="E403" s="89" t="n">
        <f aca="false">'FATOR FU_OFICIAL'!F23</f>
        <v>1</v>
      </c>
      <c r="F403" s="121" t="n">
        <f aca="false">E402*E403</f>
        <v>3185.53019033333</v>
      </c>
      <c r="I403" s="126"/>
      <c r="J403" s="126"/>
    </row>
    <row r="404" customFormat="false" ht="11.25" hidden="false" customHeight="true" outlineLevel="0" collapsed="false">
      <c r="I404" s="126"/>
      <c r="J404" s="126"/>
    </row>
    <row r="405" customFormat="false" ht="11.25" hidden="false" customHeight="true" outlineLevel="0" collapsed="false">
      <c r="A405" s="124" t="s">
        <v>180</v>
      </c>
      <c r="I405" s="126"/>
      <c r="J405" s="126"/>
    </row>
    <row r="406" customFormat="false" ht="11.25" hidden="false" customHeight="true" outlineLevel="0" collapsed="false">
      <c r="A406" s="135" t="s">
        <v>16</v>
      </c>
      <c r="B406" s="136" t="s">
        <v>17</v>
      </c>
      <c r="C406" s="136" t="s">
        <v>9</v>
      </c>
      <c r="D406" s="72" t="s">
        <v>18</v>
      </c>
      <c r="E406" s="137" t="s">
        <v>19</v>
      </c>
      <c r="F406" s="73" t="s">
        <v>20</v>
      </c>
      <c r="I406" s="126"/>
      <c r="J406" s="126"/>
    </row>
    <row r="407" customFormat="false" ht="11.25" hidden="false" customHeight="true" outlineLevel="0" collapsed="false">
      <c r="A407" s="78" t="s">
        <v>110</v>
      </c>
      <c r="B407" s="79" t="s">
        <v>65</v>
      </c>
      <c r="C407" s="75" t="n">
        <v>1</v>
      </c>
      <c r="D407" s="81" t="n">
        <f aca="false">D390</f>
        <v>256579</v>
      </c>
      <c r="E407" s="81" t="n">
        <f aca="false">C407*D407</f>
        <v>256579</v>
      </c>
      <c r="F407" s="125"/>
      <c r="I407" s="126"/>
      <c r="J407" s="126"/>
    </row>
    <row r="408" customFormat="false" ht="11.25" hidden="false" customHeight="true" outlineLevel="0" collapsed="false">
      <c r="A408" s="78" t="s">
        <v>111</v>
      </c>
      <c r="B408" s="79" t="s">
        <v>5</v>
      </c>
      <c r="C408" s="92" t="n">
        <f aca="false">'VALORES BASE'!B32</f>
        <v>14.5</v>
      </c>
      <c r="D408" s="81"/>
      <c r="E408" s="81"/>
      <c r="F408" s="125"/>
      <c r="I408" s="126"/>
      <c r="J408" s="126"/>
    </row>
    <row r="409" customFormat="false" ht="11.25" hidden="false" customHeight="true" outlineLevel="0" collapsed="false">
      <c r="A409" s="78" t="s">
        <v>112</v>
      </c>
      <c r="B409" s="79" t="s">
        <v>27</v>
      </c>
      <c r="C409" s="138" t="n">
        <f aca="false">IFERROR(IF(C392&lt;=C391,E390-(C393/(100*C391)*C392)*E390,E390-E393),0)</f>
        <v>256579</v>
      </c>
      <c r="D409" s="81"/>
      <c r="E409" s="81"/>
      <c r="F409" s="125"/>
      <c r="I409" s="126"/>
      <c r="J409" s="126"/>
    </row>
    <row r="410" customFormat="false" ht="11.25" hidden="false" customHeight="true" outlineLevel="0" collapsed="false">
      <c r="A410" s="78" t="s">
        <v>113</v>
      </c>
      <c r="B410" s="79" t="s">
        <v>27</v>
      </c>
      <c r="C410" s="81" t="n">
        <f aca="false">IFERROR(IF(C392&gt;=C391,C409,((((C409)-(E390-E393))*(((C391-C392)+1)/(2*(C391-C392))))+(E390-E393))),0)</f>
        <v>181321.81351</v>
      </c>
      <c r="D410" s="81"/>
      <c r="E410" s="81"/>
      <c r="F410" s="125"/>
      <c r="I410" s="126"/>
      <c r="J410" s="126"/>
    </row>
    <row r="411" customFormat="false" ht="11.25" hidden="false" customHeight="true" outlineLevel="0" collapsed="false">
      <c r="A411" s="127" t="s">
        <v>114</v>
      </c>
      <c r="B411" s="128" t="s">
        <v>27</v>
      </c>
      <c r="C411" s="128"/>
      <c r="D411" s="129" t="n">
        <f aca="false">C408*C410/12/100</f>
        <v>2190.97191324583</v>
      </c>
      <c r="E411" s="129" t="n">
        <f aca="false">D411</f>
        <v>2190.97191324583</v>
      </c>
      <c r="F411" s="125"/>
      <c r="I411" s="126"/>
      <c r="J411" s="126"/>
    </row>
    <row r="412" customFormat="false" ht="11.25" hidden="false" customHeight="true" outlineLevel="0" collapsed="false">
      <c r="A412" s="74" t="str">
        <f aca="false">A395</f>
        <v>Custo de aquisição do baú</v>
      </c>
      <c r="B412" s="75" t="s">
        <v>65</v>
      </c>
      <c r="C412" s="75" t="n">
        <f aca="false">C395</f>
        <v>1</v>
      </c>
      <c r="D412" s="77" t="n">
        <f aca="false">D395</f>
        <v>10000</v>
      </c>
      <c r="E412" s="77" t="n">
        <f aca="false">C412*D412</f>
        <v>10000</v>
      </c>
      <c r="F412" s="125"/>
      <c r="I412" s="126"/>
      <c r="J412" s="126"/>
    </row>
    <row r="413" customFormat="false" ht="11.25" hidden="false" customHeight="true" outlineLevel="0" collapsed="false">
      <c r="A413" s="78" t="s">
        <v>111</v>
      </c>
      <c r="B413" s="79" t="s">
        <v>5</v>
      </c>
      <c r="C413" s="79" t="n">
        <f aca="false">C408</f>
        <v>14.5</v>
      </c>
      <c r="D413" s="81"/>
      <c r="E413" s="81"/>
      <c r="F413" s="125"/>
      <c r="I413" s="126"/>
      <c r="J413" s="126"/>
    </row>
    <row r="414" customFormat="false" ht="11.25" hidden="false" customHeight="true" outlineLevel="0" collapsed="false">
      <c r="A414" s="78" t="s">
        <v>116</v>
      </c>
      <c r="B414" s="79" t="s">
        <v>27</v>
      </c>
      <c r="C414" s="138" t="n">
        <f aca="false">IFERROR(IF(C397&lt;=C396,E395-(C398/(100*C396)*C397)*E395,E395-E398),0)</f>
        <v>10000</v>
      </c>
      <c r="D414" s="81"/>
      <c r="E414" s="81"/>
      <c r="F414" s="125"/>
      <c r="I414" s="126"/>
      <c r="J414" s="126"/>
    </row>
    <row r="415" customFormat="false" ht="11.25" hidden="false" customHeight="true" outlineLevel="0" collapsed="false">
      <c r="A415" s="78" t="s">
        <v>117</v>
      </c>
      <c r="B415" s="79" t="s">
        <v>27</v>
      </c>
      <c r="C415" s="81" t="n">
        <f aca="false">IFERROR(IF(C397&gt;=C396,C414,((((C414)-(E395-E398))*(((C396-C397)+1)/(2*(C396-C397))))+(E395-E398))),0)</f>
        <v>7066.9</v>
      </c>
      <c r="D415" s="81"/>
      <c r="E415" s="81"/>
      <c r="F415" s="125"/>
      <c r="I415" s="126"/>
      <c r="J415" s="126"/>
    </row>
    <row r="416" customFormat="false" ht="11.25" hidden="false" customHeight="true" outlineLevel="0" collapsed="false">
      <c r="A416" s="95" t="s">
        <v>181</v>
      </c>
      <c r="B416" s="132" t="s">
        <v>27</v>
      </c>
      <c r="C416" s="132"/>
      <c r="D416" s="96" t="n">
        <f aca="false">C413*C415/12/100</f>
        <v>85.3917083333333</v>
      </c>
      <c r="E416" s="96" t="n">
        <f aca="false">D416</f>
        <v>85.3917083333333</v>
      </c>
      <c r="F416" s="125"/>
      <c r="I416" s="126"/>
      <c r="J416" s="126"/>
    </row>
    <row r="417" customFormat="false" ht="11.25" hidden="false" customHeight="true" outlineLevel="0" collapsed="false">
      <c r="A417" s="127" t="s">
        <v>164</v>
      </c>
      <c r="B417" s="128" t="s">
        <v>22</v>
      </c>
      <c r="C417" s="128" t="n">
        <v>1</v>
      </c>
      <c r="D417" s="129"/>
      <c r="E417" s="129" t="n">
        <f aca="false">0.1*(E416+E411)</f>
        <v>227.636362157917</v>
      </c>
      <c r="F417" s="125"/>
      <c r="I417" s="126"/>
      <c r="J417" s="126"/>
    </row>
    <row r="418" customFormat="false" ht="11.25" hidden="false" customHeight="true" outlineLevel="0" collapsed="false">
      <c r="A418" s="82" t="s">
        <v>107</v>
      </c>
      <c r="B418" s="83"/>
      <c r="C418" s="83"/>
      <c r="D418" s="84"/>
      <c r="E418" s="85" t="n">
        <f aca="false">E411+E416+E417</f>
        <v>2503.99998373708</v>
      </c>
      <c r="F418" s="125"/>
      <c r="I418" s="126"/>
      <c r="J418" s="126"/>
    </row>
    <row r="419" customFormat="false" ht="11.25" hidden="false" customHeight="true" outlineLevel="0" collapsed="false">
      <c r="A419" s="95" t="s">
        <v>108</v>
      </c>
      <c r="B419" s="132" t="s">
        <v>65</v>
      </c>
      <c r="C419" s="79" t="n">
        <f aca="false">C402</f>
        <v>2</v>
      </c>
      <c r="D419" s="96" t="n">
        <f aca="false">E418</f>
        <v>2503.99998373708</v>
      </c>
      <c r="E419" s="85" t="n">
        <f aca="false">C419*D419</f>
        <v>5007.99996747417</v>
      </c>
      <c r="F419" s="125"/>
      <c r="I419" s="126"/>
      <c r="J419" s="126"/>
    </row>
    <row r="420" customFormat="false" ht="11.25" hidden="false" customHeight="true" outlineLevel="0" collapsed="false">
      <c r="C420" s="139"/>
      <c r="D420" s="88" t="s">
        <v>34</v>
      </c>
      <c r="E420" s="89" t="n">
        <f aca="false">E403</f>
        <v>1</v>
      </c>
      <c r="F420" s="121" t="n">
        <f aca="false">E419*E420</f>
        <v>5007.99996747417</v>
      </c>
      <c r="I420" s="126"/>
      <c r="J420" s="126"/>
    </row>
    <row r="421" customFormat="false" ht="11.25" hidden="false" customHeight="true" outlineLevel="0" collapsed="false">
      <c r="I421" s="126"/>
      <c r="J421" s="126"/>
    </row>
    <row r="422" customFormat="false" ht="11.25" hidden="false" customHeight="true" outlineLevel="0" collapsed="false">
      <c r="A422" s="69" t="s">
        <v>182</v>
      </c>
      <c r="I422" s="126"/>
      <c r="J422" s="126"/>
    </row>
    <row r="423" customFormat="false" ht="11.25" hidden="false" customHeight="true" outlineLevel="0" collapsed="false">
      <c r="A423" s="70" t="s">
        <v>16</v>
      </c>
      <c r="B423" s="71" t="s">
        <v>17</v>
      </c>
      <c r="C423" s="71" t="s">
        <v>9</v>
      </c>
      <c r="D423" s="72" t="s">
        <v>18</v>
      </c>
      <c r="E423" s="72" t="s">
        <v>19</v>
      </c>
      <c r="F423" s="73" t="s">
        <v>20</v>
      </c>
      <c r="I423" s="126"/>
      <c r="J423" s="126"/>
    </row>
    <row r="424" customFormat="false" ht="11.25" hidden="false" customHeight="true" outlineLevel="0" collapsed="false">
      <c r="A424" s="74" t="s">
        <v>120</v>
      </c>
      <c r="B424" s="75" t="s">
        <v>65</v>
      </c>
      <c r="C424" s="77" t="n">
        <f aca="false">C402</f>
        <v>2</v>
      </c>
      <c r="D424" s="77" t="n">
        <f aca="false">0.03*D390</f>
        <v>7697.37</v>
      </c>
      <c r="E424" s="77" t="n">
        <f aca="false">C424*D424</f>
        <v>15394.74</v>
      </c>
      <c r="I424" s="126"/>
      <c r="J424" s="126"/>
    </row>
    <row r="425" customFormat="false" ht="11.25" hidden="false" customHeight="true" outlineLevel="0" collapsed="false">
      <c r="A425" s="78" t="s">
        <v>121</v>
      </c>
      <c r="B425" s="79" t="s">
        <v>65</v>
      </c>
      <c r="C425" s="77" t="n">
        <f aca="false">C402</f>
        <v>2</v>
      </c>
      <c r="D425" s="106" t="n">
        <f aca="false">'VALORES BASE'!B59</f>
        <v>183.142</v>
      </c>
      <c r="E425" s="81" t="n">
        <f aca="false">C425*D425</f>
        <v>366.284</v>
      </c>
      <c r="I425" s="126"/>
      <c r="J425" s="126"/>
    </row>
    <row r="426" customFormat="false" ht="11.25" hidden="false" customHeight="true" outlineLevel="0" collapsed="false">
      <c r="A426" s="78" t="s">
        <v>122</v>
      </c>
      <c r="B426" s="79" t="s">
        <v>65</v>
      </c>
      <c r="C426" s="77" t="n">
        <f aca="false">C402</f>
        <v>2</v>
      </c>
      <c r="D426" s="106" t="n">
        <f aca="false">'VALORES BASE'!B41</f>
        <v>3500</v>
      </c>
      <c r="E426" s="81" t="n">
        <f aca="false">C426*D426</f>
        <v>7000</v>
      </c>
      <c r="F426" s="84"/>
      <c r="I426" s="126"/>
      <c r="J426" s="126"/>
    </row>
    <row r="427" customFormat="false" ht="11.25" hidden="false" customHeight="true" outlineLevel="0" collapsed="false">
      <c r="A427" s="95" t="s">
        <v>123</v>
      </c>
      <c r="B427" s="132" t="s">
        <v>22</v>
      </c>
      <c r="C427" s="132" t="n">
        <v>12</v>
      </c>
      <c r="D427" s="96" t="n">
        <f aca="false">SUM(E424:E426)</f>
        <v>22761.024</v>
      </c>
      <c r="E427" s="96" t="n">
        <f aca="false">D427/C427</f>
        <v>1896.752</v>
      </c>
      <c r="I427" s="126"/>
      <c r="J427" s="126"/>
    </row>
    <row r="428" customFormat="false" ht="11.25" hidden="false" customHeight="true" outlineLevel="0" collapsed="false">
      <c r="D428" s="88" t="s">
        <v>34</v>
      </c>
      <c r="E428" s="89" t="n">
        <f aca="false">E420</f>
        <v>1</v>
      </c>
      <c r="F428" s="90" t="n">
        <f aca="false">E427*E428</f>
        <v>1896.752</v>
      </c>
      <c r="I428" s="126"/>
      <c r="J428" s="126"/>
    </row>
    <row r="429" customFormat="false" ht="11.25" hidden="false" customHeight="true" outlineLevel="0" collapsed="false">
      <c r="I429" s="126"/>
      <c r="J429" s="126"/>
    </row>
    <row r="430" customFormat="false" ht="11.25" hidden="false" customHeight="true" outlineLevel="0" collapsed="false">
      <c r="A430" s="69" t="s">
        <v>183</v>
      </c>
      <c r="B430" s="140"/>
      <c r="I430" s="126"/>
      <c r="J430" s="126"/>
    </row>
    <row r="431" customFormat="false" ht="11.25" hidden="false" customHeight="true" outlineLevel="0" collapsed="false">
      <c r="B431" s="140"/>
      <c r="I431" s="126"/>
      <c r="J431" s="126"/>
    </row>
    <row r="432" customFormat="false" ht="11.25" hidden="false" customHeight="true" outlineLevel="0" collapsed="false">
      <c r="A432" s="95" t="s">
        <v>125</v>
      </c>
      <c r="B432" s="141" t="n">
        <f aca="false">'COLETAS BECOS'!E10+'COLETAS BECOS'!F10+'Roteiros Coleta_RURAL'!E6</f>
        <v>1331.58166666667</v>
      </c>
      <c r="C432" s="1" t="s">
        <v>184</v>
      </c>
      <c r="I432" s="126"/>
      <c r="J432" s="126"/>
    </row>
    <row r="433" customFormat="false" ht="11.25" hidden="false" customHeight="true" outlineLevel="0" collapsed="false">
      <c r="B433" s="140"/>
      <c r="I433" s="126"/>
      <c r="J433" s="126"/>
    </row>
    <row r="434" customFormat="false" ht="11.25" hidden="false" customHeight="true" outlineLevel="0" collapsed="false">
      <c r="A434" s="70" t="s">
        <v>16</v>
      </c>
      <c r="B434" s="71" t="s">
        <v>17</v>
      </c>
      <c r="C434" s="71" t="s">
        <v>126</v>
      </c>
      <c r="D434" s="72" t="s">
        <v>18</v>
      </c>
      <c r="E434" s="72" t="s">
        <v>19</v>
      </c>
      <c r="F434" s="73" t="s">
        <v>20</v>
      </c>
      <c r="I434" s="126"/>
      <c r="J434" s="126"/>
    </row>
    <row r="435" customFormat="false" ht="11.25" hidden="false" customHeight="true" outlineLevel="0" collapsed="false">
      <c r="A435" s="74" t="s">
        <v>127</v>
      </c>
      <c r="B435" s="75" t="s">
        <v>128</v>
      </c>
      <c r="C435" s="142" t="n">
        <v>8</v>
      </c>
      <c r="D435" s="143" t="n">
        <f aca="false">'VALORES BASE'!B38</f>
        <v>7.03</v>
      </c>
      <c r="E435" s="77"/>
      <c r="I435" s="126"/>
      <c r="J435" s="126"/>
    </row>
    <row r="436" customFormat="false" ht="11.25" hidden="false" customHeight="true" outlineLevel="0" collapsed="false">
      <c r="A436" s="78" t="s">
        <v>129</v>
      </c>
      <c r="B436" s="79" t="s">
        <v>130</v>
      </c>
      <c r="C436" s="101" t="n">
        <f aca="false">B432</f>
        <v>1331.58166666667</v>
      </c>
      <c r="D436" s="144" t="n">
        <f aca="false">IFERROR(+D435/C435,"-")</f>
        <v>0.87875</v>
      </c>
      <c r="E436" s="81" t="n">
        <f aca="false">IFERROR(C436*D436,"-")</f>
        <v>1170.12738958333</v>
      </c>
      <c r="I436" s="126"/>
      <c r="J436" s="126"/>
    </row>
    <row r="437" customFormat="false" ht="11.25" hidden="false" customHeight="true" outlineLevel="0" collapsed="false">
      <c r="A437" s="78" t="s">
        <v>131</v>
      </c>
      <c r="B437" s="79" t="s">
        <v>132</v>
      </c>
      <c r="C437" s="145" t="n">
        <v>3</v>
      </c>
      <c r="D437" s="106" t="n">
        <f aca="false">'VALORES BASE'!B42</f>
        <v>36.3</v>
      </c>
      <c r="E437" s="81"/>
      <c r="I437" s="126"/>
      <c r="J437" s="126"/>
    </row>
    <row r="438" customFormat="false" ht="11.25" hidden="false" customHeight="true" outlineLevel="0" collapsed="false">
      <c r="A438" s="78" t="s">
        <v>133</v>
      </c>
      <c r="B438" s="79" t="s">
        <v>130</v>
      </c>
      <c r="C438" s="101" t="n">
        <f aca="false">C436</f>
        <v>1331.58166666667</v>
      </c>
      <c r="D438" s="146" t="n">
        <f aca="false">+C437*D437/1000</f>
        <v>0.1089</v>
      </c>
      <c r="E438" s="81" t="n">
        <f aca="false">C438*D438</f>
        <v>145.0092435</v>
      </c>
      <c r="I438" s="126"/>
      <c r="J438" s="126"/>
    </row>
    <row r="439" customFormat="false" ht="11.25" hidden="false" customHeight="true" outlineLevel="0" collapsed="false">
      <c r="A439" s="78" t="s">
        <v>134</v>
      </c>
      <c r="B439" s="79" t="s">
        <v>132</v>
      </c>
      <c r="C439" s="145" t="n">
        <v>0.66</v>
      </c>
      <c r="D439" s="106" t="n">
        <f aca="false">'VALORES BASE'!B43</f>
        <v>54.12</v>
      </c>
      <c r="E439" s="81"/>
      <c r="I439" s="126"/>
      <c r="J439" s="126"/>
    </row>
    <row r="440" customFormat="false" ht="11.25" hidden="false" customHeight="true" outlineLevel="0" collapsed="false">
      <c r="A440" s="78" t="s">
        <v>135</v>
      </c>
      <c r="B440" s="79" t="s">
        <v>130</v>
      </c>
      <c r="C440" s="101" t="n">
        <f aca="false">C436</f>
        <v>1331.58166666667</v>
      </c>
      <c r="D440" s="146" t="n">
        <f aca="false">+C439*D439/1000</f>
        <v>0.0357192</v>
      </c>
      <c r="E440" s="81" t="n">
        <f aca="false">C440*D440</f>
        <v>47.563031868</v>
      </c>
      <c r="I440" s="126"/>
      <c r="J440" s="126"/>
    </row>
    <row r="441" customFormat="false" ht="11.25" hidden="false" customHeight="true" outlineLevel="0" collapsed="false">
      <c r="A441" s="78" t="s">
        <v>136</v>
      </c>
      <c r="B441" s="79" t="s">
        <v>132</v>
      </c>
      <c r="C441" s="145" t="n">
        <v>3.48</v>
      </c>
      <c r="D441" s="106" t="n">
        <f aca="false">'VALORES BASE'!B44</f>
        <v>47.4</v>
      </c>
      <c r="E441" s="81"/>
      <c r="I441" s="126"/>
      <c r="J441" s="126"/>
    </row>
    <row r="442" customFormat="false" ht="11.25" hidden="false" customHeight="true" outlineLevel="0" collapsed="false">
      <c r="A442" s="78" t="s">
        <v>137</v>
      </c>
      <c r="B442" s="79" t="s">
        <v>130</v>
      </c>
      <c r="C442" s="101" t="n">
        <f aca="false">C436</f>
        <v>1331.58166666667</v>
      </c>
      <c r="D442" s="146" t="n">
        <f aca="false">+C441*D441/1000</f>
        <v>0.164952</v>
      </c>
      <c r="E442" s="81" t="n">
        <f aca="false">C442*D442</f>
        <v>219.64705908</v>
      </c>
      <c r="I442" s="126"/>
      <c r="J442" s="126"/>
    </row>
    <row r="443" customFormat="false" ht="11.25" hidden="false" customHeight="true" outlineLevel="0" collapsed="false">
      <c r="A443" s="78" t="s">
        <v>138</v>
      </c>
      <c r="B443" s="79" t="s">
        <v>139</v>
      </c>
      <c r="C443" s="145" t="n">
        <v>2</v>
      </c>
      <c r="D443" s="106" t="n">
        <f aca="false">'VALORES BASE'!B45</f>
        <v>36</v>
      </c>
      <c r="E443" s="81"/>
      <c r="I443" s="126"/>
      <c r="J443" s="126"/>
    </row>
    <row r="444" customFormat="false" ht="11.25" hidden="false" customHeight="true" outlineLevel="0" collapsed="false">
      <c r="A444" s="78" t="s">
        <v>140</v>
      </c>
      <c r="B444" s="79" t="s">
        <v>130</v>
      </c>
      <c r="C444" s="101" t="n">
        <f aca="false">C436</f>
        <v>1331.58166666667</v>
      </c>
      <c r="D444" s="146" t="n">
        <f aca="false">+C443*D443/1000</f>
        <v>0.072</v>
      </c>
      <c r="E444" s="81" t="n">
        <f aca="false">C444*D444</f>
        <v>95.87388</v>
      </c>
      <c r="I444" s="126"/>
      <c r="J444" s="126"/>
    </row>
    <row r="445" customFormat="false" ht="11.25" hidden="false" customHeight="true" outlineLevel="0" collapsed="false">
      <c r="A445" s="78" t="s">
        <v>141</v>
      </c>
      <c r="B445" s="79" t="s">
        <v>142</v>
      </c>
      <c r="C445" s="101" t="n">
        <f aca="false">(B432/C435)*(5/100)</f>
        <v>8.32238541666667</v>
      </c>
      <c r="D445" s="157" t="n">
        <f aca="false">'VALORES BASE'!B31</f>
        <v>8</v>
      </c>
      <c r="E445" s="81" t="n">
        <f aca="false">C445*D445</f>
        <v>66.5790833333333</v>
      </c>
      <c r="I445" s="126"/>
      <c r="J445" s="126"/>
    </row>
    <row r="446" customFormat="false" ht="11.25" hidden="false" customHeight="true" outlineLevel="0" collapsed="false">
      <c r="A446" s="95" t="s">
        <v>143</v>
      </c>
      <c r="B446" s="132" t="s">
        <v>144</v>
      </c>
      <c r="C446" s="148"/>
      <c r="D446" s="149" t="n">
        <f aca="false">IFERROR(D436+D438+D440+D442+D444,0)</f>
        <v>1.2603212</v>
      </c>
      <c r="E446" s="81"/>
      <c r="I446" s="126"/>
      <c r="J446" s="126"/>
    </row>
    <row r="447" customFormat="false" ht="11.25" hidden="false" customHeight="true" outlineLevel="0" collapsed="false">
      <c r="F447" s="121" t="n">
        <f aca="false">SUM(E435:E445)</f>
        <v>1744.79968736467</v>
      </c>
      <c r="I447" s="126"/>
      <c r="J447" s="126"/>
    </row>
    <row r="448" customFormat="false" ht="11.25" hidden="false" customHeight="true" outlineLevel="0" collapsed="false">
      <c r="I448" s="126"/>
      <c r="J448" s="126"/>
    </row>
    <row r="449" customFormat="false" ht="11.25" hidden="false" customHeight="true" outlineLevel="0" collapsed="false">
      <c r="A449" s="69" t="s">
        <v>185</v>
      </c>
      <c r="I449" s="126"/>
      <c r="J449" s="126"/>
    </row>
    <row r="450" customFormat="false" ht="11.25" hidden="false" customHeight="true" outlineLevel="0" collapsed="false">
      <c r="A450" s="70" t="s">
        <v>16</v>
      </c>
      <c r="B450" s="71" t="s">
        <v>17</v>
      </c>
      <c r="C450" s="71" t="s">
        <v>9</v>
      </c>
      <c r="D450" s="72" t="s">
        <v>18</v>
      </c>
      <c r="E450" s="72" t="s">
        <v>19</v>
      </c>
      <c r="F450" s="73" t="s">
        <v>20</v>
      </c>
      <c r="I450" s="126"/>
      <c r="J450" s="126"/>
    </row>
    <row r="451" customFormat="false" ht="11.25" hidden="false" customHeight="true" outlineLevel="0" collapsed="false">
      <c r="A451" s="74" t="s">
        <v>146</v>
      </c>
      <c r="B451" s="75" t="s">
        <v>144</v>
      </c>
      <c r="C451" s="101" t="n">
        <f aca="false">C436</f>
        <v>1331.58166666667</v>
      </c>
      <c r="D451" s="76" t="n">
        <f aca="false">'VALORES BASE'!B46</f>
        <v>1.32</v>
      </c>
      <c r="E451" s="77" t="n">
        <f aca="false">C451*D451</f>
        <v>1757.6878</v>
      </c>
      <c r="I451" s="126"/>
      <c r="J451" s="126"/>
    </row>
    <row r="452" customFormat="false" ht="11.25" hidden="false" customHeight="true" outlineLevel="0" collapsed="false">
      <c r="F452" s="121" t="n">
        <f aca="false">E451</f>
        <v>1757.6878</v>
      </c>
      <c r="I452" s="126"/>
      <c r="J452" s="126"/>
    </row>
    <row r="453" customFormat="false" ht="11.25" hidden="false" customHeight="true" outlineLevel="0" collapsed="false">
      <c r="I453" s="126"/>
      <c r="J453" s="126"/>
    </row>
    <row r="454" customFormat="false" ht="11.25" hidden="false" customHeight="true" outlineLevel="0" collapsed="false">
      <c r="A454" s="69" t="s">
        <v>186</v>
      </c>
      <c r="I454" s="126"/>
      <c r="J454" s="126"/>
    </row>
    <row r="455" customFormat="false" ht="11.25" hidden="false" customHeight="true" outlineLevel="0" collapsed="false">
      <c r="A455" s="70" t="s">
        <v>16</v>
      </c>
      <c r="B455" s="71" t="s">
        <v>17</v>
      </c>
      <c r="C455" s="71" t="s">
        <v>9</v>
      </c>
      <c r="D455" s="72" t="s">
        <v>18</v>
      </c>
      <c r="E455" s="72" t="s">
        <v>19</v>
      </c>
      <c r="F455" s="73" t="s">
        <v>20</v>
      </c>
      <c r="I455" s="126"/>
      <c r="J455" s="126"/>
    </row>
    <row r="456" customFormat="false" ht="11.25" hidden="false" customHeight="true" outlineLevel="0" collapsed="false">
      <c r="A456" s="74" t="s">
        <v>187</v>
      </c>
      <c r="B456" s="75" t="s">
        <v>65</v>
      </c>
      <c r="C456" s="150" t="n">
        <v>4</v>
      </c>
      <c r="D456" s="76" t="n">
        <f aca="false">'VALORES BASE'!B54</f>
        <v>2229</v>
      </c>
      <c r="E456" s="77" t="n">
        <f aca="false">C456*D456</f>
        <v>8916</v>
      </c>
      <c r="I456" s="126"/>
      <c r="J456" s="126"/>
    </row>
    <row r="457" customFormat="false" ht="11.25" hidden="false" customHeight="true" outlineLevel="0" collapsed="false">
      <c r="A457" s="74" t="s">
        <v>149</v>
      </c>
      <c r="B457" s="75" t="s">
        <v>65</v>
      </c>
      <c r="C457" s="150" t="n">
        <v>3</v>
      </c>
      <c r="D457" s="77"/>
      <c r="E457" s="77"/>
      <c r="I457" s="126"/>
      <c r="J457" s="126"/>
    </row>
    <row r="458" customFormat="false" ht="11.25" hidden="false" customHeight="true" outlineLevel="0" collapsed="false">
      <c r="A458" s="74" t="s">
        <v>150</v>
      </c>
      <c r="B458" s="75" t="s">
        <v>65</v>
      </c>
      <c r="C458" s="77" t="n">
        <f aca="false">C456*C457</f>
        <v>12</v>
      </c>
      <c r="D458" s="76" t="n">
        <f aca="false">0.35*D456</f>
        <v>780.15</v>
      </c>
      <c r="E458" s="77" t="n">
        <f aca="false">C458*D458</f>
        <v>9361.8</v>
      </c>
      <c r="I458" s="126"/>
      <c r="J458" s="126"/>
    </row>
    <row r="459" customFormat="false" ht="11.25" hidden="false" customHeight="true" outlineLevel="0" collapsed="false">
      <c r="A459" s="151" t="s">
        <v>175</v>
      </c>
      <c r="B459" s="79" t="s">
        <v>152</v>
      </c>
      <c r="C459" s="152" t="n">
        <v>80000</v>
      </c>
      <c r="D459" s="81" t="n">
        <f aca="false">E456+E458</f>
        <v>18277.8</v>
      </c>
      <c r="E459" s="81" t="n">
        <f aca="false">IFERROR(D459/C459,"-")</f>
        <v>0.2284725</v>
      </c>
      <c r="I459" s="126"/>
      <c r="J459" s="126"/>
    </row>
    <row r="460" customFormat="false" ht="11.25" hidden="false" customHeight="true" outlineLevel="0" collapsed="false">
      <c r="A460" s="78" t="s">
        <v>153</v>
      </c>
      <c r="B460" s="79" t="s">
        <v>130</v>
      </c>
      <c r="C460" s="101" t="n">
        <f aca="false">B432</f>
        <v>1331.58166666667</v>
      </c>
      <c r="D460" s="81" t="n">
        <f aca="false">E459</f>
        <v>0.2284725</v>
      </c>
      <c r="E460" s="81" t="n">
        <f aca="false">IFERROR(C460*D460,0)</f>
        <v>304.2297923375</v>
      </c>
      <c r="I460" s="126"/>
      <c r="J460" s="126"/>
    </row>
    <row r="461" customFormat="false" ht="11.25" hidden="false" customHeight="true" outlineLevel="0" collapsed="false">
      <c r="F461" s="121" t="n">
        <f aca="false">E460</f>
        <v>304.2297923375</v>
      </c>
      <c r="I461" s="126"/>
      <c r="J461" s="126"/>
    </row>
    <row r="462" customFormat="false" ht="15.6" hidden="false" customHeight="true" outlineLevel="0" collapsed="false">
      <c r="I462" s="126"/>
      <c r="J462" s="126"/>
    </row>
    <row r="463" customFormat="false" ht="12.8" hidden="false" customHeight="false" outlineLevel="0" collapsed="false">
      <c r="G463" s="1"/>
    </row>
    <row r="464" customFormat="false" ht="12.8" hidden="false" customHeight="true" outlineLevel="0" collapsed="false">
      <c r="A464" s="107" t="s">
        <v>188</v>
      </c>
      <c r="B464" s="108"/>
      <c r="C464" s="108"/>
      <c r="D464" s="38"/>
      <c r="E464" s="109"/>
      <c r="F464" s="121" t="n">
        <f aca="false">+SUM(F242:F462)</f>
        <v>119060.892500876</v>
      </c>
      <c r="G464" s="1"/>
    </row>
    <row r="465" customFormat="false" ht="12.8" hidden="false" customHeight="false" outlineLevel="0" collapsed="false">
      <c r="G465" s="1"/>
    </row>
    <row r="466" customFormat="false" ht="12.8" hidden="false" customHeight="false" outlineLevel="0" collapsed="false">
      <c r="A466" s="158" t="s">
        <v>189</v>
      </c>
      <c r="B466" s="65"/>
      <c r="C466" s="65"/>
      <c r="D466" s="25"/>
      <c r="E466" s="25"/>
      <c r="F466" s="84"/>
      <c r="G466" s="1"/>
    </row>
    <row r="467" customFormat="false" ht="12.8" hidden="false" customHeight="false" outlineLevel="0" collapsed="false">
      <c r="G467" s="1"/>
    </row>
    <row r="468" customFormat="false" ht="12.8" hidden="false" customHeight="false" outlineLevel="0" collapsed="false">
      <c r="A468" s="70" t="s">
        <v>16</v>
      </c>
      <c r="B468" s="71" t="s">
        <v>17</v>
      </c>
      <c r="C468" s="71" t="s">
        <v>9</v>
      </c>
      <c r="D468" s="72" t="s">
        <v>18</v>
      </c>
      <c r="E468" s="72" t="s">
        <v>19</v>
      </c>
      <c r="F468" s="73" t="s">
        <v>20</v>
      </c>
      <c r="G468" s="1"/>
    </row>
    <row r="469" customFormat="false" ht="12.8" hidden="false" customHeight="false" outlineLevel="0" collapsed="false">
      <c r="A469" s="78" t="s">
        <v>190</v>
      </c>
      <c r="B469" s="79" t="s">
        <v>65</v>
      </c>
      <c r="C469" s="111" t="n">
        <v>0.5</v>
      </c>
      <c r="D469" s="76" t="n">
        <f aca="false">'VALORES BASE'!B23</f>
        <v>41.22</v>
      </c>
      <c r="E469" s="81" t="n">
        <f aca="false">C469*D469</f>
        <v>20.61</v>
      </c>
      <c r="F469" s="125"/>
      <c r="G469" s="1"/>
    </row>
    <row r="470" customFormat="false" ht="12.8" hidden="false" customHeight="false" outlineLevel="0" collapsed="false">
      <c r="A470" s="78" t="s">
        <v>191</v>
      </c>
      <c r="B470" s="79" t="s">
        <v>65</v>
      </c>
      <c r="C470" s="111" t="n">
        <v>0.5</v>
      </c>
      <c r="D470" s="76" t="n">
        <f aca="false">'VALORES BASE'!B24</f>
        <v>45.9</v>
      </c>
      <c r="E470" s="81" t="n">
        <f aca="false">C470*D470</f>
        <v>22.95</v>
      </c>
      <c r="F470" s="125"/>
      <c r="G470" s="1"/>
    </row>
    <row r="471" customFormat="false" ht="12.8" hidden="false" customHeight="false" outlineLevel="0" collapsed="false">
      <c r="A471" s="78" t="s">
        <v>192</v>
      </c>
      <c r="B471" s="79" t="s">
        <v>65</v>
      </c>
      <c r="C471" s="111" t="n">
        <f aca="false">1/2</f>
        <v>0.5</v>
      </c>
      <c r="D471" s="76" t="n">
        <f aca="false">'VALORES BASE'!B25</f>
        <v>51.29</v>
      </c>
      <c r="E471" s="81" t="n">
        <f aca="false">C471*D471</f>
        <v>25.645</v>
      </c>
      <c r="F471" s="125"/>
      <c r="G471" s="1"/>
    </row>
    <row r="472" customFormat="false" ht="12.8" hidden="false" customHeight="false" outlineLevel="0" collapsed="false">
      <c r="A472" s="78" t="s">
        <v>193</v>
      </c>
      <c r="B472" s="79" t="s">
        <v>194</v>
      </c>
      <c r="C472" s="111" t="n">
        <v>0.166666666666667</v>
      </c>
      <c r="D472" s="76" t="n">
        <f aca="false">'VALORES BASE'!B26</f>
        <v>20</v>
      </c>
      <c r="E472" s="81" t="n">
        <f aca="false">C472*D472</f>
        <v>3.33333333333334</v>
      </c>
      <c r="F472" s="125"/>
      <c r="G472" s="1"/>
    </row>
    <row r="473" customFormat="false" ht="12.8" hidden="false" customHeight="false" outlineLevel="0" collapsed="false">
      <c r="A473" s="78" t="s">
        <v>195</v>
      </c>
      <c r="B473" s="79" t="s">
        <v>194</v>
      </c>
      <c r="C473" s="111" t="n">
        <v>0.166666666666667</v>
      </c>
      <c r="D473" s="76" t="n">
        <f aca="false">'VALORES BASE'!B27</f>
        <v>260</v>
      </c>
      <c r="E473" s="81" t="n">
        <f aca="false">C473*D473</f>
        <v>43.3333333333334</v>
      </c>
      <c r="F473" s="125"/>
      <c r="G473" s="1"/>
    </row>
    <row r="474" customFormat="false" ht="13.8" hidden="false" customHeight="false" outlineLevel="0" collapsed="false">
      <c r="A474" s="159" t="s">
        <v>196</v>
      </c>
      <c r="B474" s="79" t="s">
        <v>197</v>
      </c>
      <c r="C474" s="152" t="n">
        <v>1</v>
      </c>
      <c r="D474" s="76" t="n">
        <v>1500</v>
      </c>
      <c r="E474" s="81" t="n">
        <f aca="false">(C474*D474)</f>
        <v>1500</v>
      </c>
      <c r="F474" s="125"/>
      <c r="G474" s="1"/>
    </row>
    <row r="475" customFormat="false" ht="12.8" hidden="false" customHeight="false" outlineLevel="0" collapsed="false">
      <c r="A475" s="65"/>
      <c r="B475" s="65"/>
      <c r="C475" s="65"/>
      <c r="D475" s="65"/>
      <c r="E475" s="25"/>
      <c r="F475" s="121" t="n">
        <f aca="false">SUM(E469:E474)</f>
        <v>1615.87166666667</v>
      </c>
      <c r="G475" s="1"/>
    </row>
    <row r="476" customFormat="false" ht="12.8" hidden="false" customHeight="false" outlineLevel="0" collapsed="false">
      <c r="G476" s="1"/>
    </row>
    <row r="477" customFormat="false" ht="12.8" hidden="false" customHeight="false" outlineLevel="0" collapsed="false">
      <c r="A477" s="107" t="s">
        <v>198</v>
      </c>
      <c r="B477" s="108"/>
      <c r="C477" s="108"/>
      <c r="D477" s="38"/>
      <c r="E477" s="109"/>
      <c r="F477" s="121" t="n">
        <f aca="false">+F475</f>
        <v>1615.87166666667</v>
      </c>
      <c r="G477" s="1"/>
    </row>
    <row r="478" customFormat="false" ht="12.8" hidden="false" customHeight="false" outlineLevel="0" collapsed="false">
      <c r="G478" s="1"/>
    </row>
    <row r="479" customFormat="false" ht="12.8" hidden="false" customHeight="false" outlineLevel="0" collapsed="false">
      <c r="A479" s="158" t="s">
        <v>199</v>
      </c>
      <c r="B479" s="65"/>
      <c r="C479" s="65"/>
      <c r="D479" s="25"/>
      <c r="E479" s="25"/>
      <c r="F479" s="84"/>
    </row>
    <row r="481" customFormat="false" ht="12.8" hidden="false" customHeight="true" outlineLevel="0" collapsed="false">
      <c r="A481" s="70" t="s">
        <v>16</v>
      </c>
      <c r="B481" s="71" t="s">
        <v>17</v>
      </c>
      <c r="C481" s="71" t="s">
        <v>9</v>
      </c>
      <c r="D481" s="72" t="s">
        <v>18</v>
      </c>
      <c r="E481" s="72" t="s">
        <v>19</v>
      </c>
      <c r="F481" s="73" t="s">
        <v>20</v>
      </c>
    </row>
    <row r="482" customFormat="false" ht="12.8" hidden="false" customHeight="false" outlineLevel="0" collapsed="false">
      <c r="A482" s="78" t="s">
        <v>200</v>
      </c>
      <c r="B482" s="160" t="s">
        <v>194</v>
      </c>
      <c r="C482" s="116" t="n">
        <f aca="false">C242</f>
        <v>1</v>
      </c>
      <c r="D482" s="106" t="n">
        <f aca="false">'VALORES BASE'!B52</f>
        <v>5000</v>
      </c>
      <c r="E482" s="81" t="n">
        <f aca="false">+D482*C482</f>
        <v>5000</v>
      </c>
      <c r="F482" s="125"/>
    </row>
    <row r="483" customFormat="false" ht="12.8" hidden="false" customHeight="false" outlineLevel="0" collapsed="false">
      <c r="A483" s="78" t="s">
        <v>201</v>
      </c>
      <c r="B483" s="160" t="s">
        <v>22</v>
      </c>
      <c r="C483" s="79" t="n">
        <v>60</v>
      </c>
      <c r="D483" s="161" t="n">
        <f aca="false">SUM(E482)</f>
        <v>5000</v>
      </c>
      <c r="E483" s="161" t="n">
        <f aca="false">+D483/C483</f>
        <v>83.3333333333333</v>
      </c>
      <c r="F483" s="125"/>
    </row>
    <row r="484" customFormat="false" ht="12.8" hidden="false" customHeight="false" outlineLevel="0" collapsed="false">
      <c r="A484" s="78" t="s">
        <v>202</v>
      </c>
      <c r="B484" s="79" t="s">
        <v>65</v>
      </c>
      <c r="C484" s="162" t="n">
        <f aca="false">SUM(E37:E39)</f>
        <v>8</v>
      </c>
      <c r="D484" s="106" t="n">
        <f aca="false">'VALORES BASE'!B53</f>
        <v>150</v>
      </c>
      <c r="E484" s="81" t="n">
        <f aca="false">C484*D484</f>
        <v>1200</v>
      </c>
      <c r="F484" s="125"/>
    </row>
    <row r="485" customFormat="false" ht="12.8" hidden="false" customHeight="false" outlineLevel="0" collapsed="false">
      <c r="A485" s="78" t="s">
        <v>203</v>
      </c>
      <c r="B485" s="160" t="s">
        <v>22</v>
      </c>
      <c r="C485" s="79" t="n">
        <v>1</v>
      </c>
      <c r="D485" s="161" t="n">
        <f aca="false">+E484</f>
        <v>1200</v>
      </c>
      <c r="E485" s="161" t="n">
        <f aca="false">+D485/C485</f>
        <v>1200</v>
      </c>
      <c r="F485" s="125"/>
    </row>
    <row r="486" customFormat="false" ht="12.8" hidden="false" customHeight="false" outlineLevel="0" collapsed="false">
      <c r="A486" s="163"/>
      <c r="B486" s="163"/>
      <c r="C486" s="163"/>
      <c r="D486" s="88" t="s">
        <v>34</v>
      </c>
      <c r="E486" s="89" t="n">
        <f aca="false">'FATOR FU_OFICIAL'!F9</f>
        <v>1</v>
      </c>
      <c r="F486" s="121" t="n">
        <f aca="false">(E483+E485)*E486</f>
        <v>1283.33333333333</v>
      </c>
    </row>
    <row r="487" customFormat="false" ht="12.8" hidden="false" customHeight="false" outlineLevel="0" collapsed="false">
      <c r="G487" s="164"/>
      <c r="H487" s="165"/>
      <c r="I487" s="165"/>
      <c r="J487" s="165"/>
      <c r="K487" s="165"/>
      <c r="L487" s="165"/>
      <c r="M487" s="165"/>
      <c r="N487" s="165"/>
      <c r="O487" s="165"/>
      <c r="P487" s="165"/>
      <c r="Q487" s="165"/>
      <c r="R487" s="165"/>
      <c r="S487" s="165"/>
      <c r="T487" s="165"/>
      <c r="U487" s="165"/>
      <c r="V487" s="165"/>
      <c r="W487" s="165"/>
      <c r="X487" s="165"/>
      <c r="Y487" s="165"/>
      <c r="Z487" s="165"/>
      <c r="AA487" s="165"/>
      <c r="AB487" s="165"/>
      <c r="AC487" s="165"/>
      <c r="AD487" s="165"/>
      <c r="AE487" s="165"/>
      <c r="AF487" s="165"/>
      <c r="AG487" s="165"/>
      <c r="AH487" s="165"/>
      <c r="AI487" s="165"/>
      <c r="AJ487" s="165"/>
      <c r="AK487" s="165"/>
      <c r="AL487" s="165"/>
      <c r="AM487" s="165"/>
      <c r="AN487" s="165"/>
      <c r="AO487" s="165"/>
      <c r="AP487" s="165"/>
      <c r="AQ487" s="165"/>
      <c r="AR487" s="165"/>
      <c r="AS487" s="165"/>
      <c r="AT487" s="165"/>
      <c r="AU487" s="165"/>
      <c r="AV487" s="165"/>
      <c r="AW487" s="165"/>
      <c r="AX487" s="165"/>
      <c r="AY487" s="165"/>
      <c r="AZ487" s="165"/>
      <c r="BA487" s="165"/>
      <c r="BB487" s="165"/>
      <c r="BC487" s="165"/>
      <c r="BD487" s="165"/>
      <c r="BE487" s="165"/>
      <c r="BF487" s="165"/>
      <c r="BG487" s="165"/>
      <c r="BH487" s="165"/>
      <c r="BI487" s="165"/>
      <c r="BJ487" s="165"/>
      <c r="BK487" s="165"/>
      <c r="BL487" s="165"/>
      <c r="BM487" s="165"/>
      <c r="BN487" s="165"/>
      <c r="BO487" s="165"/>
      <c r="BP487" s="165"/>
      <c r="BQ487" s="165"/>
      <c r="BR487" s="165"/>
      <c r="BS487" s="165"/>
      <c r="BT487" s="165"/>
      <c r="BU487" s="165"/>
      <c r="BV487" s="165"/>
      <c r="BW487" s="165"/>
      <c r="BX487" s="165"/>
      <c r="BY487" s="165"/>
      <c r="BZ487" s="165"/>
      <c r="CA487" s="165"/>
      <c r="CB487" s="165"/>
      <c r="CC487" s="165"/>
      <c r="CD487" s="165"/>
      <c r="CE487" s="165"/>
      <c r="CF487" s="165"/>
      <c r="CG487" s="165"/>
      <c r="CH487" s="165"/>
      <c r="CI487" s="165"/>
      <c r="CJ487" s="165"/>
      <c r="CK487" s="165"/>
      <c r="CL487" s="165"/>
      <c r="CM487" s="165"/>
      <c r="CN487" s="165"/>
      <c r="CO487" s="165"/>
      <c r="CP487" s="165"/>
      <c r="CQ487" s="165"/>
      <c r="CR487" s="165"/>
      <c r="CS487" s="165"/>
      <c r="CT487" s="165"/>
      <c r="CU487" s="165"/>
      <c r="CV487" s="165"/>
      <c r="CW487" s="165"/>
      <c r="CX487" s="165"/>
      <c r="CY487" s="165"/>
      <c r="CZ487" s="165"/>
      <c r="DA487" s="165"/>
      <c r="DB487" s="165"/>
      <c r="DC487" s="165"/>
      <c r="DD487" s="165"/>
      <c r="DE487" s="165"/>
      <c r="DF487" s="165"/>
      <c r="DG487" s="165"/>
      <c r="DH487" s="165"/>
      <c r="DI487" s="165"/>
      <c r="DJ487" s="165"/>
      <c r="DK487" s="165"/>
      <c r="DL487" s="165"/>
      <c r="DM487" s="165"/>
      <c r="DN487" s="165"/>
      <c r="DO487" s="165"/>
      <c r="DP487" s="165"/>
      <c r="DQ487" s="165"/>
      <c r="DR487" s="165"/>
      <c r="DS487" s="165"/>
      <c r="DT487" s="165"/>
      <c r="DU487" s="165"/>
      <c r="DV487" s="165"/>
      <c r="DW487" s="165"/>
      <c r="DX487" s="165"/>
      <c r="DY487" s="165"/>
      <c r="DZ487" s="165"/>
      <c r="EA487" s="165"/>
      <c r="EB487" s="165"/>
      <c r="EC487" s="165"/>
      <c r="ED487" s="165"/>
      <c r="EE487" s="165"/>
      <c r="EF487" s="165"/>
      <c r="EG487" s="165"/>
      <c r="EH487" s="165"/>
      <c r="EI487" s="165"/>
      <c r="EJ487" s="165"/>
      <c r="EK487" s="165"/>
      <c r="EL487" s="165"/>
      <c r="EM487" s="165"/>
      <c r="EN487" s="165"/>
      <c r="EO487" s="165"/>
      <c r="EP487" s="165"/>
      <c r="EQ487" s="165"/>
      <c r="ER487" s="165"/>
      <c r="ES487" s="165"/>
      <c r="ET487" s="165"/>
      <c r="EU487" s="165"/>
      <c r="EV487" s="165"/>
      <c r="EW487" s="165"/>
      <c r="EX487" s="165"/>
      <c r="EY487" s="165"/>
      <c r="EZ487" s="165"/>
      <c r="FA487" s="165"/>
      <c r="FB487" s="165"/>
      <c r="FC487" s="165"/>
      <c r="FD487" s="165"/>
      <c r="FE487" s="165"/>
      <c r="FF487" s="165"/>
      <c r="FG487" s="165"/>
      <c r="FH487" s="165"/>
      <c r="FI487" s="165"/>
      <c r="FJ487" s="165"/>
      <c r="FK487" s="165"/>
      <c r="FL487" s="165"/>
      <c r="FM487" s="165"/>
      <c r="FN487" s="165"/>
      <c r="FO487" s="165"/>
      <c r="FP487" s="165"/>
      <c r="FQ487" s="165"/>
      <c r="FR487" s="165"/>
      <c r="FS487" s="165"/>
      <c r="FT487" s="165"/>
      <c r="FU487" s="165"/>
      <c r="FV487" s="165"/>
      <c r="FW487" s="165"/>
      <c r="FX487" s="165"/>
      <c r="FY487" s="165"/>
      <c r="FZ487" s="165"/>
      <c r="GA487" s="165"/>
      <c r="GB487" s="165"/>
      <c r="GC487" s="165"/>
      <c r="GD487" s="165"/>
      <c r="GE487" s="165"/>
      <c r="GF487" s="165"/>
      <c r="GG487" s="165"/>
      <c r="GH487" s="165"/>
      <c r="GI487" s="165"/>
      <c r="GJ487" s="165"/>
      <c r="GK487" s="165"/>
      <c r="GL487" s="165"/>
      <c r="GM487" s="165"/>
      <c r="GN487" s="165"/>
      <c r="GO487" s="165"/>
      <c r="GP487" s="165"/>
      <c r="GQ487" s="165"/>
      <c r="GR487" s="165"/>
      <c r="GS487" s="165"/>
      <c r="GT487" s="165"/>
      <c r="GU487" s="165"/>
      <c r="GV487" s="165"/>
      <c r="GW487" s="165"/>
      <c r="GX487" s="165"/>
      <c r="GY487" s="165"/>
      <c r="GZ487" s="165"/>
      <c r="HA487" s="165"/>
      <c r="HB487" s="165"/>
      <c r="HC487" s="165"/>
      <c r="HD487" s="165"/>
      <c r="HE487" s="165"/>
      <c r="HF487" s="165"/>
      <c r="HG487" s="165"/>
      <c r="HH487" s="165"/>
      <c r="HI487" s="165"/>
      <c r="HJ487" s="165"/>
      <c r="HK487" s="165"/>
      <c r="HL487" s="165"/>
      <c r="HM487" s="165"/>
      <c r="HN487" s="165"/>
      <c r="HO487" s="165"/>
      <c r="HP487" s="165"/>
      <c r="HQ487" s="165"/>
      <c r="HR487" s="165"/>
      <c r="HS487" s="165"/>
      <c r="HT487" s="165"/>
      <c r="HU487" s="165"/>
      <c r="HV487" s="165"/>
      <c r="HW487" s="165"/>
      <c r="HX487" s="165"/>
      <c r="HY487" s="165"/>
      <c r="HZ487" s="165"/>
      <c r="IA487" s="165"/>
      <c r="IB487" s="165"/>
      <c r="IC487" s="165"/>
      <c r="ID487" s="165"/>
      <c r="IE487" s="165"/>
      <c r="IF487" s="165"/>
      <c r="IG487" s="165"/>
      <c r="IH487" s="165"/>
      <c r="II487" s="165"/>
      <c r="IJ487" s="165"/>
      <c r="IK487" s="165"/>
      <c r="IL487" s="165"/>
      <c r="IM487" s="165"/>
      <c r="IN487" s="165"/>
      <c r="IO487" s="165"/>
      <c r="IP487" s="165"/>
      <c r="IQ487" s="165"/>
      <c r="IR487" s="165"/>
      <c r="IS487" s="165"/>
      <c r="IT487" s="165"/>
      <c r="IU487" s="165"/>
      <c r="IV487" s="165"/>
      <c r="IW487" s="165"/>
      <c r="IX487" s="165"/>
      <c r="IY487" s="165"/>
      <c r="IZ487" s="165"/>
      <c r="JA487" s="165"/>
      <c r="JB487" s="165"/>
      <c r="JC487" s="165"/>
      <c r="JD487" s="165"/>
      <c r="JE487" s="165"/>
      <c r="JF487" s="165"/>
      <c r="JG487" s="165"/>
      <c r="JH487" s="165"/>
      <c r="JI487" s="165"/>
      <c r="JJ487" s="165"/>
      <c r="JK487" s="165"/>
      <c r="JL487" s="165"/>
      <c r="JM487" s="165"/>
      <c r="JN487" s="165"/>
      <c r="JO487" s="165"/>
      <c r="JP487" s="165"/>
      <c r="JQ487" s="165"/>
      <c r="JR487" s="165"/>
      <c r="JS487" s="165"/>
      <c r="JT487" s="165"/>
      <c r="JU487" s="165"/>
      <c r="JV487" s="165"/>
      <c r="JW487" s="165"/>
      <c r="JX487" s="165"/>
      <c r="JY487" s="165"/>
      <c r="JZ487" s="165"/>
      <c r="KA487" s="165"/>
      <c r="KB487" s="165"/>
      <c r="KC487" s="165"/>
      <c r="KD487" s="165"/>
      <c r="KE487" s="165"/>
      <c r="KF487" s="165"/>
      <c r="KG487" s="165"/>
      <c r="KH487" s="165"/>
      <c r="KI487" s="165"/>
      <c r="KJ487" s="165"/>
      <c r="KK487" s="165"/>
      <c r="KL487" s="165"/>
      <c r="KM487" s="165"/>
      <c r="KN487" s="165"/>
      <c r="KO487" s="165"/>
      <c r="KP487" s="165"/>
      <c r="KQ487" s="165"/>
      <c r="KR487" s="165"/>
      <c r="KS487" s="165"/>
      <c r="KT487" s="165"/>
      <c r="KU487" s="165"/>
      <c r="KV487" s="165"/>
      <c r="KW487" s="165"/>
      <c r="KX487" s="165"/>
      <c r="KY487" s="165"/>
      <c r="KZ487" s="165"/>
      <c r="LA487" s="165"/>
      <c r="LB487" s="165"/>
      <c r="LC487" s="165"/>
      <c r="LD487" s="165"/>
      <c r="LE487" s="165"/>
      <c r="LF487" s="165"/>
      <c r="LG487" s="165"/>
      <c r="LH487" s="165"/>
      <c r="LI487" s="165"/>
      <c r="LJ487" s="165"/>
      <c r="LK487" s="165"/>
      <c r="LL487" s="165"/>
      <c r="LM487" s="165"/>
      <c r="LN487" s="165"/>
      <c r="LO487" s="165"/>
      <c r="LP487" s="165"/>
      <c r="LQ487" s="165"/>
      <c r="LR487" s="165"/>
      <c r="LS487" s="165"/>
      <c r="LT487" s="165"/>
      <c r="LU487" s="165"/>
      <c r="LV487" s="165"/>
      <c r="LW487" s="165"/>
      <c r="LX487" s="165"/>
      <c r="LY487" s="165"/>
      <c r="LZ487" s="165"/>
      <c r="MA487" s="165"/>
      <c r="MB487" s="165"/>
      <c r="MC487" s="165"/>
      <c r="MD487" s="165"/>
      <c r="ME487" s="165"/>
      <c r="MF487" s="165"/>
      <c r="MG487" s="165"/>
      <c r="MH487" s="165"/>
      <c r="MI487" s="165"/>
      <c r="MJ487" s="165"/>
      <c r="MK487" s="165"/>
      <c r="ML487" s="165"/>
      <c r="MM487" s="165"/>
      <c r="MN487" s="165"/>
      <c r="MO487" s="165"/>
      <c r="MP487" s="165"/>
      <c r="MQ487" s="165"/>
      <c r="MR487" s="165"/>
      <c r="MS487" s="165"/>
      <c r="MT487" s="165"/>
      <c r="MU487" s="165"/>
      <c r="MV487" s="165"/>
      <c r="MW487" s="165"/>
      <c r="MX487" s="165"/>
      <c r="MY487" s="165"/>
      <c r="MZ487" s="165"/>
      <c r="NA487" s="165"/>
      <c r="NB487" s="165"/>
      <c r="NC487" s="165"/>
      <c r="ND487" s="165"/>
      <c r="NE487" s="165"/>
      <c r="NF487" s="165"/>
      <c r="NG487" s="165"/>
      <c r="NH487" s="165"/>
      <c r="NI487" s="165"/>
      <c r="NJ487" s="165"/>
      <c r="NK487" s="165"/>
      <c r="NL487" s="165"/>
      <c r="NM487" s="165"/>
      <c r="NN487" s="165"/>
      <c r="NO487" s="165"/>
      <c r="NP487" s="165"/>
      <c r="NQ487" s="165"/>
      <c r="NR487" s="165"/>
      <c r="NS487" s="165"/>
      <c r="NT487" s="165"/>
      <c r="NU487" s="165"/>
      <c r="NV487" s="165"/>
      <c r="NW487" s="165"/>
      <c r="NX487" s="165"/>
      <c r="NY487" s="165"/>
      <c r="NZ487" s="165"/>
      <c r="OA487" s="165"/>
      <c r="OB487" s="165"/>
      <c r="OC487" s="165"/>
      <c r="OD487" s="165"/>
      <c r="OE487" s="165"/>
      <c r="OF487" s="165"/>
      <c r="OG487" s="165"/>
      <c r="OH487" s="165"/>
      <c r="OI487" s="165"/>
      <c r="OJ487" s="165"/>
      <c r="OK487" s="165"/>
      <c r="OL487" s="165"/>
      <c r="OM487" s="165"/>
      <c r="ON487" s="165"/>
      <c r="OO487" s="165"/>
      <c r="OP487" s="165"/>
      <c r="OQ487" s="165"/>
      <c r="OR487" s="165"/>
      <c r="OS487" s="165"/>
      <c r="OT487" s="165"/>
      <c r="OU487" s="165"/>
      <c r="OV487" s="165"/>
      <c r="OW487" s="165"/>
      <c r="OX487" s="165"/>
      <c r="OY487" s="165"/>
      <c r="OZ487" s="165"/>
      <c r="PA487" s="165"/>
      <c r="PB487" s="165"/>
      <c r="PC487" s="165"/>
      <c r="PD487" s="165"/>
      <c r="PE487" s="165"/>
      <c r="PF487" s="165"/>
      <c r="PG487" s="165"/>
      <c r="PH487" s="165"/>
      <c r="PI487" s="165"/>
      <c r="PJ487" s="165"/>
      <c r="PK487" s="165"/>
      <c r="PL487" s="165"/>
      <c r="PM487" s="165"/>
      <c r="PN487" s="165"/>
      <c r="PO487" s="165"/>
      <c r="PP487" s="165"/>
      <c r="PQ487" s="165"/>
      <c r="PR487" s="165"/>
      <c r="PS487" s="165"/>
      <c r="PT487" s="165"/>
      <c r="PU487" s="165"/>
      <c r="PV487" s="165"/>
      <c r="PW487" s="165"/>
      <c r="PX487" s="165"/>
      <c r="PY487" s="165"/>
      <c r="PZ487" s="165"/>
      <c r="QA487" s="165"/>
      <c r="QB487" s="165"/>
      <c r="QC487" s="165"/>
      <c r="QD487" s="165"/>
      <c r="QE487" s="165"/>
      <c r="QF487" s="165"/>
      <c r="QG487" s="165"/>
      <c r="QH487" s="165"/>
      <c r="QI487" s="165"/>
      <c r="QJ487" s="165"/>
      <c r="QK487" s="165"/>
      <c r="QL487" s="165"/>
      <c r="QM487" s="165"/>
      <c r="QN487" s="165"/>
      <c r="QO487" s="165"/>
      <c r="QP487" s="165"/>
      <c r="QQ487" s="165"/>
      <c r="QR487" s="165"/>
      <c r="QS487" s="165"/>
      <c r="QT487" s="165"/>
      <c r="QU487" s="165"/>
      <c r="QV487" s="165"/>
      <c r="QW487" s="165"/>
      <c r="QX487" s="165"/>
      <c r="QY487" s="165"/>
      <c r="QZ487" s="165"/>
      <c r="RA487" s="165"/>
      <c r="RB487" s="165"/>
      <c r="RC487" s="165"/>
      <c r="RD487" s="165"/>
      <c r="RE487" s="165"/>
      <c r="RF487" s="165"/>
      <c r="RG487" s="165"/>
      <c r="RH487" s="165"/>
      <c r="RI487" s="165"/>
      <c r="RJ487" s="165"/>
      <c r="RK487" s="165"/>
      <c r="RL487" s="165"/>
      <c r="RM487" s="165"/>
      <c r="RN487" s="165"/>
      <c r="RO487" s="165"/>
      <c r="RP487" s="165"/>
      <c r="RQ487" s="165"/>
      <c r="RR487" s="165"/>
      <c r="RS487" s="165"/>
      <c r="RT487" s="165"/>
      <c r="RU487" s="165"/>
      <c r="RV487" s="165"/>
      <c r="RW487" s="165"/>
      <c r="RX487" s="165"/>
      <c r="RY487" s="165"/>
      <c r="RZ487" s="165"/>
      <c r="SA487" s="165"/>
      <c r="SB487" s="165"/>
      <c r="SC487" s="165"/>
      <c r="SD487" s="165"/>
      <c r="SE487" s="165"/>
      <c r="SF487" s="165"/>
      <c r="SG487" s="165"/>
      <c r="SH487" s="165"/>
      <c r="SI487" s="165"/>
      <c r="SJ487" s="165"/>
      <c r="SK487" s="165"/>
      <c r="SL487" s="165"/>
      <c r="SM487" s="165"/>
      <c r="SN487" s="165"/>
      <c r="SO487" s="165"/>
      <c r="SP487" s="165"/>
      <c r="SQ487" s="165"/>
      <c r="SR487" s="165"/>
      <c r="SS487" s="165"/>
      <c r="ST487" s="165"/>
      <c r="SU487" s="165"/>
      <c r="SV487" s="165"/>
      <c r="SW487" s="165"/>
      <c r="SX487" s="165"/>
      <c r="SY487" s="165"/>
      <c r="SZ487" s="165"/>
      <c r="TA487" s="165"/>
      <c r="TB487" s="165"/>
      <c r="TC487" s="165"/>
      <c r="TD487" s="165"/>
      <c r="TE487" s="165"/>
      <c r="TF487" s="165"/>
      <c r="TG487" s="165"/>
      <c r="TH487" s="165"/>
      <c r="TI487" s="165"/>
      <c r="TJ487" s="165"/>
      <c r="TK487" s="165"/>
      <c r="TL487" s="165"/>
      <c r="TM487" s="165"/>
      <c r="TN487" s="165"/>
      <c r="TO487" s="165"/>
      <c r="TP487" s="165"/>
      <c r="TQ487" s="165"/>
      <c r="TR487" s="165"/>
      <c r="TS487" s="165"/>
      <c r="TT487" s="165"/>
      <c r="TU487" s="165"/>
      <c r="TV487" s="165"/>
      <c r="TW487" s="165"/>
      <c r="TX487" s="165"/>
      <c r="TY487" s="165"/>
      <c r="TZ487" s="165"/>
      <c r="UA487" s="165"/>
      <c r="UB487" s="165"/>
      <c r="UC487" s="165"/>
      <c r="UD487" s="165"/>
      <c r="UE487" s="165"/>
      <c r="UF487" s="165"/>
      <c r="UG487" s="165"/>
      <c r="UH487" s="165"/>
      <c r="UI487" s="165"/>
      <c r="UJ487" s="165"/>
      <c r="UK487" s="165"/>
      <c r="UL487" s="165"/>
      <c r="UM487" s="165"/>
      <c r="UN487" s="165"/>
      <c r="UO487" s="165"/>
      <c r="UP487" s="165"/>
      <c r="UQ487" s="165"/>
      <c r="UR487" s="165"/>
      <c r="US487" s="165"/>
      <c r="UT487" s="165"/>
      <c r="UU487" s="165"/>
      <c r="UV487" s="165"/>
      <c r="UW487" s="165"/>
      <c r="UX487" s="165"/>
      <c r="UY487" s="165"/>
      <c r="UZ487" s="165"/>
      <c r="VA487" s="165"/>
      <c r="VB487" s="165"/>
      <c r="VC487" s="165"/>
      <c r="VD487" s="165"/>
      <c r="VE487" s="165"/>
      <c r="VF487" s="165"/>
      <c r="VG487" s="165"/>
      <c r="VH487" s="165"/>
      <c r="VI487" s="165"/>
      <c r="VJ487" s="165"/>
      <c r="VK487" s="165"/>
      <c r="VL487" s="165"/>
      <c r="VM487" s="165"/>
      <c r="VN487" s="165"/>
      <c r="VO487" s="165"/>
      <c r="VP487" s="165"/>
      <c r="VQ487" s="165"/>
      <c r="VR487" s="165"/>
      <c r="VS487" s="165"/>
      <c r="VT487" s="165"/>
      <c r="VU487" s="165"/>
      <c r="VV487" s="165"/>
      <c r="VW487" s="165"/>
      <c r="VX487" s="165"/>
      <c r="VY487" s="165"/>
      <c r="VZ487" s="165"/>
      <c r="WA487" s="165"/>
      <c r="WB487" s="165"/>
      <c r="WC487" s="165"/>
      <c r="WD487" s="165"/>
      <c r="WE487" s="165"/>
      <c r="WF487" s="165"/>
      <c r="WG487" s="165"/>
      <c r="WH487" s="165"/>
      <c r="WI487" s="165"/>
      <c r="WJ487" s="165"/>
      <c r="WK487" s="165"/>
      <c r="WL487" s="165"/>
      <c r="WM487" s="165"/>
      <c r="WN487" s="165"/>
      <c r="WO487" s="165"/>
      <c r="WP487" s="165"/>
      <c r="WQ487" s="165"/>
      <c r="WR487" s="165"/>
      <c r="WS487" s="165"/>
      <c r="WT487" s="165"/>
      <c r="WU487" s="165"/>
      <c r="WV487" s="165"/>
      <c r="WW487" s="165"/>
      <c r="WX487" s="165"/>
      <c r="WY487" s="165"/>
      <c r="WZ487" s="165"/>
      <c r="XA487" s="165"/>
      <c r="XB487" s="165"/>
      <c r="XC487" s="165"/>
      <c r="XD487" s="165"/>
      <c r="XE487" s="165"/>
      <c r="XF487" s="165"/>
      <c r="XG487" s="165"/>
      <c r="XH487" s="165"/>
      <c r="XI487" s="165"/>
      <c r="XJ487" s="165"/>
      <c r="XK487" s="165"/>
      <c r="XL487" s="165"/>
      <c r="XM487" s="165"/>
      <c r="XN487" s="165"/>
      <c r="XO487" s="165"/>
      <c r="XP487" s="165"/>
      <c r="XQ487" s="165"/>
      <c r="XR487" s="165"/>
      <c r="XS487" s="165"/>
      <c r="XT487" s="165"/>
      <c r="XU487" s="165"/>
      <c r="XV487" s="165"/>
      <c r="XW487" s="165"/>
      <c r="XX487" s="165"/>
      <c r="XY487" s="165"/>
      <c r="XZ487" s="165"/>
      <c r="YA487" s="165"/>
      <c r="YB487" s="165"/>
      <c r="YC487" s="165"/>
      <c r="YD487" s="165"/>
      <c r="YE487" s="165"/>
      <c r="YF487" s="165"/>
      <c r="YG487" s="165"/>
      <c r="YH487" s="165"/>
      <c r="YI487" s="165"/>
      <c r="YJ487" s="165"/>
      <c r="YK487" s="165"/>
      <c r="YL487" s="165"/>
      <c r="YM487" s="165"/>
      <c r="YN487" s="165"/>
      <c r="YO487" s="165"/>
      <c r="YP487" s="165"/>
      <c r="YQ487" s="165"/>
      <c r="YR487" s="165"/>
      <c r="YS487" s="165"/>
      <c r="YT487" s="165"/>
      <c r="YU487" s="165"/>
      <c r="YV487" s="165"/>
      <c r="YW487" s="165"/>
      <c r="YX487" s="165"/>
      <c r="YY487" s="165"/>
      <c r="YZ487" s="165"/>
      <c r="ZA487" s="165"/>
      <c r="ZB487" s="165"/>
      <c r="ZC487" s="165"/>
      <c r="ZD487" s="165"/>
      <c r="ZE487" s="165"/>
      <c r="ZF487" s="165"/>
      <c r="ZG487" s="165"/>
      <c r="ZH487" s="165"/>
      <c r="ZI487" s="165"/>
      <c r="ZJ487" s="165"/>
      <c r="ZK487" s="165"/>
      <c r="ZL487" s="165"/>
      <c r="ZM487" s="165"/>
      <c r="ZN487" s="165"/>
      <c r="ZO487" s="165"/>
      <c r="ZP487" s="165"/>
      <c r="ZQ487" s="165"/>
      <c r="ZR487" s="165"/>
      <c r="ZS487" s="165"/>
      <c r="ZT487" s="165"/>
      <c r="ZU487" s="165"/>
      <c r="ZV487" s="165"/>
      <c r="ZW487" s="165"/>
      <c r="ZX487" s="165"/>
      <c r="ZY487" s="165"/>
      <c r="ZZ487" s="165"/>
      <c r="AAA487" s="165"/>
      <c r="AAB487" s="165"/>
      <c r="AAC487" s="165"/>
      <c r="AAD487" s="165"/>
      <c r="AAE487" s="165"/>
      <c r="AAF487" s="165"/>
      <c r="AAG487" s="165"/>
      <c r="AAH487" s="165"/>
      <c r="AAI487" s="165"/>
      <c r="AAJ487" s="165"/>
      <c r="AAK487" s="165"/>
      <c r="AAL487" s="165"/>
      <c r="AAM487" s="165"/>
      <c r="AAN487" s="165"/>
      <c r="AAO487" s="165"/>
      <c r="AAP487" s="165"/>
      <c r="AAQ487" s="165"/>
      <c r="AAR487" s="165"/>
      <c r="AAS487" s="165"/>
      <c r="AAT487" s="165"/>
      <c r="AAU487" s="165"/>
      <c r="AAV487" s="165"/>
      <c r="AAW487" s="165"/>
      <c r="AAX487" s="165"/>
      <c r="AAY487" s="165"/>
      <c r="AAZ487" s="165"/>
      <c r="ABA487" s="165"/>
      <c r="ABB487" s="165"/>
      <c r="ABC487" s="165"/>
      <c r="ABD487" s="165"/>
      <c r="ABE487" s="165"/>
      <c r="ABF487" s="165"/>
      <c r="ABG487" s="165"/>
      <c r="ABH487" s="165"/>
      <c r="ABI487" s="165"/>
      <c r="ABJ487" s="165"/>
      <c r="ABK487" s="165"/>
      <c r="ABL487" s="165"/>
      <c r="ABM487" s="165"/>
      <c r="ABN487" s="165"/>
      <c r="ABO487" s="165"/>
      <c r="ABP487" s="165"/>
      <c r="ABQ487" s="165"/>
      <c r="ABR487" s="165"/>
      <c r="ABS487" s="165"/>
      <c r="ABT487" s="165"/>
      <c r="ABU487" s="165"/>
      <c r="ABV487" s="165"/>
      <c r="ABW487" s="165"/>
      <c r="ABX487" s="165"/>
      <c r="ABY487" s="165"/>
      <c r="ABZ487" s="165"/>
      <c r="ACA487" s="165"/>
      <c r="ACB487" s="165"/>
      <c r="ACC487" s="165"/>
      <c r="ACD487" s="165"/>
      <c r="ACE487" s="165"/>
      <c r="ACF487" s="165"/>
      <c r="ACG487" s="165"/>
      <c r="ACH487" s="165"/>
      <c r="ACI487" s="165"/>
      <c r="ACJ487" s="165"/>
      <c r="ACK487" s="165"/>
      <c r="ACL487" s="165"/>
      <c r="ACM487" s="165"/>
      <c r="ACN487" s="165"/>
      <c r="ACO487" s="165"/>
      <c r="ACP487" s="165"/>
      <c r="ACQ487" s="165"/>
      <c r="ACR487" s="165"/>
      <c r="ACS487" s="165"/>
      <c r="ACT487" s="165"/>
      <c r="ACU487" s="165"/>
      <c r="ACV487" s="165"/>
      <c r="ACW487" s="165"/>
      <c r="ACX487" s="165"/>
      <c r="ACY487" s="165"/>
      <c r="ACZ487" s="165"/>
      <c r="ADA487" s="165"/>
      <c r="ADB487" s="165"/>
      <c r="ADC487" s="165"/>
      <c r="ADD487" s="165"/>
      <c r="ADE487" s="165"/>
      <c r="ADF487" s="165"/>
      <c r="ADG487" s="165"/>
      <c r="ADH487" s="165"/>
      <c r="ADI487" s="165"/>
      <c r="ADJ487" s="165"/>
      <c r="ADK487" s="165"/>
      <c r="ADL487" s="165"/>
      <c r="ADM487" s="165"/>
      <c r="ADN487" s="165"/>
      <c r="ADO487" s="165"/>
      <c r="ADP487" s="165"/>
      <c r="ADQ487" s="165"/>
      <c r="ADR487" s="165"/>
      <c r="ADS487" s="165"/>
      <c r="ADT487" s="165"/>
      <c r="ADU487" s="165"/>
      <c r="ADV487" s="165"/>
      <c r="ADW487" s="165"/>
      <c r="ADX487" s="165"/>
      <c r="ADY487" s="165"/>
      <c r="ADZ487" s="165"/>
      <c r="AEA487" s="165"/>
      <c r="AEB487" s="165"/>
      <c r="AEC487" s="165"/>
      <c r="AED487" s="165"/>
      <c r="AEE487" s="165"/>
      <c r="AEF487" s="165"/>
      <c r="AEG487" s="165"/>
      <c r="AEH487" s="165"/>
      <c r="AEI487" s="165"/>
      <c r="AEJ487" s="165"/>
      <c r="AEK487" s="165"/>
      <c r="AEL487" s="165"/>
      <c r="AEM487" s="165"/>
      <c r="AEN487" s="165"/>
      <c r="AEO487" s="165"/>
      <c r="AEP487" s="165"/>
      <c r="AEQ487" s="165"/>
      <c r="AER487" s="165"/>
      <c r="AES487" s="165"/>
      <c r="AET487" s="165"/>
      <c r="AEU487" s="165"/>
      <c r="AEV487" s="165"/>
      <c r="AEW487" s="165"/>
      <c r="AEX487" s="165"/>
      <c r="AEY487" s="165"/>
      <c r="AEZ487" s="165"/>
      <c r="AFA487" s="165"/>
      <c r="AFB487" s="165"/>
      <c r="AFC487" s="165"/>
      <c r="AFD487" s="165"/>
      <c r="AFE487" s="165"/>
      <c r="AFF487" s="165"/>
      <c r="AFG487" s="165"/>
      <c r="AFH487" s="165"/>
      <c r="AFI487" s="165"/>
      <c r="AFJ487" s="165"/>
      <c r="AFK487" s="165"/>
      <c r="AFL487" s="165"/>
      <c r="AFM487" s="165"/>
      <c r="AFN487" s="165"/>
      <c r="AFO487" s="165"/>
      <c r="AFP487" s="165"/>
      <c r="AFQ487" s="165"/>
      <c r="AFR487" s="165"/>
      <c r="AFS487" s="165"/>
      <c r="AFT487" s="165"/>
      <c r="AFU487" s="165"/>
      <c r="AFV487" s="165"/>
      <c r="AFW487" s="165"/>
      <c r="AFX487" s="165"/>
      <c r="AFY487" s="165"/>
      <c r="AFZ487" s="165"/>
      <c r="AGA487" s="165"/>
      <c r="AGB487" s="165"/>
      <c r="AGC487" s="165"/>
      <c r="AGD487" s="165"/>
      <c r="AGE487" s="165"/>
      <c r="AGF487" s="165"/>
      <c r="AGG487" s="165"/>
      <c r="AGH487" s="165"/>
      <c r="AGI487" s="165"/>
      <c r="AGJ487" s="165"/>
      <c r="AGK487" s="165"/>
      <c r="AGL487" s="165"/>
      <c r="AGM487" s="165"/>
      <c r="AGN487" s="165"/>
      <c r="AGO487" s="165"/>
      <c r="AGP487" s="165"/>
      <c r="AGQ487" s="165"/>
      <c r="AGR487" s="165"/>
      <c r="AGS487" s="165"/>
      <c r="AGT487" s="165"/>
      <c r="AGU487" s="165"/>
      <c r="AGV487" s="165"/>
      <c r="AGW487" s="165"/>
      <c r="AGX487" s="165"/>
      <c r="AGY487" s="165"/>
      <c r="AGZ487" s="165"/>
      <c r="AHA487" s="165"/>
      <c r="AHB487" s="165"/>
      <c r="AHC487" s="165"/>
      <c r="AHD487" s="165"/>
      <c r="AHE487" s="165"/>
      <c r="AHF487" s="165"/>
      <c r="AHG487" s="165"/>
      <c r="AHH487" s="165"/>
      <c r="AHI487" s="165"/>
      <c r="AHJ487" s="165"/>
      <c r="AHK487" s="165"/>
      <c r="AHL487" s="165"/>
      <c r="AHM487" s="165"/>
      <c r="AHN487" s="165"/>
      <c r="AHO487" s="165"/>
      <c r="AHP487" s="165"/>
      <c r="AHQ487" s="165"/>
      <c r="AHR487" s="165"/>
      <c r="AHS487" s="165"/>
      <c r="AHT487" s="165"/>
      <c r="AHU487" s="165"/>
      <c r="AHV487" s="165"/>
      <c r="AHW487" s="165"/>
      <c r="AHX487" s="165"/>
      <c r="AHY487" s="165"/>
      <c r="AHZ487" s="165"/>
      <c r="AIA487" s="165"/>
      <c r="AIB487" s="165"/>
      <c r="AIC487" s="165"/>
      <c r="AID487" s="165"/>
      <c r="AIE487" s="165"/>
      <c r="AIF487" s="165"/>
      <c r="AIG487" s="165"/>
      <c r="AIH487" s="165"/>
      <c r="AII487" s="165"/>
      <c r="AIJ487" s="165"/>
      <c r="AIK487" s="165"/>
      <c r="AIL487" s="165"/>
      <c r="AIM487" s="165"/>
      <c r="AIN487" s="165"/>
      <c r="AIO487" s="165"/>
      <c r="AIP487" s="165"/>
      <c r="AIQ487" s="165"/>
      <c r="AIR487" s="165"/>
      <c r="AIS487" s="165"/>
      <c r="AIT487" s="165"/>
      <c r="AIU487" s="165"/>
      <c r="AIV487" s="165"/>
      <c r="AIW487" s="165"/>
      <c r="AIX487" s="165"/>
      <c r="AIY487" s="165"/>
      <c r="AIZ487" s="165"/>
      <c r="AJA487" s="165"/>
      <c r="AJB487" s="165"/>
      <c r="AJC487" s="165"/>
      <c r="AJD487" s="165"/>
      <c r="AJE487" s="165"/>
      <c r="AJF487" s="165"/>
      <c r="AJG487" s="165"/>
      <c r="AJH487" s="165"/>
      <c r="AJI487" s="165"/>
      <c r="AJJ487" s="165"/>
      <c r="AJK487" s="165"/>
      <c r="AJL487" s="165"/>
      <c r="AJM487" s="165"/>
      <c r="AJN487" s="165"/>
      <c r="AJO487" s="165"/>
      <c r="AJP487" s="165"/>
      <c r="AJQ487" s="165"/>
      <c r="AJR487" s="165"/>
      <c r="AJS487" s="165"/>
      <c r="AJT487" s="165"/>
      <c r="AJU487" s="165"/>
      <c r="AJV487" s="165"/>
      <c r="AJW487" s="165"/>
      <c r="AJX487" s="165"/>
      <c r="AJY487" s="165"/>
      <c r="AJZ487" s="165"/>
      <c r="AKA487" s="165"/>
      <c r="AKB487" s="165"/>
      <c r="AKC487" s="165"/>
      <c r="AKD487" s="165"/>
      <c r="AKE487" s="165"/>
      <c r="AKF487" s="165"/>
      <c r="AKG487" s="165"/>
      <c r="AKH487" s="165"/>
      <c r="AKI487" s="165"/>
      <c r="AKJ487" s="165"/>
      <c r="AKK487" s="165"/>
      <c r="AKL487" s="165"/>
      <c r="AKM487" s="165"/>
      <c r="AKN487" s="165"/>
      <c r="AKO487" s="165"/>
      <c r="AKP487" s="165"/>
      <c r="AKQ487" s="165"/>
      <c r="AKR487" s="165"/>
      <c r="AKS487" s="165"/>
      <c r="AKT487" s="165"/>
      <c r="AKU487" s="165"/>
      <c r="AKV487" s="165"/>
      <c r="AKW487" s="165"/>
      <c r="AKX487" s="165"/>
      <c r="AKY487" s="165"/>
      <c r="AKZ487" s="165"/>
      <c r="ALA487" s="165"/>
      <c r="ALB487" s="165"/>
      <c r="ALC487" s="165"/>
      <c r="ALD487" s="165"/>
      <c r="ALE487" s="165"/>
      <c r="ALF487" s="165"/>
      <c r="ALG487" s="165"/>
      <c r="ALH487" s="165"/>
      <c r="ALI487" s="165"/>
      <c r="ALJ487" s="165"/>
      <c r="ALK487" s="165"/>
      <c r="ALL487" s="165"/>
      <c r="ALM487" s="165"/>
      <c r="ALN487" s="165"/>
      <c r="ALO487" s="165"/>
      <c r="ALP487" s="165"/>
      <c r="ALQ487" s="165"/>
      <c r="ALR487" s="165"/>
      <c r="ALS487" s="165"/>
      <c r="ALT487" s="165"/>
      <c r="ALU487" s="165"/>
      <c r="ALV487" s="165"/>
      <c r="ALW487" s="165"/>
      <c r="ALX487" s="165"/>
      <c r="ALY487" s="165"/>
      <c r="ALZ487" s="165"/>
      <c r="AMA487" s="165"/>
      <c r="AMB487" s="165"/>
      <c r="AMC487" s="165"/>
      <c r="AMD487" s="165"/>
      <c r="AME487" s="165"/>
      <c r="AMF487" s="165"/>
      <c r="AMG487" s="165"/>
      <c r="AMH487" s="165"/>
      <c r="AMI487" s="165"/>
      <c r="AMJ487" s="165"/>
    </row>
    <row r="488" customFormat="false" ht="12.8" hidden="false" customHeight="false" outlineLevel="0" collapsed="false">
      <c r="A488" s="107" t="s">
        <v>204</v>
      </c>
      <c r="B488" s="108"/>
      <c r="C488" s="108"/>
      <c r="D488" s="38"/>
      <c r="E488" s="109"/>
      <c r="F488" s="121" t="n">
        <f aca="false">+F486</f>
        <v>1283.33333333333</v>
      </c>
    </row>
    <row r="490" customFormat="false" ht="12.8" hidden="false" customHeight="false" outlineLevel="0" collapsed="false">
      <c r="A490" s="158" t="s">
        <v>205</v>
      </c>
      <c r="B490" s="65"/>
      <c r="C490" s="65"/>
      <c r="D490" s="25"/>
      <c r="E490" s="25"/>
      <c r="F490" s="84"/>
    </row>
    <row r="492" customFormat="false" ht="12.8" hidden="false" customHeight="false" outlineLevel="0" collapsed="false">
      <c r="A492" s="70" t="s">
        <v>16</v>
      </c>
      <c r="B492" s="71" t="s">
        <v>17</v>
      </c>
      <c r="C492" s="71" t="s">
        <v>9</v>
      </c>
      <c r="D492" s="72" t="s">
        <v>18</v>
      </c>
      <c r="E492" s="72" t="s">
        <v>19</v>
      </c>
      <c r="F492" s="73" t="s">
        <v>20</v>
      </c>
    </row>
    <row r="493" customFormat="false" ht="12.8" hidden="false" customHeight="false" outlineLevel="0" collapsed="false">
      <c r="A493" s="78" t="s">
        <v>206</v>
      </c>
      <c r="B493" s="160" t="s">
        <v>65</v>
      </c>
      <c r="C493" s="116" t="n">
        <f aca="false">'Estimativa Pesagem Ticket'!C3</f>
        <v>127</v>
      </c>
      <c r="D493" s="106" t="n">
        <f aca="false">'VALORES BASE'!B36</f>
        <v>30</v>
      </c>
      <c r="E493" s="81" t="n">
        <f aca="false">+D493*C493</f>
        <v>3810</v>
      </c>
      <c r="F493" s="125"/>
    </row>
    <row r="494" customFormat="false" ht="12.8" hidden="false" customHeight="false" outlineLevel="0" collapsed="false">
      <c r="A494" s="163"/>
      <c r="B494" s="163"/>
      <c r="C494" s="163"/>
      <c r="D494" s="88"/>
      <c r="E494" s="88"/>
      <c r="F494" s="121" t="n">
        <f aca="false">E493</f>
        <v>3810</v>
      </c>
    </row>
    <row r="496" customFormat="false" ht="12.8" hidden="false" customHeight="false" outlineLevel="0" collapsed="false">
      <c r="A496" s="107" t="s">
        <v>207</v>
      </c>
      <c r="B496" s="108"/>
      <c r="C496" s="108"/>
      <c r="D496" s="38"/>
      <c r="E496" s="109"/>
      <c r="F496" s="121" t="n">
        <f aca="false">+F494</f>
        <v>3810</v>
      </c>
    </row>
    <row r="500" customFormat="false" ht="12.8" hidden="false" customHeight="false" outlineLevel="0" collapsed="false">
      <c r="A500" s="107" t="s">
        <v>208</v>
      </c>
      <c r="B500" s="118"/>
      <c r="C500" s="118"/>
      <c r="D500" s="119"/>
      <c r="E500" s="120"/>
      <c r="F500" s="105" t="n">
        <f aca="false">+F186+F234+F464+F477+F488+F496</f>
        <v>282331.744807208</v>
      </c>
    </row>
    <row r="502" customFormat="false" ht="12.8" hidden="false" customHeight="false" outlineLevel="0" collapsed="false">
      <c r="A502" s="26" t="s">
        <v>209</v>
      </c>
    </row>
    <row r="504" customFormat="false" ht="12.8" hidden="false" customHeight="false" outlineLevel="0" collapsed="false">
      <c r="A504" s="70" t="s">
        <v>16</v>
      </c>
      <c r="B504" s="71" t="s">
        <v>17</v>
      </c>
      <c r="C504" s="71" t="s">
        <v>9</v>
      </c>
      <c r="D504" s="72" t="s">
        <v>18</v>
      </c>
      <c r="E504" s="72" t="s">
        <v>19</v>
      </c>
      <c r="F504" s="73" t="s">
        <v>20</v>
      </c>
    </row>
    <row r="505" customFormat="false" ht="12.8" hidden="false" customHeight="false" outlineLevel="0" collapsed="false">
      <c r="A505" s="74" t="s">
        <v>210</v>
      </c>
      <c r="B505" s="75" t="s">
        <v>5</v>
      </c>
      <c r="C505" s="86" t="n">
        <f aca="false">'4.BDI'!C13*100</f>
        <v>27.14</v>
      </c>
      <c r="D505" s="77" t="n">
        <f aca="false">+F500</f>
        <v>282331.744807208</v>
      </c>
      <c r="E505" s="77" t="n">
        <f aca="false">C505*D505/100</f>
        <v>76624.8355406763</v>
      </c>
    </row>
    <row r="506" customFormat="false" ht="12.8" hidden="false" customHeight="false" outlineLevel="0" collapsed="false">
      <c r="F506" s="121" t="n">
        <f aca="false">+E505</f>
        <v>76624.8355406763</v>
      </c>
    </row>
    <row r="507" customFormat="false" ht="11.25" hidden="false" customHeight="true" outlineLevel="0" collapsed="false"/>
    <row r="508" customFormat="false" ht="12.8" hidden="false" customHeight="false" outlineLevel="0" collapsed="false">
      <c r="A508" s="107" t="s">
        <v>211</v>
      </c>
      <c r="B508" s="118"/>
      <c r="C508" s="118"/>
      <c r="D508" s="119"/>
      <c r="E508" s="120"/>
      <c r="F508" s="105" t="n">
        <f aca="false">F506</f>
        <v>76624.8355406763</v>
      </c>
    </row>
    <row r="509" customFormat="false" ht="12.8" hidden="false" customHeight="false" outlineLevel="0" collapsed="false">
      <c r="A509" s="65"/>
      <c r="B509" s="65"/>
      <c r="C509" s="65"/>
      <c r="D509" s="25"/>
      <c r="E509" s="25"/>
      <c r="F509" s="84"/>
    </row>
    <row r="511" customFormat="false" ht="12.8" hidden="false" customHeight="false" outlineLevel="0" collapsed="false">
      <c r="A511" s="107" t="s">
        <v>212</v>
      </c>
      <c r="B511" s="118"/>
      <c r="C511" s="118"/>
      <c r="D511" s="119"/>
      <c r="E511" s="120"/>
      <c r="F511" s="166" t="n">
        <f aca="false">F500+F508</f>
        <v>358956.580347884</v>
      </c>
    </row>
    <row r="512" customFormat="false" ht="15" hidden="false" customHeight="false" outlineLevel="0" collapsed="false">
      <c r="A512" s="167"/>
      <c r="B512" s="167"/>
      <c r="C512" s="167"/>
      <c r="D512" s="168"/>
      <c r="E512" s="168"/>
      <c r="F512" s="168"/>
    </row>
    <row r="513" customFormat="false" ht="12.8" hidden="false" customHeight="false" outlineLevel="0" collapsed="false">
      <c r="A513" s="169" t="s">
        <v>213</v>
      </c>
      <c r="B513" s="170"/>
      <c r="C513" s="170"/>
      <c r="D513" s="171" t="n">
        <f aca="false">'SERIE HISTORICA'!C14</f>
        <v>640.915833333333</v>
      </c>
      <c r="E513" s="172" t="s">
        <v>214</v>
      </c>
    </row>
    <row r="515" customFormat="false" ht="12.8" hidden="false" customHeight="false" outlineLevel="0" collapsed="false">
      <c r="A515" s="107" t="s">
        <v>215</v>
      </c>
      <c r="B515" s="108"/>
      <c r="C515" s="108"/>
      <c r="D515" s="38"/>
      <c r="E515" s="173" t="s">
        <v>216</v>
      </c>
      <c r="F515" s="174" t="n">
        <f aca="false">IFERROR(F511/D513,"-")</f>
        <v>560.068205026221</v>
      </c>
    </row>
    <row r="525" customFormat="false" ht="12.8" hidden="false" customHeight="true" outlineLevel="0" collapsed="false"/>
    <row r="530" customFormat="false" ht="12.8" hidden="false" customHeight="true" outlineLevel="0" collapsed="false"/>
    <row r="542" customFormat="false" ht="9" hidden="false" customHeight="true" outlineLevel="0" collapsed="false"/>
  </sheetData>
  <mergeCells count="7">
    <mergeCell ref="A2:F2"/>
    <mergeCell ref="A3:F3"/>
    <mergeCell ref="A5:F5"/>
    <mergeCell ref="A17:C17"/>
    <mergeCell ref="A26:E26"/>
    <mergeCell ref="A27:D27"/>
    <mergeCell ref="A36:D36"/>
  </mergeCells>
  <hyperlinks>
    <hyperlink ref="A240" location="AbaDeprec" display="3.1.1. Depreciação"/>
    <hyperlink ref="A256" location="AbaRemun" display="3.1.2. Remuneração do Capital"/>
  </hyperlink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4" manualBreakCount="4">
    <brk id="41" man="true" max="16383" min="0"/>
    <brk id="156" man="true" max="16383" min="0"/>
    <brk id="235" man="true" max="16383" min="0"/>
    <brk id="303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450"/>
  <sheetViews>
    <sheetView showFormulas="false" showGridLines="true" showRowColHeaders="true" showZeros="true" rightToLeft="false" tabSelected="false" showOutlineSymbols="true" defaultGridColor="true" view="pageBreakPreview" topLeftCell="A395" colorId="64" zoomScale="120" zoomScaleNormal="100" zoomScalePageLayoutView="120" workbookViewId="0">
      <selection pane="topLeft" activeCell="F428" activeCellId="0" sqref="F428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50.83"/>
    <col collapsed="false" customWidth="true" hidden="false" outlineLevel="0" max="2" min="2" style="1" width="18.71"/>
    <col collapsed="false" customWidth="true" hidden="false" outlineLevel="0" max="3" min="3" style="1" width="32.75"/>
    <col collapsed="false" customWidth="true" hidden="false" outlineLevel="0" max="4" min="4" style="2" width="21.32"/>
    <col collapsed="false" customWidth="true" hidden="false" outlineLevel="0" max="5" min="5" style="2" width="17.88"/>
    <col collapsed="false" customWidth="true" hidden="false" outlineLevel="0" max="6" min="6" style="2" width="15.19"/>
    <col collapsed="false" customWidth="true" hidden="false" outlineLevel="0" max="7" min="7" style="2" width="28.17"/>
    <col collapsed="false" customWidth="true" hidden="false" outlineLevel="0" max="8" min="8" style="1" width="9.14"/>
    <col collapsed="false" customWidth="true" hidden="false" outlineLevel="0" max="9" min="9" style="1" width="14.59"/>
    <col collapsed="false" customWidth="true" hidden="false" outlineLevel="0" max="10" min="10" style="1" width="13.44"/>
    <col collapsed="false" customWidth="true" hidden="false" outlineLevel="0" max="64" min="11" style="1" width="9.14"/>
    <col collapsed="false" customWidth="true" hidden="false" outlineLevel="0" max="1024" min="65" style="3" width="9.14"/>
  </cols>
  <sheetData>
    <row r="1" customFormat="false" ht="16.5" hidden="false" customHeight="true" outlineLevel="0" collapsed="false">
      <c r="B1" s="175"/>
      <c r="C1" s="175"/>
      <c r="D1" s="11"/>
      <c r="E1" s="11"/>
      <c r="F1" s="11"/>
      <c r="G1" s="11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</row>
    <row r="2" customFormat="false" ht="17.35" hidden="false" customHeight="false" outlineLevel="0" collapsed="false">
      <c r="A2" s="5" t="s">
        <v>217</v>
      </c>
      <c r="B2" s="5"/>
      <c r="C2" s="5"/>
      <c r="D2" s="5"/>
      <c r="E2" s="5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customFormat="false" ht="21.75" hidden="false" customHeight="true" outlineLevel="0" collapsed="false">
      <c r="A3" s="8" t="s">
        <v>1</v>
      </c>
      <c r="B3" s="8"/>
      <c r="C3" s="8"/>
      <c r="D3" s="8"/>
      <c r="E3" s="8"/>
      <c r="F3" s="8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</row>
    <row r="4" customFormat="false" ht="10.9" hidden="false" customHeight="true" outlineLevel="0" collapsed="false">
      <c r="A4" s="9"/>
      <c r="B4" s="10"/>
      <c r="C4" s="10"/>
      <c r="D4" s="11"/>
      <c r="E4" s="11"/>
      <c r="F4" s="12"/>
      <c r="G4" s="1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</row>
    <row r="5" customFormat="false" ht="15.75" hidden="false" customHeight="true" outlineLevel="0" collapsed="false">
      <c r="A5" s="14" t="s">
        <v>2</v>
      </c>
      <c r="B5" s="14"/>
      <c r="C5" s="14"/>
      <c r="D5" s="14"/>
      <c r="E5" s="14"/>
      <c r="F5" s="14"/>
      <c r="G5" s="11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</row>
    <row r="6" customFormat="false" ht="15.75" hidden="false" customHeight="true" outlineLevel="0" collapsed="false">
      <c r="A6" s="15" t="s">
        <v>3</v>
      </c>
      <c r="B6" s="16"/>
      <c r="C6" s="16"/>
      <c r="D6" s="17"/>
      <c r="E6" s="18" t="s">
        <v>4</v>
      </c>
      <c r="F6" s="19" t="s">
        <v>5</v>
      </c>
      <c r="G6" s="11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</row>
    <row r="7" customFormat="false" ht="15.75" hidden="false" customHeight="true" outlineLevel="0" collapsed="false">
      <c r="A7" s="20" t="str">
        <f aca="false">A39</f>
        <v>1. Mão-de-obra</v>
      </c>
      <c r="B7" s="21"/>
      <c r="C7" s="22"/>
      <c r="D7" s="22"/>
      <c r="E7" s="23" t="n">
        <f aca="false">+F148</f>
        <v>82954.2632272049</v>
      </c>
      <c r="F7" s="24" t="n">
        <f aca="false">IFERROR(E7/$E$22,0)</f>
        <v>0.416868815127251</v>
      </c>
      <c r="G7" s="25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</row>
    <row r="8" customFormat="false" ht="15.75" hidden="false" customHeight="true" outlineLevel="0" collapsed="false">
      <c r="A8" s="27" t="str">
        <f aca="false">A41</f>
        <v>1.1. Coletor Turno Dia</v>
      </c>
      <c r="B8" s="28"/>
      <c r="C8" s="29"/>
      <c r="D8" s="29"/>
      <c r="E8" s="30" t="n">
        <f aca="false">F52</f>
        <v>48654.4013643031</v>
      </c>
      <c r="F8" s="31" t="n">
        <f aca="false">IFERROR(E8/$E$22,0)</f>
        <v>0.244502233621323</v>
      </c>
      <c r="G8" s="11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</row>
    <row r="9" customFormat="false" ht="15.75" hidden="true" customHeight="true" outlineLevel="0" collapsed="false">
      <c r="A9" s="27" t="str">
        <f aca="false">A54</f>
        <v>1.2. Coletor Turno Noite</v>
      </c>
      <c r="B9" s="28"/>
      <c r="C9" s="29"/>
      <c r="D9" s="29"/>
      <c r="E9" s="30" t="n">
        <f aca="false">F71</f>
        <v>0</v>
      </c>
      <c r="F9" s="31" t="n">
        <f aca="false">IFERROR(E9/$E$22,0)</f>
        <v>0</v>
      </c>
      <c r="G9" s="11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</row>
    <row r="10" customFormat="false" ht="15.75" hidden="false" customHeight="true" outlineLevel="0" collapsed="false">
      <c r="A10" s="27" t="str">
        <f aca="false">A73</f>
        <v>1.2. Motorista Turno do Dia ( 3 caminhões )</v>
      </c>
      <c r="B10" s="28"/>
      <c r="C10" s="29"/>
      <c r="D10" s="29"/>
      <c r="E10" s="30" t="n">
        <f aca="false">F86</f>
        <v>19334.4692629018</v>
      </c>
      <c r="F10" s="31" t="n">
        <f aca="false">IFERROR(E10/$E$22,0)</f>
        <v>0.0971612184736621</v>
      </c>
      <c r="G10" s="11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customFormat="false" ht="15.75" hidden="true" customHeight="true" outlineLevel="0" collapsed="false">
      <c r="A11" s="27" t="str">
        <f aca="false">A103</f>
        <v>1.4. Motorista Turno Noite</v>
      </c>
      <c r="B11" s="28"/>
      <c r="C11" s="29"/>
      <c r="D11" s="29"/>
      <c r="E11" s="30" t="n">
        <f aca="false">F122</f>
        <v>0</v>
      </c>
      <c r="F11" s="31" t="n">
        <f aca="false">IFERROR(E11/$E$22,0)</f>
        <v>0</v>
      </c>
      <c r="G11" s="11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customFormat="false" ht="15.75" hidden="true" customHeight="true" outlineLevel="0" collapsed="false">
      <c r="A12" s="27" t="str">
        <f aca="false">A88</f>
        <v>1.3 Motorista Turno do Dia (1 veículo de médio porte )</v>
      </c>
      <c r="B12" s="28"/>
      <c r="C12" s="29"/>
      <c r="D12" s="29"/>
      <c r="E12" s="30" t="n">
        <f aca="false">F101</f>
        <v>0</v>
      </c>
      <c r="F12" s="31" t="n">
        <f aca="false">IFERROR(E12/$E$22,0)</f>
        <v>0</v>
      </c>
      <c r="G12" s="11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</row>
    <row r="13" customFormat="false" ht="15.75" hidden="false" customHeight="true" outlineLevel="0" collapsed="false">
      <c r="A13" s="27" t="str">
        <f aca="false">A123</f>
        <v>1.4. Vale Transporte</v>
      </c>
      <c r="B13" s="28"/>
      <c r="C13" s="29"/>
      <c r="D13" s="29"/>
      <c r="E13" s="30" t="n">
        <f aca="false">F129</f>
        <v>2360.2926</v>
      </c>
      <c r="F13" s="31" t="n">
        <f aca="false">IFERROR(E13/$E$22,0)</f>
        <v>0.0118611430110675</v>
      </c>
      <c r="G13" s="11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customFormat="false" ht="15.75" hidden="false" customHeight="true" outlineLevel="0" collapsed="false">
      <c r="A14" s="27" t="str">
        <f aca="false">A131</f>
        <v>1.5. Vale-refeição (diário)</v>
      </c>
      <c r="B14" s="32"/>
      <c r="C14" s="29"/>
      <c r="D14" s="29"/>
      <c r="E14" s="30" t="n">
        <f aca="false">F135</f>
        <v>9005.1</v>
      </c>
      <c r="F14" s="31" t="n">
        <f aca="false">IFERROR(E14/$E$22,0)</f>
        <v>0.0452531940018641</v>
      </c>
      <c r="G14" s="1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</row>
    <row r="15" customFormat="false" ht="15.75" hidden="false" customHeight="true" outlineLevel="0" collapsed="false">
      <c r="A15" s="27" t="str">
        <f aca="false">A137</f>
        <v>1.6. Auxílio Alimentação (mensal)</v>
      </c>
      <c r="B15" s="28"/>
      <c r="C15" s="29"/>
      <c r="D15" s="29"/>
      <c r="E15" s="30" t="n">
        <f aca="false">SUM(F146,F141)</f>
        <v>3600</v>
      </c>
      <c r="F15" s="31" t="n">
        <f aca="false">IFERROR(E15/$E$22,0)</f>
        <v>0.0180910260193347</v>
      </c>
      <c r="G15" s="11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</row>
    <row r="16" customFormat="false" ht="15.75" hidden="false" customHeight="true" outlineLevel="0" collapsed="false">
      <c r="A16" s="33" t="str">
        <f aca="false">A150</f>
        <v>2. Uniformes e Equipamentos de Proteção Individual</v>
      </c>
      <c r="B16" s="33"/>
      <c r="C16" s="33"/>
      <c r="D16" s="22"/>
      <c r="E16" s="23" t="n">
        <f aca="false">+F195</f>
        <v>4032.9175</v>
      </c>
      <c r="F16" s="24" t="n">
        <f aca="false">IFERROR(E16/$E$22,0)</f>
        <v>0.0202665598406473</v>
      </c>
      <c r="G16" s="25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</row>
    <row r="17" customFormat="false" ht="15.75" hidden="false" customHeight="true" outlineLevel="0" collapsed="false">
      <c r="A17" s="33" t="str">
        <f aca="false">A197</f>
        <v>3. Veículos e Equipamentos</v>
      </c>
      <c r="B17" s="34"/>
      <c r="C17" s="22"/>
      <c r="D17" s="22"/>
      <c r="E17" s="23" t="n">
        <f aca="false">+F373</f>
        <v>64229.0214636732</v>
      </c>
      <c r="F17" s="24" t="n">
        <f aca="false">IFERROR(E17/$E$22,0)</f>
        <v>0.322769138471033</v>
      </c>
      <c r="G17" s="25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</row>
    <row r="18" customFormat="false" ht="15.75" hidden="false" customHeight="true" outlineLevel="0" collapsed="false">
      <c r="A18" s="33" t="str">
        <f aca="false">A375</f>
        <v>4. Ferramentas e Materiais de Consumo</v>
      </c>
      <c r="B18" s="34"/>
      <c r="C18" s="22"/>
      <c r="D18" s="22"/>
      <c r="E18" s="23" t="n">
        <f aca="false">+F386</f>
        <v>1615.87166666667</v>
      </c>
      <c r="F18" s="24" t="n">
        <f aca="false">IFERROR(E18/$E$22,0)</f>
        <v>0.00812021565710346</v>
      </c>
      <c r="G18" s="25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</row>
    <row r="19" customFormat="false" ht="15.75" hidden="false" customHeight="true" outlineLevel="0" collapsed="false">
      <c r="A19" s="33" t="str">
        <f aca="false">A388</f>
        <v>5. Monitoramento da Frota</v>
      </c>
      <c r="B19" s="34"/>
      <c r="C19" s="22"/>
      <c r="D19" s="22"/>
      <c r="E19" s="23" t="n">
        <f aca="false">+F397</f>
        <v>533.333333333333</v>
      </c>
      <c r="F19" s="24" t="n">
        <f aca="false">IFERROR(E19/$E$22,0)</f>
        <v>0.0026801520028644</v>
      </c>
      <c r="G19" s="25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</row>
    <row r="20" customFormat="false" ht="15.75" hidden="false" customHeight="true" outlineLevel="0" collapsed="false">
      <c r="A20" s="33" t="str">
        <f aca="false">A399</f>
        <v>6. Pesagem</v>
      </c>
      <c r="B20" s="34"/>
      <c r="C20" s="22"/>
      <c r="D20" s="22"/>
      <c r="E20" s="23" t="n">
        <f aca="false">F403</f>
        <v>3150</v>
      </c>
      <c r="F20" s="24" t="n">
        <f aca="false">IFERROR(E20/$E$22,0)</f>
        <v>0.0158296477669179</v>
      </c>
      <c r="G20" s="25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</row>
    <row r="21" customFormat="false" ht="15.75" hidden="false" customHeight="true" outlineLevel="0" collapsed="false">
      <c r="A21" s="33" t="str">
        <f aca="false">A410</f>
        <v>7. Benefícios e Despesas Indiretas - BDI</v>
      </c>
      <c r="B21" s="34"/>
      <c r="C21" s="22"/>
      <c r="D21" s="22"/>
      <c r="E21" s="35" t="n">
        <f aca="false">+F416</f>
        <v>42478.2815116043</v>
      </c>
      <c r="F21" s="24" t="n">
        <f aca="false">IFERROR(E21/$E$22,0)</f>
        <v>0.213465471134183</v>
      </c>
      <c r="G21" s="25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</row>
    <row r="22" customFormat="false" ht="15.75" hidden="false" customHeight="true" outlineLevel="0" collapsed="false">
      <c r="A22" s="36" t="s">
        <v>6</v>
      </c>
      <c r="B22" s="37"/>
      <c r="C22" s="38"/>
      <c r="D22" s="38"/>
      <c r="E22" s="39" t="n">
        <f aca="false">E7+E16+E17+E18+E19+E21+E20</f>
        <v>198993.688702482</v>
      </c>
      <c r="F22" s="40" t="n">
        <f aca="false">F7+F16+F17+F18+F19+F21+F20</f>
        <v>1</v>
      </c>
      <c r="G22" s="11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</row>
    <row r="25" customFormat="false" ht="15" hidden="false" customHeight="true" outlineLevel="0" collapsed="false">
      <c r="A25" s="14" t="s">
        <v>7</v>
      </c>
      <c r="B25" s="14"/>
      <c r="C25" s="14"/>
      <c r="D25" s="14"/>
      <c r="E25" s="14"/>
      <c r="G25" s="11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</row>
    <row r="26" customFormat="false" ht="15" hidden="false" customHeight="true" outlineLevel="0" collapsed="false">
      <c r="A26" s="41" t="s">
        <v>8</v>
      </c>
      <c r="B26" s="41"/>
      <c r="C26" s="41"/>
      <c r="D26" s="41"/>
      <c r="E26" s="42" t="s">
        <v>9</v>
      </c>
      <c r="G26" s="1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</row>
    <row r="27" customFormat="false" ht="15" hidden="false" customHeight="true" outlineLevel="0" collapsed="false">
      <c r="A27" s="43" t="str">
        <f aca="false">+A41</f>
        <v>1.1. Coletor Turno Dia</v>
      </c>
      <c r="B27" s="44"/>
      <c r="C27" s="44"/>
      <c r="D27" s="45"/>
      <c r="E27" s="46" t="n">
        <v>9</v>
      </c>
      <c r="G27" s="11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customFormat="false" ht="15" hidden="true" customHeight="true" outlineLevel="0" collapsed="false">
      <c r="A28" s="47" t="str">
        <f aca="false">+A54</f>
        <v>1.2. Coletor Turno Noite</v>
      </c>
      <c r="B28" s="48"/>
      <c r="C28" s="48"/>
      <c r="D28" s="49"/>
      <c r="E28" s="50" t="n">
        <f aca="false">C70</f>
        <v>0</v>
      </c>
      <c r="G28" s="11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</row>
    <row r="29" customFormat="false" ht="15" hidden="false" customHeight="true" outlineLevel="0" collapsed="false">
      <c r="A29" s="47" t="str">
        <f aca="false">+A73</f>
        <v>1.2. Motorista Turno do Dia ( 3 caminhões )</v>
      </c>
      <c r="B29" s="48"/>
      <c r="C29" s="48"/>
      <c r="D29" s="49"/>
      <c r="E29" s="50" t="n">
        <v>3</v>
      </c>
      <c r="G29" s="1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</row>
    <row r="30" customFormat="false" ht="15" hidden="true" customHeight="true" outlineLevel="0" collapsed="false">
      <c r="A30" s="47" t="str">
        <f aca="false">A88</f>
        <v>1.3 Motorista Turno do Dia (1 veículo de médio porte )</v>
      </c>
      <c r="B30" s="48"/>
      <c r="C30" s="48"/>
      <c r="D30" s="49"/>
      <c r="E30" s="50" t="n">
        <v>0</v>
      </c>
      <c r="G30" s="11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</row>
    <row r="31" customFormat="false" ht="15" hidden="true" customHeight="true" outlineLevel="0" collapsed="false">
      <c r="A31" s="47" t="str">
        <f aca="false">+A103</f>
        <v>1.4. Motorista Turno Noite</v>
      </c>
      <c r="B31" s="48"/>
      <c r="C31" s="48"/>
      <c r="D31" s="49"/>
      <c r="E31" s="50" t="n">
        <f aca="false">C121</f>
        <v>0</v>
      </c>
      <c r="G31" s="11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</row>
    <row r="32" customFormat="false" ht="15" hidden="false" customHeight="true" outlineLevel="0" collapsed="false">
      <c r="A32" s="51" t="s">
        <v>11</v>
      </c>
      <c r="B32" s="52"/>
      <c r="C32" s="52"/>
      <c r="D32" s="53"/>
      <c r="E32" s="54" t="n">
        <f aca="false">SUM(E27:E31)</f>
        <v>12</v>
      </c>
      <c r="G32" s="11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customFormat="false" ht="15" hidden="false" customHeight="true" outlineLevel="0" collapsed="false">
      <c r="A33" s="55"/>
      <c r="B33" s="56"/>
      <c r="C33" s="2"/>
      <c r="E33" s="57"/>
      <c r="G33" s="11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customFormat="false" ht="15" hidden="false" customHeight="true" outlineLevel="0" collapsed="false">
      <c r="A34" s="58" t="s">
        <v>12</v>
      </c>
      <c r="B34" s="58"/>
      <c r="C34" s="58"/>
      <c r="D34" s="58"/>
      <c r="E34" s="42" t="s">
        <v>9</v>
      </c>
      <c r="F34" s="1"/>
      <c r="G34" s="11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</row>
    <row r="35" customFormat="false" ht="15" hidden="false" customHeight="true" outlineLevel="0" collapsed="false">
      <c r="A35" s="59" t="str">
        <f aca="false">+A199</f>
        <v>3.1. Veículo Coletor Compactador 15 m³</v>
      </c>
      <c r="B35" s="60"/>
      <c r="C35" s="60"/>
      <c r="D35" s="61"/>
      <c r="E35" s="62" t="n">
        <v>3</v>
      </c>
      <c r="F35" s="1"/>
      <c r="G35" s="1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customFormat="false" ht="12.8" hidden="true" customHeight="false" outlineLevel="0" collapsed="false">
      <c r="A36" s="59" t="str">
        <f aca="false">A294</f>
        <v>3.2. Veículo Coletor Médio Porte</v>
      </c>
      <c r="B36" s="60"/>
      <c r="C36" s="60"/>
      <c r="D36" s="61"/>
      <c r="E36" s="62" t="n">
        <v>0</v>
      </c>
      <c r="F36" s="1"/>
      <c r="G36" s="11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customFormat="false" ht="15.75" hidden="true" customHeight="true" outlineLevel="0" collapsed="false">
      <c r="A37" s="63" t="s">
        <v>13</v>
      </c>
      <c r="B37" s="64" t="n">
        <v>0.6354</v>
      </c>
      <c r="C37" s="25"/>
      <c r="D37" s="65"/>
      <c r="E37" s="66"/>
      <c r="F37" s="26"/>
      <c r="G37" s="25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customFormat="false" ht="15.75" hidden="false" customHeight="true" outlineLevel="0" collapsed="false">
      <c r="A38" s="2"/>
      <c r="B38" s="2"/>
      <c r="C38" s="2"/>
      <c r="D38" s="67"/>
      <c r="E38" s="68"/>
      <c r="F38" s="1"/>
      <c r="G38" s="11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</row>
    <row r="39" customFormat="false" ht="13.15" hidden="false" customHeight="true" outlineLevel="0" collapsed="false">
      <c r="A39" s="26" t="s">
        <v>14</v>
      </c>
    </row>
    <row r="40" customFormat="false" ht="11.25" hidden="false" customHeight="true" outlineLevel="0" collapsed="false"/>
    <row r="41" customFormat="false" ht="13.9" hidden="false" customHeight="true" outlineLevel="0" collapsed="false">
      <c r="A41" s="69" t="s">
        <v>15</v>
      </c>
    </row>
    <row r="42" customFormat="false" ht="13.9" hidden="false" customHeight="true" outlineLevel="0" collapsed="false">
      <c r="A42" s="70" t="s">
        <v>16</v>
      </c>
      <c r="B42" s="71" t="s">
        <v>17</v>
      </c>
      <c r="C42" s="71" t="s">
        <v>9</v>
      </c>
      <c r="D42" s="72" t="s">
        <v>18</v>
      </c>
      <c r="E42" s="72" t="s">
        <v>19</v>
      </c>
      <c r="F42" s="73" t="s">
        <v>20</v>
      </c>
    </row>
    <row r="43" customFormat="false" ht="13.15" hidden="false" customHeight="true" outlineLevel="0" collapsed="false">
      <c r="A43" s="74" t="s">
        <v>21</v>
      </c>
      <c r="B43" s="75" t="s">
        <v>22</v>
      </c>
      <c r="C43" s="75" t="n">
        <v>1</v>
      </c>
      <c r="D43" s="76" t="n">
        <f aca="false">'VALORES BASE'!B1</f>
        <v>2082.31</v>
      </c>
      <c r="E43" s="77" t="n">
        <f aca="false">C43*D43</f>
        <v>2082.31</v>
      </c>
    </row>
    <row r="44" customFormat="false" ht="12.8" hidden="false" customHeight="false" outlineLevel="0" collapsed="false">
      <c r="A44" s="78" t="s">
        <v>23</v>
      </c>
      <c r="B44" s="79" t="s">
        <v>24</v>
      </c>
      <c r="C44" s="80" t="n">
        <f aca="false">'VALORES BASE'!B58</f>
        <v>7.92</v>
      </c>
      <c r="D44" s="81" t="n">
        <f aca="false">D43/220*2</f>
        <v>18.9300909090909</v>
      </c>
      <c r="E44" s="81" t="n">
        <f aca="false">C44*D44</f>
        <v>149.92632</v>
      </c>
    </row>
    <row r="45" customFormat="false" ht="13.15" hidden="false" customHeight="true" outlineLevel="0" collapsed="false">
      <c r="A45" s="78" t="s">
        <v>25</v>
      </c>
      <c r="B45" s="79" t="s">
        <v>24</v>
      </c>
      <c r="C45" s="80"/>
      <c r="D45" s="81" t="n">
        <f aca="false">D43/220*1.5</f>
        <v>14.1975681818182</v>
      </c>
      <c r="E45" s="81" t="n">
        <f aca="false">C45*D45</f>
        <v>0</v>
      </c>
    </row>
    <row r="46" customFormat="false" ht="13.15" hidden="false" customHeight="true" outlineLevel="0" collapsed="false">
      <c r="A46" s="78" t="s">
        <v>26</v>
      </c>
      <c r="B46" s="79" t="s">
        <v>27</v>
      </c>
      <c r="D46" s="81" t="n">
        <f aca="false">63/302*(SUM(E44:E45))</f>
        <v>31.276020397351</v>
      </c>
      <c r="E46" s="81" t="n">
        <f aca="false">D46</f>
        <v>31.276020397351</v>
      </c>
    </row>
    <row r="47" customFormat="false" ht="12.8" hidden="false" customHeight="false" outlineLevel="0" collapsed="false">
      <c r="A47" s="78" t="s">
        <v>28</v>
      </c>
      <c r="B47" s="79" t="s">
        <v>5</v>
      </c>
      <c r="C47" s="79" t="n">
        <v>40</v>
      </c>
      <c r="D47" s="81" t="n">
        <f aca="false">SUM(E43:E46)</f>
        <v>2263.51234039735</v>
      </c>
      <c r="E47" s="81" t="n">
        <f aca="false">C47*D47/100</f>
        <v>905.404936158941</v>
      </c>
    </row>
    <row r="48" customFormat="false" ht="12.8" hidden="false" customHeight="false" outlineLevel="0" collapsed="false">
      <c r="A48" s="82" t="s">
        <v>29</v>
      </c>
      <c r="B48" s="83"/>
      <c r="C48" s="83"/>
      <c r="D48" s="84"/>
      <c r="E48" s="85" t="n">
        <f aca="false">SUM(E43:E47)</f>
        <v>3168.91727655629</v>
      </c>
    </row>
    <row r="49" customFormat="false" ht="12.8" hidden="false" customHeight="false" outlineLevel="0" collapsed="false">
      <c r="A49" s="78" t="s">
        <v>30</v>
      </c>
      <c r="B49" s="79" t="s">
        <v>5</v>
      </c>
      <c r="C49" s="86" t="n">
        <f aca="false">'2.Encargos Sociais'!$C$31*100</f>
        <v>70.595952</v>
      </c>
      <c r="D49" s="81" t="n">
        <f aca="false">E48</f>
        <v>3168.91727655629</v>
      </c>
      <c r="E49" s="81" t="n">
        <f aca="false">D49*C49/100</f>
        <v>2237.12731947739</v>
      </c>
    </row>
    <row r="50" customFormat="false" ht="12.8" hidden="false" customHeight="false" outlineLevel="0" collapsed="false">
      <c r="A50" s="82" t="s">
        <v>31</v>
      </c>
      <c r="B50" s="83"/>
      <c r="C50" s="83"/>
      <c r="D50" s="84"/>
      <c r="E50" s="85" t="n">
        <f aca="false">E48+E49</f>
        <v>5406.04459603368</v>
      </c>
    </row>
    <row r="51" customFormat="false" ht="12.8" hidden="false" customHeight="false" outlineLevel="0" collapsed="false">
      <c r="A51" s="78" t="s">
        <v>32</v>
      </c>
      <c r="B51" s="79" t="s">
        <v>33</v>
      </c>
      <c r="C51" s="87" t="n">
        <f aca="false">E27</f>
        <v>9</v>
      </c>
      <c r="D51" s="81" t="n">
        <f aca="false">E50</f>
        <v>5406.04459603368</v>
      </c>
      <c r="E51" s="81" t="n">
        <f aca="false">C51*D51</f>
        <v>48654.4013643031</v>
      </c>
      <c r="G51" s="11"/>
    </row>
    <row r="52" customFormat="false" ht="13.9" hidden="false" customHeight="true" outlineLevel="0" collapsed="false">
      <c r="D52" s="88" t="s">
        <v>34</v>
      </c>
      <c r="E52" s="89" t="n">
        <f aca="false">'FATOR FU_OFICIAL'!F19</f>
        <v>1</v>
      </c>
      <c r="F52" s="90" t="n">
        <f aca="false">E51*E52</f>
        <v>48654.4013643031</v>
      </c>
      <c r="G52" s="11"/>
    </row>
    <row r="53" customFormat="false" ht="11.25" hidden="false" customHeight="true" outlineLevel="0" collapsed="false"/>
    <row r="54" customFormat="false" ht="12.8" hidden="true" customHeight="false" outlineLevel="0" collapsed="false">
      <c r="A54" s="1" t="s">
        <v>36</v>
      </c>
    </row>
    <row r="55" customFormat="false" ht="12.8" hidden="true" customHeight="false" outlineLevel="0" collapsed="false">
      <c r="A55" s="70" t="s">
        <v>16</v>
      </c>
      <c r="B55" s="71" t="s">
        <v>17</v>
      </c>
      <c r="C55" s="71" t="s">
        <v>9</v>
      </c>
      <c r="D55" s="72" t="s">
        <v>18</v>
      </c>
      <c r="E55" s="72" t="s">
        <v>19</v>
      </c>
      <c r="F55" s="73" t="s">
        <v>20</v>
      </c>
    </row>
    <row r="56" customFormat="false" ht="12.8" hidden="true" customHeight="false" outlineLevel="0" collapsed="false">
      <c r="A56" s="74" t="s">
        <v>21</v>
      </c>
      <c r="B56" s="75" t="s">
        <v>22</v>
      </c>
      <c r="C56" s="75" t="n">
        <v>1</v>
      </c>
      <c r="D56" s="77" t="n">
        <f aca="false">D43</f>
        <v>2082.31</v>
      </c>
      <c r="E56" s="77" t="n">
        <f aca="false">C56*D56</f>
        <v>2082.31</v>
      </c>
    </row>
    <row r="57" customFormat="false" ht="12.8" hidden="true" customHeight="false" outlineLevel="0" collapsed="false">
      <c r="A57" s="78" t="s">
        <v>37</v>
      </c>
      <c r="B57" s="79" t="s">
        <v>38</v>
      </c>
      <c r="C57" s="80"/>
      <c r="D57" s="81"/>
      <c r="E57" s="81"/>
    </row>
    <row r="58" customFormat="false" ht="12.8" hidden="true" customHeight="false" outlineLevel="0" collapsed="false">
      <c r="A58" s="78"/>
      <c r="B58" s="79" t="s">
        <v>39</v>
      </c>
      <c r="C58" s="91" t="n">
        <f aca="false">C57*8/7</f>
        <v>0</v>
      </c>
      <c r="D58" s="81" t="n">
        <f aca="false">D56/220*0.2</f>
        <v>1.89300909090909</v>
      </c>
      <c r="E58" s="81" t="n">
        <f aca="false">C58*D58</f>
        <v>0</v>
      </c>
    </row>
    <row r="59" customFormat="false" ht="12.8" hidden="true" customHeight="false" outlineLevel="0" collapsed="false">
      <c r="A59" s="78" t="s">
        <v>23</v>
      </c>
      <c r="B59" s="79" t="s">
        <v>24</v>
      </c>
      <c r="C59" s="80"/>
      <c r="D59" s="81" t="n">
        <f aca="false">D56/220*2</f>
        <v>18.9300909090909</v>
      </c>
      <c r="E59" s="81" t="n">
        <f aca="false">C59*D59</f>
        <v>0</v>
      </c>
    </row>
    <row r="60" customFormat="false" ht="12.8" hidden="true" customHeight="false" outlineLevel="0" collapsed="false">
      <c r="A60" s="78" t="s">
        <v>40</v>
      </c>
      <c r="B60" s="79" t="s">
        <v>38</v>
      </c>
      <c r="C60" s="80"/>
      <c r="D60" s="81"/>
      <c r="E60" s="81"/>
    </row>
    <row r="61" customFormat="false" ht="12.8" hidden="true" customHeight="false" outlineLevel="0" collapsed="false">
      <c r="A61" s="78"/>
      <c r="B61" s="79" t="s">
        <v>39</v>
      </c>
      <c r="C61" s="91" t="n">
        <f aca="false">C60*8/7</f>
        <v>0</v>
      </c>
      <c r="D61" s="81" t="n">
        <f aca="false">D56/220*2*1.2</f>
        <v>22.7161090909091</v>
      </c>
      <c r="E61" s="81" t="n">
        <f aca="false">C61*D61</f>
        <v>0</v>
      </c>
    </row>
    <row r="62" customFormat="false" ht="12.8" hidden="true" customHeight="false" outlineLevel="0" collapsed="false">
      <c r="A62" s="78" t="s">
        <v>25</v>
      </c>
      <c r="B62" s="79" t="s">
        <v>24</v>
      </c>
      <c r="C62" s="80"/>
      <c r="D62" s="81" t="n">
        <f aca="false">D56/220*1.5</f>
        <v>14.1975681818182</v>
      </c>
      <c r="E62" s="81" t="n">
        <f aca="false">C62*D62</f>
        <v>0</v>
      </c>
    </row>
    <row r="63" customFormat="false" ht="12.8" hidden="true" customHeight="false" outlineLevel="0" collapsed="false">
      <c r="A63" s="78" t="s">
        <v>41</v>
      </c>
      <c r="B63" s="79" t="s">
        <v>38</v>
      </c>
      <c r="C63" s="80"/>
      <c r="D63" s="81"/>
      <c r="E63" s="81"/>
    </row>
    <row r="64" customFormat="false" ht="12.8" hidden="true" customHeight="false" outlineLevel="0" collapsed="false">
      <c r="A64" s="78"/>
      <c r="B64" s="79" t="s">
        <v>39</v>
      </c>
      <c r="C64" s="81" t="n">
        <f aca="false">C63*8/7</f>
        <v>0</v>
      </c>
      <c r="D64" s="81" t="n">
        <f aca="false">D56/220*1.5*1.2</f>
        <v>17.0370818181818</v>
      </c>
      <c r="E64" s="81" t="n">
        <f aca="false">C64*D64</f>
        <v>0</v>
      </c>
    </row>
    <row r="65" customFormat="false" ht="13.15" hidden="true" customHeight="true" outlineLevel="0" collapsed="false">
      <c r="A65" s="78" t="s">
        <v>26</v>
      </c>
      <c r="B65" s="79" t="s">
        <v>27</v>
      </c>
      <c r="D65" s="81" t="n">
        <f aca="false">63/302*(SUM(E59:E64))</f>
        <v>0</v>
      </c>
      <c r="E65" s="81" t="n">
        <f aca="false">D65</f>
        <v>0</v>
      </c>
    </row>
    <row r="66" customFormat="false" ht="12.8" hidden="true" customHeight="false" outlineLevel="0" collapsed="false">
      <c r="A66" s="78" t="s">
        <v>28</v>
      </c>
      <c r="B66" s="79" t="s">
        <v>5</v>
      </c>
      <c r="C66" s="79" t="n">
        <f aca="false">+C47</f>
        <v>40</v>
      </c>
      <c r="D66" s="81" t="n">
        <f aca="false">SUM(E56:E65)</f>
        <v>2082.31</v>
      </c>
      <c r="E66" s="81" t="n">
        <f aca="false">C66*D66/100</f>
        <v>832.924</v>
      </c>
    </row>
    <row r="67" customFormat="false" ht="12.8" hidden="true" customHeight="false" outlineLevel="0" collapsed="false">
      <c r="A67" s="82" t="s">
        <v>29</v>
      </c>
      <c r="B67" s="83"/>
      <c r="C67" s="83"/>
      <c r="D67" s="84"/>
      <c r="E67" s="85" t="n">
        <f aca="false">SUM(E56:E66)</f>
        <v>2915.234</v>
      </c>
    </row>
    <row r="68" customFormat="false" ht="12.8" hidden="true" customHeight="false" outlineLevel="0" collapsed="false">
      <c r="A68" s="78" t="s">
        <v>30</v>
      </c>
      <c r="B68" s="79" t="s">
        <v>5</v>
      </c>
      <c r="C68" s="86" t="n">
        <f aca="false">'2.Encargos Sociais'!$C$31*100</f>
        <v>70.595952</v>
      </c>
      <c r="D68" s="81" t="n">
        <f aca="false">E67</f>
        <v>2915.234</v>
      </c>
      <c r="E68" s="81" t="n">
        <f aca="false">D68*C68/100</f>
        <v>2058.03719532768</v>
      </c>
    </row>
    <row r="69" customFormat="false" ht="12.8" hidden="true" customHeight="false" outlineLevel="0" collapsed="false">
      <c r="A69" s="82" t="s">
        <v>31</v>
      </c>
      <c r="B69" s="83"/>
      <c r="C69" s="83"/>
      <c r="D69" s="84"/>
      <c r="E69" s="85" t="n">
        <f aca="false">E67+E68</f>
        <v>4973.27119532768</v>
      </c>
    </row>
    <row r="70" customFormat="false" ht="12.8" hidden="true" customHeight="false" outlineLevel="0" collapsed="false">
      <c r="A70" s="78" t="s">
        <v>32</v>
      </c>
      <c r="B70" s="79" t="s">
        <v>33</v>
      </c>
      <c r="C70" s="92" t="n">
        <v>0</v>
      </c>
      <c r="D70" s="81" t="n">
        <f aca="false">E69</f>
        <v>4973.27119532768</v>
      </c>
      <c r="E70" s="81" t="n">
        <f aca="false">C70*D70</f>
        <v>0</v>
      </c>
    </row>
    <row r="71" customFormat="false" ht="12.8" hidden="true" customHeight="false" outlineLevel="0" collapsed="false">
      <c r="D71" s="88" t="s">
        <v>34</v>
      </c>
      <c r="E71" s="89" t="n">
        <f aca="false">$B$37</f>
        <v>0.6354</v>
      </c>
      <c r="F71" s="90" t="n">
        <f aca="false">E70*E71</f>
        <v>0</v>
      </c>
    </row>
    <row r="72" customFormat="false" ht="11.25" hidden="false" customHeight="true" outlineLevel="0" collapsed="false"/>
    <row r="73" customFormat="false" ht="12.8" hidden="false" customHeight="false" outlineLevel="0" collapsed="false">
      <c r="A73" s="69" t="s">
        <v>218</v>
      </c>
    </row>
    <row r="74" customFormat="false" ht="13.15" hidden="false" customHeight="true" outlineLevel="0" collapsed="false">
      <c r="A74" s="70" t="s">
        <v>16</v>
      </c>
      <c r="B74" s="71" t="s">
        <v>17</v>
      </c>
      <c r="C74" s="71" t="s">
        <v>9</v>
      </c>
      <c r="D74" s="72" t="s">
        <v>18</v>
      </c>
      <c r="E74" s="72" t="s">
        <v>19</v>
      </c>
      <c r="F74" s="73" t="s">
        <v>20</v>
      </c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/>
      <c r="CH74" s="94"/>
      <c r="CI74" s="94"/>
      <c r="CJ74" s="94"/>
      <c r="CK74" s="94"/>
      <c r="CL74" s="94"/>
      <c r="CM74" s="94"/>
      <c r="CN74" s="94"/>
      <c r="CO74" s="94"/>
      <c r="CP74" s="94"/>
      <c r="CQ74" s="94"/>
      <c r="CR74" s="94"/>
      <c r="CS74" s="94"/>
      <c r="CT74" s="94"/>
      <c r="CU74" s="94"/>
      <c r="CV74" s="94"/>
      <c r="CW74" s="94"/>
      <c r="CX74" s="94"/>
      <c r="CY74" s="94"/>
      <c r="CZ74" s="94"/>
      <c r="DA74" s="94"/>
      <c r="DB74" s="94"/>
      <c r="DC74" s="94"/>
      <c r="DD74" s="94"/>
      <c r="DE74" s="94"/>
      <c r="DF74" s="94"/>
      <c r="DG74" s="94"/>
      <c r="DH74" s="94"/>
      <c r="DI74" s="94"/>
      <c r="DJ74" s="94"/>
      <c r="DK74" s="94"/>
      <c r="DL74" s="94"/>
      <c r="DM74" s="94"/>
      <c r="DN74" s="94"/>
      <c r="DO74" s="94"/>
      <c r="DP74" s="94"/>
      <c r="DQ74" s="94"/>
      <c r="DR74" s="94"/>
      <c r="DS74" s="94"/>
      <c r="DT74" s="94"/>
      <c r="DU74" s="94"/>
      <c r="DV74" s="94"/>
      <c r="DW74" s="94"/>
      <c r="DX74" s="94"/>
      <c r="DY74" s="94"/>
      <c r="DZ74" s="94"/>
      <c r="EA74" s="94"/>
      <c r="EB74" s="94"/>
      <c r="EC74" s="94"/>
      <c r="ED74" s="94"/>
      <c r="EE74" s="94"/>
      <c r="EF74" s="94"/>
      <c r="EG74" s="94"/>
      <c r="EH74" s="94"/>
      <c r="EI74" s="94"/>
      <c r="EJ74" s="94"/>
      <c r="EK74" s="94"/>
      <c r="EL74" s="94"/>
      <c r="EM74" s="94"/>
      <c r="EN74" s="94"/>
      <c r="EO74" s="94"/>
      <c r="EP74" s="94"/>
      <c r="EQ74" s="94"/>
      <c r="ER74" s="94"/>
      <c r="ES74" s="94"/>
      <c r="ET74" s="94"/>
      <c r="EU74" s="94"/>
      <c r="EV74" s="94"/>
      <c r="EW74" s="94"/>
      <c r="EX74" s="94"/>
      <c r="EY74" s="94"/>
      <c r="EZ74" s="94"/>
      <c r="FA74" s="94"/>
      <c r="FB74" s="94"/>
      <c r="FC74" s="94"/>
      <c r="FD74" s="94"/>
      <c r="FE74" s="94"/>
      <c r="FF74" s="94"/>
      <c r="FG74" s="94"/>
      <c r="FH74" s="94"/>
      <c r="FI74" s="94"/>
      <c r="FJ74" s="94"/>
      <c r="FK74" s="94"/>
      <c r="FL74" s="94"/>
      <c r="FM74" s="94"/>
      <c r="FN74" s="94"/>
      <c r="FO74" s="94"/>
      <c r="FP74" s="94"/>
      <c r="FQ74" s="94"/>
      <c r="FR74" s="94"/>
      <c r="FS74" s="94"/>
      <c r="FT74" s="94"/>
      <c r="FU74" s="94"/>
      <c r="FV74" s="94"/>
      <c r="FW74" s="94"/>
      <c r="FX74" s="94"/>
      <c r="FY74" s="94"/>
      <c r="FZ74" s="94"/>
      <c r="GA74" s="94"/>
      <c r="GB74" s="94"/>
      <c r="GC74" s="94"/>
      <c r="GD74" s="94"/>
      <c r="GE74" s="94"/>
      <c r="GF74" s="94"/>
      <c r="GG74" s="94"/>
      <c r="GH74" s="94"/>
      <c r="GI74" s="94"/>
      <c r="GJ74" s="94"/>
      <c r="GK74" s="94"/>
      <c r="GL74" s="94"/>
      <c r="GM74" s="94"/>
      <c r="GN74" s="94"/>
      <c r="GO74" s="94"/>
      <c r="GP74" s="94"/>
      <c r="GQ74" s="94"/>
      <c r="GR74" s="94"/>
      <c r="GS74" s="94"/>
      <c r="GT74" s="94"/>
      <c r="GU74" s="94"/>
      <c r="GV74" s="94"/>
      <c r="GW74" s="94"/>
      <c r="GX74" s="94"/>
      <c r="GY74" s="94"/>
      <c r="GZ74" s="94"/>
      <c r="HA74" s="94"/>
      <c r="HB74" s="94"/>
      <c r="HC74" s="94"/>
      <c r="HD74" s="94"/>
      <c r="HE74" s="94"/>
      <c r="HF74" s="94"/>
      <c r="HG74" s="94"/>
      <c r="HH74" s="94"/>
      <c r="HI74" s="94"/>
      <c r="HJ74" s="94"/>
      <c r="HK74" s="94"/>
      <c r="HL74" s="94"/>
      <c r="HM74" s="94"/>
      <c r="HN74" s="94"/>
      <c r="HO74" s="94"/>
      <c r="HP74" s="94"/>
      <c r="HQ74" s="94"/>
      <c r="HR74" s="94"/>
      <c r="HS74" s="94"/>
      <c r="HT74" s="94"/>
      <c r="HU74" s="94"/>
      <c r="HV74" s="94"/>
      <c r="HW74" s="94"/>
      <c r="HX74" s="94"/>
      <c r="HY74" s="94"/>
      <c r="HZ74" s="94"/>
      <c r="IA74" s="94"/>
      <c r="IB74" s="94"/>
      <c r="IC74" s="94"/>
      <c r="ID74" s="94"/>
      <c r="IE74" s="94"/>
      <c r="IF74" s="94"/>
      <c r="IG74" s="94"/>
      <c r="IH74" s="94"/>
      <c r="II74" s="94"/>
      <c r="IJ74" s="94"/>
      <c r="IK74" s="94"/>
      <c r="IL74" s="94"/>
      <c r="IM74" s="94"/>
      <c r="IN74" s="94"/>
      <c r="IO74" s="94"/>
      <c r="IP74" s="94"/>
      <c r="IQ74" s="94"/>
      <c r="IR74" s="94"/>
      <c r="IS74" s="94"/>
      <c r="IT74" s="94"/>
      <c r="IU74" s="94"/>
      <c r="IV74" s="94"/>
      <c r="IW74" s="94"/>
      <c r="IX74" s="94"/>
      <c r="IY74" s="94"/>
      <c r="IZ74" s="94"/>
      <c r="JA74" s="94"/>
      <c r="JB74" s="94"/>
      <c r="JC74" s="94"/>
      <c r="JD74" s="94"/>
      <c r="JE74" s="94"/>
      <c r="JF74" s="94"/>
      <c r="JG74" s="94"/>
      <c r="JH74" s="94"/>
      <c r="JI74" s="94"/>
      <c r="JJ74" s="94"/>
      <c r="JK74" s="94"/>
      <c r="JL74" s="94"/>
      <c r="JM74" s="94"/>
      <c r="JN74" s="94"/>
      <c r="JO74" s="94"/>
      <c r="JP74" s="94"/>
      <c r="JQ74" s="94"/>
      <c r="JR74" s="94"/>
      <c r="JS74" s="94"/>
      <c r="JT74" s="94"/>
      <c r="JU74" s="94"/>
      <c r="JV74" s="94"/>
      <c r="JW74" s="94"/>
      <c r="JX74" s="94"/>
      <c r="JY74" s="94"/>
      <c r="JZ74" s="94"/>
      <c r="KA74" s="94"/>
      <c r="KB74" s="94"/>
      <c r="KC74" s="94"/>
      <c r="KD74" s="94"/>
      <c r="KE74" s="94"/>
      <c r="KF74" s="94"/>
      <c r="KG74" s="94"/>
      <c r="KH74" s="94"/>
      <c r="KI74" s="94"/>
      <c r="KJ74" s="94"/>
      <c r="KK74" s="94"/>
      <c r="KL74" s="94"/>
      <c r="KM74" s="94"/>
      <c r="KN74" s="94"/>
      <c r="KO74" s="94"/>
      <c r="KP74" s="94"/>
      <c r="KQ74" s="94"/>
      <c r="KR74" s="94"/>
      <c r="KS74" s="94"/>
      <c r="KT74" s="94"/>
      <c r="KU74" s="94"/>
      <c r="KV74" s="94"/>
      <c r="KW74" s="94"/>
      <c r="KX74" s="94"/>
      <c r="KY74" s="94"/>
      <c r="KZ74" s="94"/>
      <c r="LA74" s="94"/>
      <c r="LB74" s="94"/>
      <c r="LC74" s="94"/>
      <c r="LD74" s="94"/>
      <c r="LE74" s="94"/>
      <c r="LF74" s="94"/>
      <c r="LG74" s="94"/>
      <c r="LH74" s="94"/>
      <c r="LI74" s="94"/>
      <c r="LJ74" s="94"/>
      <c r="LK74" s="94"/>
      <c r="LL74" s="94"/>
      <c r="LM74" s="94"/>
      <c r="LN74" s="94"/>
      <c r="LO74" s="94"/>
      <c r="LP74" s="94"/>
      <c r="LQ74" s="94"/>
      <c r="LR74" s="94"/>
      <c r="LS74" s="94"/>
      <c r="LT74" s="94"/>
      <c r="LU74" s="94"/>
      <c r="LV74" s="94"/>
      <c r="LW74" s="94"/>
      <c r="LX74" s="94"/>
      <c r="LY74" s="94"/>
      <c r="LZ74" s="94"/>
      <c r="MA74" s="94"/>
      <c r="MB74" s="94"/>
      <c r="MC74" s="94"/>
      <c r="MD74" s="94"/>
      <c r="ME74" s="94"/>
      <c r="MF74" s="94"/>
      <c r="MG74" s="94"/>
      <c r="MH74" s="94"/>
      <c r="MI74" s="94"/>
      <c r="MJ74" s="94"/>
      <c r="MK74" s="94"/>
      <c r="ML74" s="94"/>
      <c r="MM74" s="94"/>
      <c r="MN74" s="94"/>
      <c r="MO74" s="94"/>
      <c r="MP74" s="94"/>
      <c r="MQ74" s="94"/>
      <c r="MR74" s="94"/>
      <c r="MS74" s="94"/>
      <c r="MT74" s="94"/>
      <c r="MU74" s="94"/>
      <c r="MV74" s="94"/>
      <c r="MW74" s="94"/>
      <c r="MX74" s="94"/>
      <c r="MY74" s="94"/>
      <c r="MZ74" s="94"/>
      <c r="NA74" s="94"/>
      <c r="NB74" s="94"/>
      <c r="NC74" s="94"/>
      <c r="ND74" s="94"/>
      <c r="NE74" s="94"/>
      <c r="NF74" s="94"/>
      <c r="NG74" s="94"/>
      <c r="NH74" s="94"/>
      <c r="NI74" s="94"/>
      <c r="NJ74" s="94"/>
      <c r="NK74" s="94"/>
      <c r="NL74" s="94"/>
      <c r="NM74" s="94"/>
      <c r="NN74" s="94"/>
      <c r="NO74" s="94"/>
      <c r="NP74" s="94"/>
      <c r="NQ74" s="94"/>
      <c r="NR74" s="94"/>
      <c r="NS74" s="94"/>
      <c r="NT74" s="94"/>
      <c r="NU74" s="94"/>
      <c r="NV74" s="94"/>
      <c r="NW74" s="94"/>
      <c r="NX74" s="94"/>
      <c r="NY74" s="94"/>
      <c r="NZ74" s="94"/>
      <c r="OA74" s="94"/>
      <c r="OB74" s="94"/>
      <c r="OC74" s="94"/>
      <c r="OD74" s="94"/>
      <c r="OE74" s="94"/>
      <c r="OF74" s="94"/>
      <c r="OG74" s="94"/>
      <c r="OH74" s="94"/>
      <c r="OI74" s="94"/>
      <c r="OJ74" s="94"/>
      <c r="OK74" s="94"/>
      <c r="OL74" s="94"/>
      <c r="OM74" s="94"/>
      <c r="ON74" s="94"/>
      <c r="OO74" s="94"/>
      <c r="OP74" s="94"/>
      <c r="OQ74" s="94"/>
      <c r="OR74" s="94"/>
      <c r="OS74" s="94"/>
      <c r="OT74" s="94"/>
      <c r="OU74" s="94"/>
      <c r="OV74" s="94"/>
      <c r="OW74" s="94"/>
      <c r="OX74" s="94"/>
      <c r="OY74" s="94"/>
      <c r="OZ74" s="94"/>
      <c r="PA74" s="94"/>
      <c r="PB74" s="94"/>
      <c r="PC74" s="94"/>
      <c r="PD74" s="94"/>
      <c r="PE74" s="94"/>
      <c r="PF74" s="94"/>
      <c r="PG74" s="94"/>
      <c r="PH74" s="94"/>
      <c r="PI74" s="94"/>
      <c r="PJ74" s="94"/>
      <c r="PK74" s="94"/>
      <c r="PL74" s="94"/>
      <c r="PM74" s="94"/>
      <c r="PN74" s="94"/>
      <c r="PO74" s="94"/>
      <c r="PP74" s="94"/>
      <c r="PQ74" s="94"/>
      <c r="PR74" s="94"/>
      <c r="PS74" s="94"/>
      <c r="PT74" s="94"/>
      <c r="PU74" s="94"/>
      <c r="PV74" s="94"/>
      <c r="PW74" s="94"/>
      <c r="PX74" s="94"/>
      <c r="PY74" s="94"/>
      <c r="PZ74" s="94"/>
      <c r="QA74" s="94"/>
      <c r="QB74" s="94"/>
      <c r="QC74" s="94"/>
      <c r="QD74" s="94"/>
      <c r="QE74" s="94"/>
      <c r="QF74" s="94"/>
      <c r="QG74" s="94"/>
      <c r="QH74" s="94"/>
      <c r="QI74" s="94"/>
      <c r="QJ74" s="94"/>
      <c r="QK74" s="94"/>
      <c r="QL74" s="94"/>
      <c r="QM74" s="94"/>
      <c r="QN74" s="94"/>
      <c r="QO74" s="94"/>
      <c r="QP74" s="94"/>
      <c r="QQ74" s="94"/>
      <c r="QR74" s="94"/>
      <c r="QS74" s="94"/>
      <c r="QT74" s="94"/>
      <c r="QU74" s="94"/>
      <c r="QV74" s="94"/>
      <c r="QW74" s="94"/>
      <c r="QX74" s="94"/>
      <c r="QY74" s="94"/>
      <c r="QZ74" s="94"/>
      <c r="RA74" s="94"/>
      <c r="RB74" s="94"/>
      <c r="RC74" s="94"/>
      <c r="RD74" s="94"/>
      <c r="RE74" s="94"/>
      <c r="RF74" s="94"/>
      <c r="RG74" s="94"/>
      <c r="RH74" s="94"/>
      <c r="RI74" s="94"/>
      <c r="RJ74" s="94"/>
      <c r="RK74" s="94"/>
      <c r="RL74" s="94"/>
      <c r="RM74" s="94"/>
      <c r="RN74" s="94"/>
      <c r="RO74" s="94"/>
      <c r="RP74" s="94"/>
      <c r="RQ74" s="94"/>
      <c r="RR74" s="94"/>
      <c r="RS74" s="94"/>
      <c r="RT74" s="94"/>
      <c r="RU74" s="94"/>
      <c r="RV74" s="94"/>
      <c r="RW74" s="94"/>
      <c r="RX74" s="94"/>
      <c r="RY74" s="94"/>
      <c r="RZ74" s="94"/>
      <c r="SA74" s="94"/>
      <c r="SB74" s="94"/>
      <c r="SC74" s="94"/>
      <c r="SD74" s="94"/>
      <c r="SE74" s="94"/>
      <c r="SF74" s="94"/>
      <c r="SG74" s="94"/>
      <c r="SH74" s="94"/>
      <c r="SI74" s="94"/>
      <c r="SJ74" s="94"/>
      <c r="SK74" s="94"/>
      <c r="SL74" s="94"/>
      <c r="SM74" s="94"/>
      <c r="SN74" s="94"/>
      <c r="SO74" s="94"/>
      <c r="SP74" s="94"/>
      <c r="SQ74" s="94"/>
      <c r="SR74" s="94"/>
      <c r="SS74" s="94"/>
      <c r="ST74" s="94"/>
      <c r="SU74" s="94"/>
      <c r="SV74" s="94"/>
      <c r="SW74" s="94"/>
      <c r="SX74" s="94"/>
      <c r="SY74" s="94"/>
      <c r="SZ74" s="94"/>
      <c r="TA74" s="94"/>
      <c r="TB74" s="94"/>
      <c r="TC74" s="94"/>
      <c r="TD74" s="94"/>
      <c r="TE74" s="94"/>
      <c r="TF74" s="94"/>
      <c r="TG74" s="94"/>
      <c r="TH74" s="94"/>
      <c r="TI74" s="94"/>
      <c r="TJ74" s="94"/>
      <c r="TK74" s="94"/>
      <c r="TL74" s="94"/>
      <c r="TM74" s="94"/>
      <c r="TN74" s="94"/>
      <c r="TO74" s="94"/>
      <c r="TP74" s="94"/>
      <c r="TQ74" s="94"/>
      <c r="TR74" s="94"/>
      <c r="TS74" s="94"/>
      <c r="TT74" s="94"/>
      <c r="TU74" s="94"/>
      <c r="TV74" s="94"/>
      <c r="TW74" s="94"/>
      <c r="TX74" s="94"/>
      <c r="TY74" s="94"/>
      <c r="TZ74" s="94"/>
      <c r="UA74" s="94"/>
      <c r="UB74" s="94"/>
      <c r="UC74" s="94"/>
      <c r="UD74" s="94"/>
      <c r="UE74" s="94"/>
      <c r="UF74" s="94"/>
      <c r="UG74" s="94"/>
      <c r="UH74" s="94"/>
      <c r="UI74" s="94"/>
      <c r="UJ74" s="94"/>
      <c r="UK74" s="94"/>
      <c r="UL74" s="94"/>
      <c r="UM74" s="94"/>
      <c r="UN74" s="94"/>
      <c r="UO74" s="94"/>
      <c r="UP74" s="94"/>
      <c r="UQ74" s="94"/>
      <c r="UR74" s="94"/>
      <c r="US74" s="94"/>
      <c r="UT74" s="94"/>
      <c r="UU74" s="94"/>
      <c r="UV74" s="94"/>
      <c r="UW74" s="94"/>
      <c r="UX74" s="94"/>
      <c r="UY74" s="94"/>
      <c r="UZ74" s="94"/>
      <c r="VA74" s="94"/>
      <c r="VB74" s="94"/>
      <c r="VC74" s="94"/>
      <c r="VD74" s="94"/>
      <c r="VE74" s="94"/>
      <c r="VF74" s="94"/>
      <c r="VG74" s="94"/>
      <c r="VH74" s="94"/>
      <c r="VI74" s="94"/>
      <c r="VJ74" s="94"/>
      <c r="VK74" s="94"/>
      <c r="VL74" s="94"/>
      <c r="VM74" s="94"/>
      <c r="VN74" s="94"/>
      <c r="VO74" s="94"/>
      <c r="VP74" s="94"/>
      <c r="VQ74" s="94"/>
      <c r="VR74" s="94"/>
      <c r="VS74" s="94"/>
      <c r="VT74" s="94"/>
      <c r="VU74" s="94"/>
      <c r="VV74" s="94"/>
      <c r="VW74" s="94"/>
      <c r="VX74" s="94"/>
      <c r="VY74" s="94"/>
      <c r="VZ74" s="94"/>
      <c r="WA74" s="94"/>
      <c r="WB74" s="94"/>
      <c r="WC74" s="94"/>
      <c r="WD74" s="94"/>
      <c r="WE74" s="94"/>
      <c r="WF74" s="94"/>
      <c r="WG74" s="94"/>
      <c r="WH74" s="94"/>
      <c r="WI74" s="94"/>
      <c r="WJ74" s="94"/>
      <c r="WK74" s="94"/>
      <c r="WL74" s="94"/>
      <c r="WM74" s="94"/>
      <c r="WN74" s="94"/>
      <c r="WO74" s="94"/>
      <c r="WP74" s="94"/>
      <c r="WQ74" s="94"/>
      <c r="WR74" s="94"/>
      <c r="WS74" s="94"/>
      <c r="WT74" s="94"/>
      <c r="WU74" s="94"/>
      <c r="WV74" s="94"/>
      <c r="WW74" s="94"/>
      <c r="WX74" s="94"/>
      <c r="WY74" s="94"/>
      <c r="WZ74" s="94"/>
      <c r="XA74" s="94"/>
      <c r="XB74" s="94"/>
      <c r="XC74" s="94"/>
      <c r="XD74" s="94"/>
      <c r="XE74" s="94"/>
      <c r="XF74" s="94"/>
      <c r="XG74" s="94"/>
      <c r="XH74" s="94"/>
      <c r="XI74" s="94"/>
      <c r="XJ74" s="94"/>
      <c r="XK74" s="94"/>
      <c r="XL74" s="94"/>
      <c r="XM74" s="94"/>
      <c r="XN74" s="94"/>
      <c r="XO74" s="94"/>
      <c r="XP74" s="94"/>
      <c r="XQ74" s="94"/>
      <c r="XR74" s="94"/>
      <c r="XS74" s="94"/>
      <c r="XT74" s="94"/>
      <c r="XU74" s="94"/>
      <c r="XV74" s="94"/>
      <c r="XW74" s="94"/>
      <c r="XX74" s="94"/>
      <c r="XY74" s="94"/>
      <c r="XZ74" s="94"/>
      <c r="YA74" s="94"/>
      <c r="YB74" s="94"/>
      <c r="YC74" s="94"/>
      <c r="YD74" s="94"/>
      <c r="YE74" s="94"/>
      <c r="YF74" s="94"/>
      <c r="YG74" s="94"/>
      <c r="YH74" s="94"/>
      <c r="YI74" s="94"/>
      <c r="YJ74" s="94"/>
      <c r="YK74" s="94"/>
      <c r="YL74" s="94"/>
      <c r="YM74" s="94"/>
      <c r="YN74" s="94"/>
      <c r="YO74" s="94"/>
      <c r="YP74" s="94"/>
      <c r="YQ74" s="94"/>
      <c r="YR74" s="94"/>
      <c r="YS74" s="94"/>
      <c r="YT74" s="94"/>
      <c r="YU74" s="94"/>
      <c r="YV74" s="94"/>
      <c r="YW74" s="94"/>
      <c r="YX74" s="94"/>
      <c r="YY74" s="94"/>
      <c r="YZ74" s="94"/>
      <c r="ZA74" s="94"/>
      <c r="ZB74" s="94"/>
      <c r="ZC74" s="94"/>
      <c r="ZD74" s="94"/>
      <c r="ZE74" s="94"/>
      <c r="ZF74" s="94"/>
      <c r="ZG74" s="94"/>
      <c r="ZH74" s="94"/>
      <c r="ZI74" s="94"/>
      <c r="ZJ74" s="94"/>
      <c r="ZK74" s="94"/>
      <c r="ZL74" s="94"/>
      <c r="ZM74" s="94"/>
      <c r="ZN74" s="94"/>
      <c r="ZO74" s="94"/>
      <c r="ZP74" s="94"/>
      <c r="ZQ74" s="94"/>
      <c r="ZR74" s="94"/>
      <c r="ZS74" s="94"/>
      <c r="ZT74" s="94"/>
      <c r="ZU74" s="94"/>
      <c r="ZV74" s="94"/>
      <c r="ZW74" s="94"/>
      <c r="ZX74" s="94"/>
      <c r="ZY74" s="94"/>
      <c r="ZZ74" s="94"/>
      <c r="AAA74" s="94"/>
      <c r="AAB74" s="94"/>
      <c r="AAC74" s="94"/>
      <c r="AAD74" s="94"/>
      <c r="AAE74" s="94"/>
      <c r="AAF74" s="94"/>
      <c r="AAG74" s="94"/>
      <c r="AAH74" s="94"/>
      <c r="AAI74" s="94"/>
      <c r="AAJ74" s="94"/>
      <c r="AAK74" s="94"/>
      <c r="AAL74" s="94"/>
      <c r="AAM74" s="94"/>
      <c r="AAN74" s="94"/>
      <c r="AAO74" s="94"/>
      <c r="AAP74" s="94"/>
      <c r="AAQ74" s="94"/>
      <c r="AAR74" s="94"/>
      <c r="AAS74" s="94"/>
      <c r="AAT74" s="94"/>
      <c r="AAU74" s="94"/>
      <c r="AAV74" s="94"/>
      <c r="AAW74" s="94"/>
      <c r="AAX74" s="94"/>
      <c r="AAY74" s="94"/>
      <c r="AAZ74" s="94"/>
      <c r="ABA74" s="94"/>
      <c r="ABB74" s="94"/>
      <c r="ABC74" s="94"/>
      <c r="ABD74" s="94"/>
      <c r="ABE74" s="94"/>
      <c r="ABF74" s="94"/>
      <c r="ABG74" s="94"/>
      <c r="ABH74" s="94"/>
      <c r="ABI74" s="94"/>
      <c r="ABJ74" s="94"/>
      <c r="ABK74" s="94"/>
      <c r="ABL74" s="94"/>
      <c r="ABM74" s="94"/>
      <c r="ABN74" s="94"/>
      <c r="ABO74" s="94"/>
      <c r="ABP74" s="94"/>
      <c r="ABQ74" s="94"/>
      <c r="ABR74" s="94"/>
      <c r="ABS74" s="94"/>
      <c r="ABT74" s="94"/>
      <c r="ABU74" s="94"/>
      <c r="ABV74" s="94"/>
      <c r="ABW74" s="94"/>
      <c r="ABX74" s="94"/>
      <c r="ABY74" s="94"/>
      <c r="ABZ74" s="94"/>
      <c r="ACA74" s="94"/>
      <c r="ACB74" s="94"/>
      <c r="ACC74" s="94"/>
      <c r="ACD74" s="94"/>
      <c r="ACE74" s="94"/>
      <c r="ACF74" s="94"/>
      <c r="ACG74" s="94"/>
      <c r="ACH74" s="94"/>
      <c r="ACI74" s="94"/>
      <c r="ACJ74" s="94"/>
      <c r="ACK74" s="94"/>
      <c r="ACL74" s="94"/>
      <c r="ACM74" s="94"/>
      <c r="ACN74" s="94"/>
      <c r="ACO74" s="94"/>
      <c r="ACP74" s="94"/>
      <c r="ACQ74" s="94"/>
      <c r="ACR74" s="94"/>
      <c r="ACS74" s="94"/>
      <c r="ACT74" s="94"/>
      <c r="ACU74" s="94"/>
      <c r="ACV74" s="94"/>
      <c r="ACW74" s="94"/>
      <c r="ACX74" s="94"/>
      <c r="ACY74" s="94"/>
      <c r="ACZ74" s="94"/>
      <c r="ADA74" s="94"/>
      <c r="ADB74" s="94"/>
      <c r="ADC74" s="94"/>
      <c r="ADD74" s="94"/>
      <c r="ADE74" s="94"/>
      <c r="ADF74" s="94"/>
      <c r="ADG74" s="94"/>
      <c r="ADH74" s="94"/>
      <c r="ADI74" s="94"/>
      <c r="ADJ74" s="94"/>
      <c r="ADK74" s="94"/>
      <c r="ADL74" s="94"/>
      <c r="ADM74" s="94"/>
      <c r="ADN74" s="94"/>
      <c r="ADO74" s="94"/>
      <c r="ADP74" s="94"/>
      <c r="ADQ74" s="94"/>
      <c r="ADR74" s="94"/>
      <c r="ADS74" s="94"/>
      <c r="ADT74" s="94"/>
      <c r="ADU74" s="94"/>
      <c r="ADV74" s="94"/>
      <c r="ADW74" s="94"/>
      <c r="ADX74" s="94"/>
      <c r="ADY74" s="94"/>
      <c r="ADZ74" s="94"/>
      <c r="AEA74" s="94"/>
      <c r="AEB74" s="94"/>
      <c r="AEC74" s="94"/>
      <c r="AED74" s="94"/>
      <c r="AEE74" s="94"/>
      <c r="AEF74" s="94"/>
      <c r="AEG74" s="94"/>
      <c r="AEH74" s="94"/>
      <c r="AEI74" s="94"/>
      <c r="AEJ74" s="94"/>
      <c r="AEK74" s="94"/>
      <c r="AEL74" s="94"/>
      <c r="AEM74" s="94"/>
      <c r="AEN74" s="94"/>
      <c r="AEO74" s="94"/>
      <c r="AEP74" s="94"/>
      <c r="AEQ74" s="94"/>
      <c r="AER74" s="94"/>
      <c r="AES74" s="94"/>
      <c r="AET74" s="94"/>
      <c r="AEU74" s="94"/>
      <c r="AEV74" s="94"/>
      <c r="AEW74" s="94"/>
      <c r="AEX74" s="94"/>
      <c r="AEY74" s="94"/>
      <c r="AEZ74" s="94"/>
      <c r="AFA74" s="94"/>
      <c r="AFB74" s="94"/>
      <c r="AFC74" s="94"/>
      <c r="AFD74" s="94"/>
      <c r="AFE74" s="94"/>
      <c r="AFF74" s="94"/>
      <c r="AFG74" s="94"/>
      <c r="AFH74" s="94"/>
      <c r="AFI74" s="94"/>
      <c r="AFJ74" s="94"/>
      <c r="AFK74" s="94"/>
      <c r="AFL74" s="94"/>
      <c r="AFM74" s="94"/>
      <c r="AFN74" s="94"/>
      <c r="AFO74" s="94"/>
      <c r="AFP74" s="94"/>
      <c r="AFQ74" s="94"/>
      <c r="AFR74" s="94"/>
      <c r="AFS74" s="94"/>
      <c r="AFT74" s="94"/>
      <c r="AFU74" s="94"/>
      <c r="AFV74" s="94"/>
      <c r="AFW74" s="94"/>
      <c r="AFX74" s="94"/>
      <c r="AFY74" s="94"/>
      <c r="AFZ74" s="94"/>
      <c r="AGA74" s="94"/>
      <c r="AGB74" s="94"/>
      <c r="AGC74" s="94"/>
      <c r="AGD74" s="94"/>
      <c r="AGE74" s="94"/>
      <c r="AGF74" s="94"/>
      <c r="AGG74" s="94"/>
      <c r="AGH74" s="94"/>
      <c r="AGI74" s="94"/>
      <c r="AGJ74" s="94"/>
      <c r="AGK74" s="94"/>
      <c r="AGL74" s="94"/>
      <c r="AGM74" s="94"/>
      <c r="AGN74" s="94"/>
      <c r="AGO74" s="94"/>
      <c r="AGP74" s="94"/>
      <c r="AGQ74" s="94"/>
      <c r="AGR74" s="94"/>
      <c r="AGS74" s="94"/>
      <c r="AGT74" s="94"/>
      <c r="AGU74" s="94"/>
      <c r="AGV74" s="94"/>
      <c r="AGW74" s="94"/>
      <c r="AGX74" s="94"/>
      <c r="AGY74" s="94"/>
      <c r="AGZ74" s="94"/>
      <c r="AHA74" s="94"/>
      <c r="AHB74" s="94"/>
      <c r="AHC74" s="94"/>
      <c r="AHD74" s="94"/>
      <c r="AHE74" s="94"/>
      <c r="AHF74" s="94"/>
      <c r="AHG74" s="94"/>
      <c r="AHH74" s="94"/>
      <c r="AHI74" s="94"/>
      <c r="AHJ74" s="94"/>
      <c r="AHK74" s="94"/>
      <c r="AHL74" s="94"/>
      <c r="AHM74" s="94"/>
      <c r="AHN74" s="94"/>
      <c r="AHO74" s="94"/>
      <c r="AHP74" s="94"/>
      <c r="AHQ74" s="94"/>
      <c r="AHR74" s="94"/>
      <c r="AHS74" s="94"/>
      <c r="AHT74" s="94"/>
      <c r="AHU74" s="94"/>
      <c r="AHV74" s="94"/>
      <c r="AHW74" s="94"/>
      <c r="AHX74" s="94"/>
      <c r="AHY74" s="94"/>
      <c r="AHZ74" s="94"/>
      <c r="AIA74" s="94"/>
      <c r="AIB74" s="94"/>
      <c r="AIC74" s="94"/>
      <c r="AID74" s="94"/>
      <c r="AIE74" s="94"/>
      <c r="AIF74" s="94"/>
      <c r="AIG74" s="94"/>
      <c r="AIH74" s="94"/>
      <c r="AII74" s="94"/>
      <c r="AIJ74" s="94"/>
      <c r="AIK74" s="94"/>
      <c r="AIL74" s="94"/>
      <c r="AIM74" s="94"/>
      <c r="AIN74" s="94"/>
      <c r="AIO74" s="94"/>
      <c r="AIP74" s="94"/>
      <c r="AIQ74" s="94"/>
      <c r="AIR74" s="94"/>
      <c r="AIS74" s="94"/>
      <c r="AIT74" s="94"/>
      <c r="AIU74" s="94"/>
      <c r="AIV74" s="94"/>
      <c r="AIW74" s="94"/>
      <c r="AIX74" s="94"/>
      <c r="AIY74" s="94"/>
      <c r="AIZ74" s="94"/>
      <c r="AJA74" s="94"/>
      <c r="AJB74" s="94"/>
      <c r="AJC74" s="94"/>
      <c r="AJD74" s="94"/>
      <c r="AJE74" s="94"/>
      <c r="AJF74" s="94"/>
      <c r="AJG74" s="94"/>
      <c r="AJH74" s="94"/>
      <c r="AJI74" s="94"/>
      <c r="AJJ74" s="94"/>
      <c r="AJK74" s="94"/>
      <c r="AJL74" s="94"/>
      <c r="AJM74" s="94"/>
      <c r="AJN74" s="94"/>
      <c r="AJO74" s="94"/>
      <c r="AJP74" s="94"/>
      <c r="AJQ74" s="94"/>
      <c r="AJR74" s="94"/>
      <c r="AJS74" s="94"/>
      <c r="AJT74" s="94"/>
      <c r="AJU74" s="94"/>
      <c r="AJV74" s="94"/>
      <c r="AJW74" s="94"/>
      <c r="AJX74" s="94"/>
      <c r="AJY74" s="94"/>
      <c r="AJZ74" s="94"/>
      <c r="AKA74" s="94"/>
      <c r="AKB74" s="94"/>
      <c r="AKC74" s="94"/>
      <c r="AKD74" s="94"/>
      <c r="AKE74" s="94"/>
      <c r="AKF74" s="94"/>
      <c r="AKG74" s="94"/>
      <c r="AKH74" s="94"/>
      <c r="AKI74" s="94"/>
      <c r="AKJ74" s="94"/>
      <c r="AKK74" s="94"/>
      <c r="AKL74" s="94"/>
      <c r="AKM74" s="94"/>
      <c r="AKN74" s="94"/>
      <c r="AKO74" s="94"/>
      <c r="AKP74" s="94"/>
      <c r="AKQ74" s="94"/>
      <c r="AKR74" s="94"/>
      <c r="AKS74" s="94"/>
      <c r="AKT74" s="94"/>
      <c r="AKU74" s="94"/>
      <c r="AKV74" s="94"/>
      <c r="AKW74" s="94"/>
      <c r="AKX74" s="94"/>
      <c r="AKY74" s="94"/>
      <c r="AKZ74" s="94"/>
      <c r="ALA74" s="94"/>
      <c r="ALB74" s="94"/>
      <c r="ALC74" s="94"/>
      <c r="ALD74" s="94"/>
      <c r="ALE74" s="94"/>
      <c r="ALF74" s="94"/>
      <c r="ALG74" s="94"/>
      <c r="ALH74" s="94"/>
      <c r="ALI74" s="94"/>
      <c r="ALJ74" s="94"/>
      <c r="ALK74" s="94"/>
      <c r="ALL74" s="94"/>
      <c r="ALM74" s="94"/>
      <c r="ALN74" s="94"/>
      <c r="ALO74" s="94"/>
      <c r="ALP74" s="94"/>
      <c r="ALQ74" s="94"/>
      <c r="ALR74" s="94"/>
      <c r="ALS74" s="94"/>
      <c r="ALT74" s="94"/>
      <c r="ALU74" s="94"/>
      <c r="ALV74" s="94"/>
      <c r="ALW74" s="94"/>
      <c r="ALX74" s="94"/>
      <c r="ALY74" s="94"/>
      <c r="ALZ74" s="94"/>
      <c r="AMA74" s="94"/>
      <c r="AMB74" s="94"/>
      <c r="AMC74" s="94"/>
      <c r="AMD74" s="94"/>
      <c r="AME74" s="94"/>
      <c r="AMF74" s="94"/>
      <c r="AMG74" s="94"/>
      <c r="AMH74" s="94"/>
      <c r="AMI74" s="94"/>
      <c r="AMJ74" s="94"/>
    </row>
    <row r="75" customFormat="false" ht="12.8" hidden="false" customHeight="false" outlineLevel="0" collapsed="false">
      <c r="A75" s="74" t="s">
        <v>43</v>
      </c>
      <c r="B75" s="75" t="s">
        <v>22</v>
      </c>
      <c r="C75" s="75" t="n">
        <v>1</v>
      </c>
      <c r="D75" s="76" t="n">
        <f aca="false">'VALORES BASE'!B2</f>
        <v>2827</v>
      </c>
      <c r="E75" s="77" t="n">
        <f aca="false">C75*D75</f>
        <v>2827</v>
      </c>
    </row>
    <row r="76" customFormat="false" ht="12.8" hidden="false" customHeight="false" outlineLevel="0" collapsed="false">
      <c r="A76" s="74" t="s">
        <v>44</v>
      </c>
      <c r="B76" s="75" t="s">
        <v>22</v>
      </c>
      <c r="C76" s="75" t="n">
        <v>1</v>
      </c>
      <c r="D76" s="76" t="n">
        <f aca="false">'VALORES BASE'!B40</f>
        <v>1621</v>
      </c>
      <c r="E76" s="77"/>
    </row>
    <row r="77" customFormat="false" ht="12.8" hidden="false" customHeight="false" outlineLevel="0" collapsed="false">
      <c r="A77" s="78" t="s">
        <v>23</v>
      </c>
      <c r="B77" s="79" t="s">
        <v>24</v>
      </c>
      <c r="C77" s="80" t="n">
        <f aca="false">'VALORES BASE'!B58</f>
        <v>7.92</v>
      </c>
      <c r="D77" s="81" t="n">
        <f aca="false">D75/220*2</f>
        <v>25.7</v>
      </c>
      <c r="E77" s="81" t="n">
        <f aca="false">C77*D77</f>
        <v>203.544</v>
      </c>
    </row>
    <row r="78" customFormat="false" ht="12.8" hidden="false" customHeight="false" outlineLevel="0" collapsed="false">
      <c r="A78" s="78" t="s">
        <v>25</v>
      </c>
      <c r="B78" s="79" t="s">
        <v>24</v>
      </c>
      <c r="C78" s="80"/>
      <c r="D78" s="81" t="n">
        <f aca="false">D75/220*1.5</f>
        <v>19.275</v>
      </c>
      <c r="E78" s="81" t="n">
        <f aca="false">C78*D78</f>
        <v>0</v>
      </c>
    </row>
    <row r="79" customFormat="false" ht="13.15" hidden="false" customHeight="true" outlineLevel="0" collapsed="false">
      <c r="A79" s="78" t="s">
        <v>26</v>
      </c>
      <c r="B79" s="79" t="s">
        <v>27</v>
      </c>
      <c r="D79" s="81" t="n">
        <f aca="false">63/302*(SUM(E77:E78))</f>
        <v>42.4611655629139</v>
      </c>
      <c r="E79" s="81" t="n">
        <f aca="false">D79</f>
        <v>42.4611655629139</v>
      </c>
    </row>
    <row r="80" customFormat="false" ht="12.8" hidden="false" customHeight="false" outlineLevel="0" collapsed="false">
      <c r="A80" s="78" t="s">
        <v>45</v>
      </c>
      <c r="B80" s="79"/>
      <c r="C80" s="87" t="n">
        <v>1</v>
      </c>
      <c r="D80" s="81"/>
      <c r="E80" s="81"/>
    </row>
    <row r="81" customFormat="false" ht="12.8" hidden="false" customHeight="false" outlineLevel="0" collapsed="false">
      <c r="A81" s="78" t="s">
        <v>28</v>
      </c>
      <c r="B81" s="79" t="s">
        <v>5</v>
      </c>
      <c r="C81" s="92" t="n">
        <v>40</v>
      </c>
      <c r="D81" s="81" t="n">
        <f aca="false">IF(C80=2,SUM(E75:E79),IF(C80=1,(SUM(E75:E79))*D76/D75,0))</f>
        <v>1762.05920529801</v>
      </c>
      <c r="E81" s="81" t="n">
        <f aca="false">C81*D81/100</f>
        <v>704.823682119205</v>
      </c>
    </row>
    <row r="82" customFormat="false" ht="12.8" hidden="false" customHeight="false" outlineLevel="0" collapsed="false">
      <c r="A82" s="95" t="s">
        <v>29</v>
      </c>
      <c r="B82" s="83"/>
      <c r="C82" s="83"/>
      <c r="D82" s="84"/>
      <c r="E82" s="96" t="n">
        <f aca="false">SUM(E75:E81)</f>
        <v>3777.82884768212</v>
      </c>
      <c r="F82" s="25"/>
      <c r="G82" s="25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</row>
    <row r="83" customFormat="false" ht="12.8" hidden="false" customHeight="false" outlineLevel="0" collapsed="false">
      <c r="A83" s="78" t="s">
        <v>30</v>
      </c>
      <c r="B83" s="79" t="s">
        <v>5</v>
      </c>
      <c r="C83" s="86" t="n">
        <f aca="false">'2.Encargos Sociais'!$C$31*100</f>
        <v>70.595952</v>
      </c>
      <c r="D83" s="81" t="n">
        <f aca="false">E82</f>
        <v>3777.82884768212</v>
      </c>
      <c r="E83" s="81" t="n">
        <f aca="false">D83*C83/100</f>
        <v>2666.99423995182</v>
      </c>
    </row>
    <row r="84" customFormat="false" ht="12.8" hidden="false" customHeight="false" outlineLevel="0" collapsed="false">
      <c r="A84" s="95" t="s">
        <v>46</v>
      </c>
      <c r="B84" s="97"/>
      <c r="C84" s="97"/>
      <c r="D84" s="98"/>
      <c r="E84" s="96" t="n">
        <f aca="false">E82+E83</f>
        <v>6444.82308763394</v>
      </c>
      <c r="F84" s="25"/>
      <c r="G84" s="25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</row>
    <row r="85" customFormat="false" ht="12.8" hidden="false" customHeight="false" outlineLevel="0" collapsed="false">
      <c r="A85" s="78" t="s">
        <v>32</v>
      </c>
      <c r="B85" s="79" t="s">
        <v>33</v>
      </c>
      <c r="C85" s="87" t="n">
        <f aca="false">E29</f>
        <v>3</v>
      </c>
      <c r="D85" s="81" t="n">
        <f aca="false">E84</f>
        <v>6444.82308763394</v>
      </c>
      <c r="E85" s="81" t="n">
        <f aca="false">C85*D85</f>
        <v>19334.4692629018</v>
      </c>
    </row>
    <row r="86" customFormat="false" ht="12.8" hidden="false" customHeight="false" outlineLevel="0" collapsed="false">
      <c r="D86" s="88" t="s">
        <v>34</v>
      </c>
      <c r="E86" s="89" t="n">
        <f aca="false">'FATOR FU_OFICIAL'!F19</f>
        <v>1</v>
      </c>
      <c r="F86" s="90" t="n">
        <f aca="false">E85*E86</f>
        <v>19334.4692629018</v>
      </c>
    </row>
    <row r="87" customFormat="false" ht="11.25" hidden="false" customHeight="true" outlineLevel="0" collapsed="false"/>
    <row r="88" customFormat="false" ht="11.25" hidden="true" customHeight="true" outlineLevel="0" collapsed="false">
      <c r="A88" s="69" t="s">
        <v>219</v>
      </c>
    </row>
    <row r="89" customFormat="false" ht="11.25" hidden="true" customHeight="true" outlineLevel="0" collapsed="false">
      <c r="A89" s="70" t="s">
        <v>16</v>
      </c>
      <c r="B89" s="71" t="s">
        <v>17</v>
      </c>
      <c r="C89" s="71" t="s">
        <v>9</v>
      </c>
      <c r="D89" s="72" t="s">
        <v>18</v>
      </c>
      <c r="E89" s="72" t="s">
        <v>19</v>
      </c>
      <c r="F89" s="73" t="s">
        <v>20</v>
      </c>
    </row>
    <row r="90" customFormat="false" ht="11.25" hidden="true" customHeight="true" outlineLevel="0" collapsed="false">
      <c r="A90" s="74" t="s">
        <v>43</v>
      </c>
      <c r="B90" s="75" t="s">
        <v>22</v>
      </c>
      <c r="C90" s="99" t="n">
        <v>1</v>
      </c>
      <c r="D90" s="76" t="n">
        <f aca="false">'VALORES BASE'!B2</f>
        <v>2827</v>
      </c>
      <c r="E90" s="77" t="n">
        <f aca="false">C90*D90</f>
        <v>2827</v>
      </c>
    </row>
    <row r="91" customFormat="false" ht="11.25" hidden="true" customHeight="true" outlineLevel="0" collapsed="false">
      <c r="A91" s="74" t="s">
        <v>44</v>
      </c>
      <c r="B91" s="75" t="s">
        <v>22</v>
      </c>
      <c r="C91" s="75" t="n">
        <v>1</v>
      </c>
      <c r="D91" s="76" t="n">
        <f aca="false">'VALORES BASE'!B40</f>
        <v>1621</v>
      </c>
      <c r="E91" s="77"/>
    </row>
    <row r="92" customFormat="false" ht="11.25" hidden="true" customHeight="true" outlineLevel="0" collapsed="false">
      <c r="A92" s="78" t="s">
        <v>23</v>
      </c>
      <c r="B92" s="79" t="s">
        <v>24</v>
      </c>
      <c r="C92" s="80" t="n">
        <f aca="false">'VALORES BASE'!B58</f>
        <v>7.92</v>
      </c>
      <c r="D92" s="81" t="n">
        <f aca="false">D90/220*2</f>
        <v>25.7</v>
      </c>
      <c r="E92" s="81" t="n">
        <f aca="false">C92*D92</f>
        <v>203.544</v>
      </c>
    </row>
    <row r="93" customFormat="false" ht="11.25" hidden="true" customHeight="true" outlineLevel="0" collapsed="false">
      <c r="A93" s="78" t="s">
        <v>25</v>
      </c>
      <c r="B93" s="79" t="s">
        <v>24</v>
      </c>
      <c r="C93" s="80"/>
      <c r="D93" s="81" t="n">
        <f aca="false">D90/220*1.5</f>
        <v>19.275</v>
      </c>
      <c r="E93" s="81" t="n">
        <f aca="false">C93*D93</f>
        <v>0</v>
      </c>
    </row>
    <row r="94" customFormat="false" ht="11.25" hidden="true" customHeight="true" outlineLevel="0" collapsed="false">
      <c r="A94" s="78" t="s">
        <v>26</v>
      </c>
      <c r="B94" s="79" t="s">
        <v>27</v>
      </c>
      <c r="D94" s="81" t="n">
        <f aca="false">63/302*(SUM(E92:E93))</f>
        <v>42.4611655629139</v>
      </c>
      <c r="E94" s="81" t="n">
        <f aca="false">D94</f>
        <v>42.4611655629139</v>
      </c>
    </row>
    <row r="95" customFormat="false" ht="11.25" hidden="true" customHeight="true" outlineLevel="0" collapsed="false">
      <c r="A95" s="78" t="s">
        <v>45</v>
      </c>
      <c r="B95" s="79"/>
      <c r="C95" s="87" t="n">
        <v>2</v>
      </c>
      <c r="D95" s="81"/>
      <c r="E95" s="81"/>
    </row>
    <row r="96" customFormat="false" ht="11.25" hidden="true" customHeight="true" outlineLevel="0" collapsed="false">
      <c r="A96" s="78" t="s">
        <v>28</v>
      </c>
      <c r="B96" s="79" t="s">
        <v>5</v>
      </c>
      <c r="C96" s="92" t="n">
        <v>40</v>
      </c>
      <c r="D96" s="81" t="n">
        <f aca="false">IF(C95=2,SUM(E90:E94),IF(C95=1,(SUM(E90:E94))*D91/D90,0))</f>
        <v>3073.00516556291</v>
      </c>
      <c r="E96" s="81" t="n">
        <f aca="false">C96*D96/100</f>
        <v>1229.20206622517</v>
      </c>
    </row>
    <row r="97" customFormat="false" ht="11.25" hidden="true" customHeight="true" outlineLevel="0" collapsed="false">
      <c r="A97" s="95" t="s">
        <v>29</v>
      </c>
      <c r="B97" s="83"/>
      <c r="C97" s="83"/>
      <c r="D97" s="84"/>
      <c r="E97" s="96" t="n">
        <f aca="false">SUM(E90:E96)</f>
        <v>4302.20723178808</v>
      </c>
      <c r="F97" s="25"/>
    </row>
    <row r="98" customFormat="false" ht="11.25" hidden="true" customHeight="true" outlineLevel="0" collapsed="false">
      <c r="A98" s="78" t="s">
        <v>30</v>
      </c>
      <c r="B98" s="79" t="s">
        <v>5</v>
      </c>
      <c r="C98" s="86" t="n">
        <f aca="false">'2.Encargos Sociais'!$C$31*100</f>
        <v>70.595952</v>
      </c>
      <c r="D98" s="81" t="n">
        <f aca="false">E97</f>
        <v>4302.20723178808</v>
      </c>
      <c r="E98" s="81" t="n">
        <f aca="false">D98*C98/100</f>
        <v>3037.18415229364</v>
      </c>
    </row>
    <row r="99" customFormat="false" ht="11.25" hidden="true" customHeight="true" outlineLevel="0" collapsed="false">
      <c r="A99" s="95" t="s">
        <v>46</v>
      </c>
      <c r="B99" s="97"/>
      <c r="C99" s="97"/>
      <c r="D99" s="98"/>
      <c r="E99" s="96" t="n">
        <f aca="false">E97+E98</f>
        <v>7339.39138408172</v>
      </c>
      <c r="F99" s="25"/>
    </row>
    <row r="100" customFormat="false" ht="11.25" hidden="true" customHeight="true" outlineLevel="0" collapsed="false">
      <c r="A100" s="78" t="s">
        <v>32</v>
      </c>
      <c r="B100" s="79" t="s">
        <v>33</v>
      </c>
      <c r="C100" s="87" t="n">
        <v>0</v>
      </c>
      <c r="D100" s="81" t="n">
        <f aca="false">E99</f>
        <v>7339.39138408172</v>
      </c>
      <c r="E100" s="81" t="n">
        <f aca="false">C100*D100</f>
        <v>0</v>
      </c>
    </row>
    <row r="101" customFormat="false" ht="11.25" hidden="true" customHeight="true" outlineLevel="0" collapsed="false">
      <c r="D101" s="88" t="s">
        <v>34</v>
      </c>
      <c r="E101" s="89" t="n">
        <f aca="false">'FATOR FU_OFICIAL'!F23</f>
        <v>1</v>
      </c>
      <c r="F101" s="90" t="n">
        <f aca="false">E100*E101</f>
        <v>0</v>
      </c>
    </row>
    <row r="102" customFormat="false" ht="11.25" hidden="false" customHeight="true" outlineLevel="0" collapsed="false"/>
    <row r="103" customFormat="false" ht="12.8" hidden="true" customHeight="false" outlineLevel="0" collapsed="false">
      <c r="A103" s="1" t="s">
        <v>48</v>
      </c>
    </row>
    <row r="104" customFormat="false" ht="12.8" hidden="true" customHeight="false" outlineLevel="0" collapsed="false">
      <c r="A104" s="70" t="s">
        <v>16</v>
      </c>
      <c r="B104" s="71" t="s">
        <v>17</v>
      </c>
      <c r="C104" s="71" t="s">
        <v>9</v>
      </c>
      <c r="D104" s="72" t="s">
        <v>18</v>
      </c>
      <c r="E104" s="72" t="s">
        <v>19</v>
      </c>
      <c r="F104" s="73" t="s">
        <v>20</v>
      </c>
    </row>
    <row r="105" customFormat="false" ht="12.8" hidden="true" customHeight="false" outlineLevel="0" collapsed="false">
      <c r="A105" s="74" t="s">
        <v>43</v>
      </c>
      <c r="B105" s="75" t="s">
        <v>22</v>
      </c>
      <c r="C105" s="75" t="n">
        <v>1</v>
      </c>
      <c r="D105" s="77" t="n">
        <f aca="false">D75</f>
        <v>2827</v>
      </c>
      <c r="E105" s="77" t="n">
        <f aca="false">C105*D105</f>
        <v>2827</v>
      </c>
    </row>
    <row r="106" customFormat="false" ht="12.8" hidden="true" customHeight="false" outlineLevel="0" collapsed="false">
      <c r="A106" s="74" t="s">
        <v>44</v>
      </c>
      <c r="B106" s="75" t="s">
        <v>22</v>
      </c>
      <c r="C106" s="75" t="n">
        <v>1</v>
      </c>
      <c r="D106" s="81" t="n">
        <f aca="false">D76</f>
        <v>1621</v>
      </c>
      <c r="E106" s="81"/>
    </row>
    <row r="107" customFormat="false" ht="12.8" hidden="true" customHeight="false" outlineLevel="0" collapsed="false">
      <c r="A107" s="78" t="s">
        <v>37</v>
      </c>
      <c r="B107" s="79" t="s">
        <v>38</v>
      </c>
      <c r="C107" s="80"/>
      <c r="D107" s="78"/>
      <c r="E107" s="78"/>
    </row>
    <row r="108" customFormat="false" ht="12.8" hidden="true" customHeight="false" outlineLevel="0" collapsed="false">
      <c r="A108" s="78"/>
      <c r="B108" s="79" t="s">
        <v>39</v>
      </c>
      <c r="C108" s="81" t="n">
        <f aca="false">C107*8/7</f>
        <v>0</v>
      </c>
      <c r="D108" s="81" t="n">
        <f aca="false">D105/220*0.2</f>
        <v>2.57</v>
      </c>
      <c r="E108" s="81" t="n">
        <f aca="false">C108*D108</f>
        <v>0</v>
      </c>
    </row>
    <row r="109" customFormat="false" ht="12.8" hidden="true" customHeight="false" outlineLevel="0" collapsed="false">
      <c r="A109" s="78" t="s">
        <v>23</v>
      </c>
      <c r="B109" s="79" t="s">
        <v>24</v>
      </c>
      <c r="C109" s="80"/>
      <c r="D109" s="81" t="n">
        <f aca="false">D105/220*2</f>
        <v>25.7</v>
      </c>
      <c r="E109" s="81" t="n">
        <f aca="false">C109*D109</f>
        <v>0</v>
      </c>
      <c r="G109" s="2" t="s">
        <v>49</v>
      </c>
    </row>
    <row r="110" customFormat="false" ht="12.8" hidden="true" customHeight="false" outlineLevel="0" collapsed="false">
      <c r="A110" s="78" t="s">
        <v>40</v>
      </c>
      <c r="B110" s="79" t="s">
        <v>38</v>
      </c>
      <c r="C110" s="80"/>
      <c r="D110" s="81"/>
      <c r="E110" s="81"/>
      <c r="G110" s="2" t="s">
        <v>50</v>
      </c>
    </row>
    <row r="111" customFormat="false" ht="12.8" hidden="true" customHeight="false" outlineLevel="0" collapsed="false">
      <c r="A111" s="78"/>
      <c r="B111" s="79" t="s">
        <v>39</v>
      </c>
      <c r="C111" s="81" t="n">
        <f aca="false">C110*8/7</f>
        <v>0</v>
      </c>
      <c r="D111" s="81" t="n">
        <f aca="false">D105/220*2*1.2</f>
        <v>30.84</v>
      </c>
      <c r="E111" s="81" t="n">
        <f aca="false">C111*D111</f>
        <v>0</v>
      </c>
      <c r="G111" s="2" t="s">
        <v>50</v>
      </c>
    </row>
    <row r="112" customFormat="false" ht="12.8" hidden="true" customHeight="false" outlineLevel="0" collapsed="false">
      <c r="A112" s="78" t="s">
        <v>25</v>
      </c>
      <c r="B112" s="79" t="s">
        <v>24</v>
      </c>
      <c r="C112" s="80"/>
      <c r="D112" s="81" t="n">
        <f aca="false">D105/220*1.5</f>
        <v>19.275</v>
      </c>
      <c r="E112" s="81" t="n">
        <f aca="false">C112*D112</f>
        <v>0</v>
      </c>
      <c r="G112" s="2" t="s">
        <v>51</v>
      </c>
    </row>
    <row r="113" customFormat="false" ht="12.8" hidden="true" customHeight="false" outlineLevel="0" collapsed="false">
      <c r="A113" s="78" t="s">
        <v>41</v>
      </c>
      <c r="B113" s="79" t="s">
        <v>38</v>
      </c>
      <c r="C113" s="80"/>
      <c r="D113" s="81"/>
      <c r="E113" s="81"/>
      <c r="G113" s="2" t="s">
        <v>52</v>
      </c>
    </row>
    <row r="114" customFormat="false" ht="12.8" hidden="true" customHeight="false" outlineLevel="0" collapsed="false">
      <c r="A114" s="78"/>
      <c r="B114" s="79" t="s">
        <v>39</v>
      </c>
      <c r="C114" s="81" t="n">
        <f aca="false">C113*8/7</f>
        <v>0</v>
      </c>
      <c r="D114" s="81" t="n">
        <f aca="false">D105/220*1.5*1.2</f>
        <v>23.13</v>
      </c>
      <c r="E114" s="81" t="n">
        <f aca="false">C114*D114</f>
        <v>0</v>
      </c>
      <c r="G114" s="2" t="s">
        <v>52</v>
      </c>
    </row>
    <row r="115" customFormat="false" ht="13.15" hidden="true" customHeight="true" outlineLevel="0" collapsed="false">
      <c r="A115" s="78" t="s">
        <v>26</v>
      </c>
      <c r="B115" s="79" t="s">
        <v>27</v>
      </c>
      <c r="D115" s="81" t="n">
        <f aca="false">63/302*(SUM(E109:E114))</f>
        <v>0</v>
      </c>
      <c r="E115" s="81" t="n">
        <f aca="false">D115</f>
        <v>0</v>
      </c>
      <c r="G115" s="2" t="s">
        <v>53</v>
      </c>
    </row>
    <row r="116" customFormat="false" ht="12.8" hidden="true" customHeight="false" outlineLevel="0" collapsed="false">
      <c r="A116" s="78" t="s">
        <v>45</v>
      </c>
      <c r="B116" s="79"/>
      <c r="C116" s="87"/>
      <c r="D116" s="81"/>
      <c r="E116" s="81"/>
    </row>
    <row r="117" customFormat="false" ht="12.8" hidden="true" customHeight="false" outlineLevel="0" collapsed="false">
      <c r="A117" s="78" t="s">
        <v>28</v>
      </c>
      <c r="B117" s="79" t="s">
        <v>5</v>
      </c>
      <c r="C117" s="81" t="n">
        <f aca="false">+C81</f>
        <v>40</v>
      </c>
      <c r="D117" s="81" t="n">
        <f aca="false">IF(C116=2,SUM(E105:E115),IF(C116=1,SUM(E105:E115)*D106/D105,0))</f>
        <v>0</v>
      </c>
      <c r="E117" s="81" t="n">
        <f aca="false">C117*D117/100</f>
        <v>0</v>
      </c>
    </row>
    <row r="118" customFormat="false" ht="12.8" hidden="true" customHeight="false" outlineLevel="0" collapsed="false">
      <c r="A118" s="82" t="s">
        <v>29</v>
      </c>
      <c r="B118" s="83"/>
      <c r="C118" s="83"/>
      <c r="D118" s="84"/>
      <c r="E118" s="85" t="n">
        <f aca="false">SUM(E105:E117)</f>
        <v>2827</v>
      </c>
      <c r="F118" s="25"/>
      <c r="G118" s="25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</row>
    <row r="119" customFormat="false" ht="12.8" hidden="true" customHeight="false" outlineLevel="0" collapsed="false">
      <c r="A119" s="78" t="s">
        <v>30</v>
      </c>
      <c r="B119" s="79" t="s">
        <v>5</v>
      </c>
      <c r="C119" s="86" t="n">
        <f aca="false">'2.Encargos Sociais'!$C$31*100</f>
        <v>70.595952</v>
      </c>
      <c r="D119" s="81" t="n">
        <f aca="false">E118</f>
        <v>2827</v>
      </c>
      <c r="E119" s="81" t="n">
        <f aca="false">D119*C119/100</f>
        <v>1995.74756304</v>
      </c>
    </row>
    <row r="120" customFormat="false" ht="12.8" hidden="true" customHeight="false" outlineLevel="0" collapsed="false">
      <c r="A120" s="82" t="s">
        <v>46</v>
      </c>
      <c r="B120" s="83"/>
      <c r="C120" s="83"/>
      <c r="D120" s="84"/>
      <c r="E120" s="85" t="n">
        <f aca="false">E118+E119</f>
        <v>4822.74756304</v>
      </c>
      <c r="F120" s="25"/>
      <c r="G120" s="25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</row>
    <row r="121" customFormat="false" ht="12.8" hidden="true" customHeight="false" outlineLevel="0" collapsed="false">
      <c r="A121" s="78" t="s">
        <v>32</v>
      </c>
      <c r="B121" s="79" t="s">
        <v>33</v>
      </c>
      <c r="C121" s="92" t="n">
        <v>0</v>
      </c>
      <c r="D121" s="81" t="n">
        <f aca="false">E120</f>
        <v>4822.74756304</v>
      </c>
      <c r="E121" s="81" t="n">
        <f aca="false">C121*D121</f>
        <v>0</v>
      </c>
    </row>
    <row r="122" customFormat="false" ht="12.8" hidden="true" customHeight="false" outlineLevel="0" collapsed="false">
      <c r="D122" s="88" t="s">
        <v>34</v>
      </c>
      <c r="E122" s="89" t="n">
        <f aca="false">$B$37</f>
        <v>0.6354</v>
      </c>
      <c r="F122" s="90" t="n">
        <f aca="false">E121*E122</f>
        <v>0</v>
      </c>
    </row>
    <row r="123" customFormat="false" ht="12.8" hidden="false" customHeight="false" outlineLevel="0" collapsed="false">
      <c r="A123" s="69" t="s">
        <v>220</v>
      </c>
      <c r="B123" s="100"/>
      <c r="D123" s="1"/>
      <c r="E123" s="1"/>
      <c r="G123" s="1"/>
    </row>
    <row r="124" customFormat="false" ht="12.8" hidden="false" customHeight="false" outlineLevel="0" collapsed="false">
      <c r="A124" s="70" t="s">
        <v>16</v>
      </c>
      <c r="B124" s="71" t="s">
        <v>17</v>
      </c>
      <c r="C124" s="71" t="s">
        <v>9</v>
      </c>
      <c r="D124" s="72" t="s">
        <v>18</v>
      </c>
      <c r="E124" s="72" t="s">
        <v>19</v>
      </c>
      <c r="F124" s="73" t="s">
        <v>20</v>
      </c>
      <c r="G124" s="1"/>
    </row>
    <row r="125" customFormat="false" ht="12.8" hidden="false" customHeight="false" outlineLevel="0" collapsed="false">
      <c r="A125" s="78" t="s">
        <v>57</v>
      </c>
      <c r="B125" s="79" t="s">
        <v>27</v>
      </c>
      <c r="C125" s="101" t="n">
        <v>1</v>
      </c>
      <c r="D125" s="102" t="n">
        <f aca="false">'VALORES BASE'!B18</f>
        <v>6.4</v>
      </c>
      <c r="E125" s="81"/>
      <c r="G125" s="1"/>
    </row>
    <row r="126" customFormat="false" ht="12.8" hidden="false" customHeight="false" outlineLevel="0" collapsed="false">
      <c r="A126" s="78" t="s">
        <v>58</v>
      </c>
      <c r="B126" s="79" t="s">
        <v>59</v>
      </c>
      <c r="C126" s="103" t="n">
        <v>26</v>
      </c>
      <c r="D126" s="81"/>
      <c r="E126" s="81"/>
      <c r="G126" s="1"/>
    </row>
    <row r="127" customFormat="false" ht="12.8" hidden="false" customHeight="false" outlineLevel="0" collapsed="false">
      <c r="A127" s="78" t="s">
        <v>60</v>
      </c>
      <c r="B127" s="79" t="s">
        <v>61</v>
      </c>
      <c r="C127" s="104" t="n">
        <f aca="false">$C$126*2*(C51+C70)</f>
        <v>468</v>
      </c>
      <c r="D127" s="77" t="n">
        <f aca="false">IFERROR((($C$126*2*$D$125)-(E43*0.06*C126/26))/($C$126*2),"-")</f>
        <v>3.99733461538462</v>
      </c>
      <c r="E127" s="81" t="n">
        <f aca="false">IFERROR(C127*D127,"-")</f>
        <v>1870.7526</v>
      </c>
      <c r="G127" s="1"/>
    </row>
    <row r="128" customFormat="false" ht="12.8" hidden="false" customHeight="false" outlineLevel="0" collapsed="false">
      <c r="A128" s="74" t="s">
        <v>62</v>
      </c>
      <c r="B128" s="75" t="s">
        <v>61</v>
      </c>
      <c r="C128" s="104" t="n">
        <f aca="false">$C$126*2*(C85+C121+C100)</f>
        <v>156</v>
      </c>
      <c r="D128" s="77" t="n">
        <f aca="false">IFERROR((($C$126*2*$D$125)-(E75*0.06*C126/26))/($C$126*2),"-")</f>
        <v>3.13807692307692</v>
      </c>
      <c r="E128" s="77" t="n">
        <f aca="false">IFERROR(C128*D128,"-")</f>
        <v>489.54</v>
      </c>
      <c r="G128" s="1"/>
    </row>
    <row r="129" customFormat="false" ht="12.8" hidden="false" customHeight="false" outlineLevel="0" collapsed="false">
      <c r="F129" s="105" t="n">
        <f aca="false">SUM(E127:E128)</f>
        <v>2360.2926</v>
      </c>
      <c r="G129" s="1"/>
    </row>
    <row r="130" customFormat="false" ht="11.25" hidden="false" customHeight="true" outlineLevel="0" collapsed="false">
      <c r="G130" s="1"/>
    </row>
    <row r="131" customFormat="false" ht="12.8" hidden="false" customHeight="false" outlineLevel="0" collapsed="false">
      <c r="A131" s="69" t="s">
        <v>221</v>
      </c>
      <c r="F131" s="25"/>
      <c r="G131" s="1"/>
    </row>
    <row r="132" customFormat="false" ht="12.8" hidden="false" customHeight="false" outlineLevel="0" collapsed="false">
      <c r="A132" s="70" t="s">
        <v>16</v>
      </c>
      <c r="B132" s="71" t="s">
        <v>17</v>
      </c>
      <c r="C132" s="71" t="s">
        <v>9</v>
      </c>
      <c r="D132" s="72" t="s">
        <v>18</v>
      </c>
      <c r="E132" s="72" t="s">
        <v>19</v>
      </c>
      <c r="F132" s="73" t="s">
        <v>20</v>
      </c>
      <c r="G132" s="1"/>
    </row>
    <row r="133" customFormat="false" ht="12.8" hidden="false" customHeight="false" outlineLevel="0" collapsed="false">
      <c r="A133" s="78" t="str">
        <f aca="false">+A127</f>
        <v>Coletor</v>
      </c>
      <c r="B133" s="79" t="s">
        <v>65</v>
      </c>
      <c r="C133" s="104" t="n">
        <f aca="false">C126*(E27+E28)</f>
        <v>234</v>
      </c>
      <c r="D133" s="106" t="n">
        <f aca="false">'VALORES BASE'!B19</f>
        <v>27.15</v>
      </c>
      <c r="E133" s="89" t="n">
        <f aca="false">C133*D133</f>
        <v>6353.1</v>
      </c>
      <c r="F133" s="25"/>
      <c r="G133" s="1"/>
    </row>
    <row r="134" customFormat="false" ht="12.8" hidden="false" customHeight="false" outlineLevel="0" collapsed="false">
      <c r="A134" s="78" t="str">
        <f aca="false">+A128</f>
        <v>Motorista</v>
      </c>
      <c r="B134" s="79" t="s">
        <v>65</v>
      </c>
      <c r="C134" s="104" t="n">
        <f aca="false">C126*(E29+E30+E31)</f>
        <v>78</v>
      </c>
      <c r="D134" s="106" t="n">
        <f aca="false">'VALORES BASE'!B20</f>
        <v>34</v>
      </c>
      <c r="E134" s="89" t="n">
        <f aca="false">C134*D134</f>
        <v>2652</v>
      </c>
      <c r="F134" s="25"/>
      <c r="G134" s="1"/>
    </row>
    <row r="135" customFormat="false" ht="12.8" hidden="false" customHeight="false" outlineLevel="0" collapsed="false">
      <c r="F135" s="105" t="n">
        <f aca="false">SUM(E133:E134)</f>
        <v>9005.1</v>
      </c>
      <c r="G135" s="1"/>
    </row>
    <row r="136" customFormat="false" ht="12.8" hidden="false" customHeight="false" outlineLevel="0" collapsed="false">
      <c r="G136" s="1"/>
    </row>
    <row r="137" customFormat="false" ht="12.8" hidden="false" customHeight="false" outlineLevel="0" collapsed="false">
      <c r="A137" s="69" t="s">
        <v>222</v>
      </c>
      <c r="F137" s="25"/>
      <c r="G137" s="1"/>
    </row>
    <row r="138" customFormat="false" ht="12.8" hidden="false" customHeight="false" outlineLevel="0" collapsed="false">
      <c r="A138" s="70" t="s">
        <v>16</v>
      </c>
      <c r="B138" s="71" t="s">
        <v>17</v>
      </c>
      <c r="C138" s="71" t="s">
        <v>9</v>
      </c>
      <c r="D138" s="72" t="s">
        <v>18</v>
      </c>
      <c r="E138" s="72" t="s">
        <v>19</v>
      </c>
      <c r="F138" s="73" t="s">
        <v>20</v>
      </c>
      <c r="G138" s="1"/>
    </row>
    <row r="139" customFormat="false" ht="12.8" hidden="false" customHeight="false" outlineLevel="0" collapsed="false">
      <c r="A139" s="78" t="str">
        <f aca="false">+A133</f>
        <v>Coletor</v>
      </c>
      <c r="B139" s="79" t="s">
        <v>65</v>
      </c>
      <c r="C139" s="104" t="n">
        <f aca="false">E27+E28</f>
        <v>9</v>
      </c>
      <c r="D139" s="106" t="n">
        <f aca="false">'VALORES BASE'!B21</f>
        <v>300</v>
      </c>
      <c r="E139" s="89" t="n">
        <f aca="false">C139*D139</f>
        <v>2700</v>
      </c>
      <c r="F139" s="25"/>
      <c r="G139" s="1"/>
    </row>
    <row r="140" customFormat="false" ht="12.8" hidden="false" customHeight="false" outlineLevel="0" collapsed="false">
      <c r="A140" s="78" t="str">
        <f aca="false">+A134</f>
        <v>Motorista</v>
      </c>
      <c r="B140" s="79" t="s">
        <v>65</v>
      </c>
      <c r="C140" s="104" t="n">
        <f aca="false">E29</f>
        <v>3</v>
      </c>
      <c r="D140" s="106" t="n">
        <f aca="false">'VALORES BASE'!B22</f>
        <v>300</v>
      </c>
      <c r="E140" s="89" t="n">
        <f aca="false">C140*D140</f>
        <v>900</v>
      </c>
      <c r="F140" s="25"/>
      <c r="G140" s="1"/>
    </row>
    <row r="141" customFormat="false" ht="12.8" hidden="false" customHeight="false" outlineLevel="0" collapsed="false">
      <c r="D141" s="88" t="s">
        <v>34</v>
      </c>
      <c r="E141" s="89" t="n">
        <f aca="false">'FATOR FU_OFICIAL'!F19</f>
        <v>1</v>
      </c>
      <c r="F141" s="105" t="n">
        <f aca="false">SUM(E139:E140)*E141</f>
        <v>3600</v>
      </c>
      <c r="G141" s="1"/>
    </row>
    <row r="142" customFormat="false" ht="12.8" hidden="false" customHeight="false" outlineLevel="0" collapsed="false">
      <c r="G142" s="1"/>
    </row>
    <row r="143" customFormat="false" ht="12.8" hidden="true" customHeight="false" outlineLevel="0" collapsed="false">
      <c r="A143" s="69" t="s">
        <v>223</v>
      </c>
      <c r="F143" s="25"/>
      <c r="G143" s="1"/>
    </row>
    <row r="144" customFormat="false" ht="12.8" hidden="true" customHeight="false" outlineLevel="0" collapsed="false">
      <c r="A144" s="70" t="s">
        <v>16</v>
      </c>
      <c r="B144" s="71" t="s">
        <v>17</v>
      </c>
      <c r="C144" s="71" t="s">
        <v>9</v>
      </c>
      <c r="D144" s="72" t="s">
        <v>18</v>
      </c>
      <c r="E144" s="72" t="s">
        <v>19</v>
      </c>
      <c r="F144" s="73" t="s">
        <v>20</v>
      </c>
      <c r="G144" s="1"/>
    </row>
    <row r="145" customFormat="false" ht="12.8" hidden="true" customHeight="false" outlineLevel="0" collapsed="false">
      <c r="A145" s="78" t="s">
        <v>224</v>
      </c>
      <c r="B145" s="79" t="s">
        <v>65</v>
      </c>
      <c r="C145" s="104" t="n">
        <f aca="false">E30</f>
        <v>0</v>
      </c>
      <c r="D145" s="106" t="n">
        <f aca="false">'VALORES BASE'!B21</f>
        <v>300</v>
      </c>
      <c r="E145" s="89" t="n">
        <f aca="false">C145*D145</f>
        <v>0</v>
      </c>
      <c r="F145" s="25"/>
      <c r="G145" s="1"/>
    </row>
    <row r="146" customFormat="false" ht="12.8" hidden="true" customHeight="false" outlineLevel="0" collapsed="false">
      <c r="D146" s="88" t="s">
        <v>34</v>
      </c>
      <c r="E146" s="89" t="n">
        <f aca="false">'FATOR FU_OFICIAL'!F23</f>
        <v>1</v>
      </c>
      <c r="F146" s="105" t="n">
        <f aca="false">SUM(E145)*E146</f>
        <v>0</v>
      </c>
      <c r="G146" s="1"/>
    </row>
    <row r="147" customFormat="false" ht="12.8" hidden="false" customHeight="false" outlineLevel="0" collapsed="false">
      <c r="G147" s="1"/>
    </row>
    <row r="148" customFormat="false" ht="12.8" hidden="false" customHeight="false" outlineLevel="0" collapsed="false">
      <c r="A148" s="107" t="s">
        <v>71</v>
      </c>
      <c r="B148" s="108"/>
      <c r="C148" s="108"/>
      <c r="D148" s="38"/>
      <c r="E148" s="109"/>
      <c r="F148" s="105" t="n">
        <f aca="false">F141+F135+F129+F122+F86+F71+F52+F146+F101</f>
        <v>82954.2632272049</v>
      </c>
      <c r="G148" s="1"/>
    </row>
    <row r="150" customFormat="false" ht="12.8" hidden="false" customHeight="false" outlineLevel="0" collapsed="false">
      <c r="A150" s="26" t="s">
        <v>72</v>
      </c>
      <c r="G150" s="1"/>
    </row>
    <row r="151" customFormat="false" ht="11.25" hidden="false" customHeight="true" outlineLevel="0" collapsed="false">
      <c r="G151" s="1"/>
    </row>
    <row r="152" customFormat="false" ht="13.9" hidden="false" customHeight="true" outlineLevel="0" collapsed="false">
      <c r="A152" s="1" t="s">
        <v>73</v>
      </c>
      <c r="G152" s="1"/>
    </row>
    <row r="153" customFormat="false" ht="11.25" hidden="false" customHeight="true" outlineLevel="0" collapsed="false">
      <c r="G153" s="1"/>
    </row>
    <row r="154" customFormat="false" ht="27.75" hidden="false" customHeight="true" outlineLevel="0" collapsed="false">
      <c r="A154" s="70" t="s">
        <v>16</v>
      </c>
      <c r="B154" s="71" t="s">
        <v>17</v>
      </c>
      <c r="C154" s="110" t="s">
        <v>74</v>
      </c>
      <c r="D154" s="72" t="s">
        <v>18</v>
      </c>
      <c r="E154" s="72" t="s">
        <v>19</v>
      </c>
      <c r="F154" s="73" t="s">
        <v>20</v>
      </c>
      <c r="G154" s="1"/>
    </row>
    <row r="155" customFormat="false" ht="12.8" hidden="false" customHeight="false" outlineLevel="0" collapsed="false">
      <c r="A155" s="74" t="s">
        <v>75</v>
      </c>
      <c r="B155" s="75" t="s">
        <v>65</v>
      </c>
      <c r="C155" s="111" t="n">
        <v>6</v>
      </c>
      <c r="D155" s="76" t="n">
        <f aca="false">'VALORES BASE'!B5</f>
        <v>150</v>
      </c>
      <c r="E155" s="77" t="n">
        <f aca="false">IFERROR((D155/C155)*2,0)</f>
        <v>50</v>
      </c>
      <c r="G155" s="1"/>
    </row>
    <row r="156" customFormat="false" ht="13.15" hidden="false" customHeight="true" outlineLevel="0" collapsed="false">
      <c r="A156" s="78" t="s">
        <v>76</v>
      </c>
      <c r="B156" s="79" t="s">
        <v>65</v>
      </c>
      <c r="C156" s="111" t="n">
        <v>6</v>
      </c>
      <c r="D156" s="76" t="n">
        <f aca="false">'VALORES BASE'!B6</f>
        <v>64.66</v>
      </c>
      <c r="E156" s="77" t="n">
        <f aca="false">IFERROR((D156/C156)*2,0)</f>
        <v>21.5533333333333</v>
      </c>
      <c r="G156" s="1"/>
    </row>
    <row r="157" customFormat="false" ht="12.8" hidden="false" customHeight="false" outlineLevel="0" collapsed="false">
      <c r="A157" s="78" t="s">
        <v>77</v>
      </c>
      <c r="B157" s="79" t="s">
        <v>65</v>
      </c>
      <c r="C157" s="111" t="n">
        <v>6</v>
      </c>
      <c r="D157" s="76" t="n">
        <f aca="false">'VALORES BASE'!B7</f>
        <v>41.89</v>
      </c>
      <c r="E157" s="77" t="n">
        <f aca="false">IFERROR((D157/C157)*2,0)</f>
        <v>13.9633333333333</v>
      </c>
      <c r="G157" s="1"/>
    </row>
    <row r="158" customFormat="false" ht="13.15" hidden="false" customHeight="true" outlineLevel="0" collapsed="false">
      <c r="A158" s="78" t="s">
        <v>78</v>
      </c>
      <c r="B158" s="79" t="s">
        <v>65</v>
      </c>
      <c r="C158" s="111" t="n">
        <v>6</v>
      </c>
      <c r="D158" s="76" t="n">
        <f aca="false">'VALORES BASE'!B8</f>
        <v>165</v>
      </c>
      <c r="E158" s="77" t="n">
        <f aca="false">IFERROR(D158/C158,0)</f>
        <v>27.5</v>
      </c>
      <c r="G158" s="1"/>
    </row>
    <row r="159" customFormat="false" ht="13.15" hidden="false" customHeight="true" outlineLevel="0" collapsed="false">
      <c r="A159" s="78" t="s">
        <v>79</v>
      </c>
      <c r="B159" s="79" t="s">
        <v>65</v>
      </c>
      <c r="C159" s="111" t="n">
        <v>6</v>
      </c>
      <c r="D159" s="76" t="n">
        <f aca="false">'VALORES BASE'!B33</f>
        <v>5</v>
      </c>
      <c r="E159" s="77" t="n">
        <f aca="false">IFERROR((D159/C159)*2,0)</f>
        <v>1.66666666666667</v>
      </c>
      <c r="G159" s="1"/>
    </row>
    <row r="160" customFormat="false" ht="13.9" hidden="false" customHeight="true" outlineLevel="0" collapsed="false">
      <c r="A160" s="78" t="s">
        <v>80</v>
      </c>
      <c r="B160" s="79" t="s">
        <v>81</v>
      </c>
      <c r="C160" s="111" t="n">
        <v>6</v>
      </c>
      <c r="D160" s="76" t="n">
        <f aca="false">'VALORES BASE'!B9</f>
        <v>119.95</v>
      </c>
      <c r="E160" s="77" t="n">
        <f aca="false">IFERROR(D160/C160,0)</f>
        <v>19.9916666666667</v>
      </c>
      <c r="G160" s="1"/>
    </row>
    <row r="161" customFormat="false" ht="13.15" hidden="false" customHeight="true" outlineLevel="0" collapsed="false">
      <c r="A161" s="78" t="s">
        <v>82</v>
      </c>
      <c r="B161" s="79" t="s">
        <v>81</v>
      </c>
      <c r="C161" s="111" t="n">
        <v>3</v>
      </c>
      <c r="D161" s="76" t="n">
        <f aca="false">'VALORES BASE'!B10</f>
        <v>7.2</v>
      </c>
      <c r="E161" s="77" t="n">
        <f aca="false">IFERROR(D161/C161,0)</f>
        <v>2.4</v>
      </c>
    </row>
    <row r="162" customFormat="false" ht="12.8" hidden="false" customHeight="false" outlineLevel="0" collapsed="false">
      <c r="A162" s="78" t="s">
        <v>83</v>
      </c>
      <c r="B162" s="79" t="s">
        <v>65</v>
      </c>
      <c r="C162" s="111" t="n">
        <v>6</v>
      </c>
      <c r="D162" s="76" t="n">
        <f aca="false">'VALORES BASE'!B11</f>
        <v>43.19</v>
      </c>
      <c r="E162" s="77" t="n">
        <f aca="false">IFERROR(D162/C162,0)</f>
        <v>7.19833333333333</v>
      </c>
    </row>
    <row r="163" customFormat="false" ht="12.8" hidden="false" customHeight="false" outlineLevel="0" collapsed="false">
      <c r="A163" s="112" t="s">
        <v>84</v>
      </c>
      <c r="B163" s="113" t="s">
        <v>65</v>
      </c>
      <c r="C163" s="111" t="n">
        <v>6</v>
      </c>
      <c r="D163" s="76" t="n">
        <f aca="false">'VALORES BASE'!B12</f>
        <v>19.13</v>
      </c>
      <c r="E163" s="77" t="n">
        <f aca="false">IFERROR((D163/C163)*2,0)</f>
        <v>6.37666666666667</v>
      </c>
      <c r="F163" s="114"/>
      <c r="G163" s="114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  <c r="AR163" s="115"/>
      <c r="AS163" s="115"/>
      <c r="AT163" s="115"/>
      <c r="AU163" s="115"/>
      <c r="AV163" s="115"/>
      <c r="AW163" s="115"/>
      <c r="AX163" s="115"/>
      <c r="AY163" s="115"/>
      <c r="AZ163" s="115"/>
      <c r="BA163" s="115"/>
      <c r="BB163" s="115"/>
      <c r="BC163" s="115"/>
      <c r="BD163" s="115"/>
      <c r="BE163" s="115"/>
      <c r="BF163" s="115"/>
      <c r="BG163" s="115"/>
      <c r="BH163" s="115"/>
      <c r="BI163" s="115"/>
      <c r="BJ163" s="115"/>
      <c r="BK163" s="115"/>
      <c r="BL163" s="115"/>
      <c r="BM163" s="115"/>
      <c r="BN163" s="115"/>
      <c r="BO163" s="115"/>
      <c r="BP163" s="115"/>
      <c r="BQ163" s="115"/>
      <c r="BR163" s="115"/>
      <c r="BS163" s="115"/>
      <c r="BT163" s="115"/>
      <c r="BU163" s="115"/>
      <c r="BV163" s="115"/>
      <c r="BW163" s="115"/>
      <c r="BX163" s="115"/>
      <c r="BY163" s="115"/>
      <c r="BZ163" s="115"/>
      <c r="CA163" s="115"/>
      <c r="CB163" s="115"/>
      <c r="CC163" s="115"/>
      <c r="CD163" s="115"/>
      <c r="CE163" s="115"/>
      <c r="CF163" s="115"/>
      <c r="CG163" s="115"/>
      <c r="CH163" s="115"/>
      <c r="CI163" s="115"/>
      <c r="CJ163" s="115"/>
      <c r="CK163" s="115"/>
      <c r="CL163" s="115"/>
      <c r="CM163" s="115"/>
      <c r="CN163" s="115"/>
      <c r="CO163" s="115"/>
      <c r="CP163" s="115"/>
      <c r="CQ163" s="115"/>
      <c r="CR163" s="115"/>
      <c r="CS163" s="115"/>
      <c r="CT163" s="115"/>
      <c r="CU163" s="115"/>
      <c r="CV163" s="115"/>
      <c r="CW163" s="115"/>
      <c r="CX163" s="115"/>
      <c r="CY163" s="115"/>
      <c r="CZ163" s="115"/>
      <c r="DA163" s="115"/>
      <c r="DB163" s="115"/>
      <c r="DC163" s="115"/>
      <c r="DD163" s="115"/>
      <c r="DE163" s="115"/>
      <c r="DF163" s="115"/>
      <c r="DG163" s="115"/>
      <c r="DH163" s="115"/>
      <c r="DI163" s="115"/>
      <c r="DJ163" s="115"/>
      <c r="DK163" s="115"/>
      <c r="DL163" s="115"/>
      <c r="DM163" s="115"/>
      <c r="DN163" s="115"/>
      <c r="DO163" s="115"/>
      <c r="DP163" s="115"/>
      <c r="DQ163" s="115"/>
      <c r="DR163" s="115"/>
      <c r="DS163" s="115"/>
      <c r="DT163" s="115"/>
      <c r="DU163" s="115"/>
      <c r="DV163" s="115"/>
      <c r="DW163" s="115"/>
      <c r="DX163" s="115"/>
      <c r="DY163" s="115"/>
      <c r="DZ163" s="115"/>
      <c r="EA163" s="115"/>
      <c r="EB163" s="115"/>
      <c r="EC163" s="115"/>
      <c r="ED163" s="115"/>
      <c r="EE163" s="115"/>
      <c r="EF163" s="115"/>
      <c r="EG163" s="115"/>
      <c r="EH163" s="115"/>
      <c r="EI163" s="115"/>
      <c r="EJ163" s="115"/>
      <c r="EK163" s="115"/>
      <c r="EL163" s="115"/>
      <c r="EM163" s="115"/>
      <c r="EN163" s="115"/>
      <c r="EO163" s="115"/>
      <c r="EP163" s="115"/>
      <c r="EQ163" s="115"/>
      <c r="ER163" s="115"/>
      <c r="ES163" s="115"/>
      <c r="ET163" s="115"/>
      <c r="EU163" s="115"/>
      <c r="EV163" s="115"/>
      <c r="EW163" s="115"/>
      <c r="EX163" s="115"/>
      <c r="EY163" s="115"/>
      <c r="EZ163" s="115"/>
      <c r="FA163" s="115"/>
      <c r="FB163" s="115"/>
      <c r="FC163" s="115"/>
      <c r="FD163" s="115"/>
      <c r="FE163" s="115"/>
      <c r="FF163" s="115"/>
      <c r="FG163" s="115"/>
      <c r="FH163" s="115"/>
      <c r="FI163" s="115"/>
      <c r="FJ163" s="115"/>
      <c r="FK163" s="115"/>
      <c r="FL163" s="115"/>
      <c r="FM163" s="115"/>
      <c r="FN163" s="115"/>
      <c r="FO163" s="115"/>
      <c r="FP163" s="115"/>
      <c r="FQ163" s="115"/>
      <c r="FR163" s="115"/>
      <c r="FS163" s="115"/>
      <c r="FT163" s="115"/>
      <c r="FU163" s="115"/>
      <c r="FV163" s="115"/>
      <c r="FW163" s="115"/>
      <c r="FX163" s="115"/>
      <c r="FY163" s="115"/>
      <c r="FZ163" s="115"/>
      <c r="GA163" s="115"/>
      <c r="GB163" s="115"/>
      <c r="GC163" s="115"/>
      <c r="GD163" s="115"/>
      <c r="GE163" s="115"/>
      <c r="GF163" s="115"/>
      <c r="GG163" s="115"/>
      <c r="GH163" s="115"/>
      <c r="GI163" s="115"/>
      <c r="GJ163" s="115"/>
      <c r="GK163" s="115"/>
      <c r="GL163" s="115"/>
      <c r="GM163" s="115"/>
      <c r="GN163" s="115"/>
      <c r="GO163" s="115"/>
      <c r="GP163" s="115"/>
      <c r="GQ163" s="115"/>
      <c r="GR163" s="115"/>
      <c r="GS163" s="115"/>
      <c r="GT163" s="115"/>
      <c r="GU163" s="115"/>
      <c r="GV163" s="115"/>
      <c r="GW163" s="115"/>
      <c r="GX163" s="115"/>
      <c r="GY163" s="115"/>
      <c r="GZ163" s="115"/>
      <c r="HA163" s="115"/>
      <c r="HB163" s="115"/>
      <c r="HC163" s="115"/>
      <c r="HD163" s="115"/>
      <c r="HE163" s="115"/>
      <c r="HF163" s="115"/>
      <c r="HG163" s="115"/>
      <c r="HH163" s="115"/>
      <c r="HI163" s="115"/>
      <c r="HJ163" s="115"/>
      <c r="HK163" s="115"/>
      <c r="HL163" s="115"/>
      <c r="HM163" s="115"/>
      <c r="HN163" s="115"/>
      <c r="HO163" s="115"/>
      <c r="HP163" s="115"/>
      <c r="HQ163" s="115"/>
      <c r="HR163" s="115"/>
      <c r="HS163" s="115"/>
      <c r="HT163" s="115"/>
      <c r="HU163" s="115"/>
      <c r="HV163" s="115"/>
      <c r="HW163" s="115"/>
      <c r="HX163" s="115"/>
      <c r="HY163" s="115"/>
      <c r="HZ163" s="115"/>
      <c r="IA163" s="115"/>
      <c r="IB163" s="115"/>
      <c r="IC163" s="115"/>
      <c r="ID163" s="115"/>
      <c r="IE163" s="115"/>
      <c r="IF163" s="115"/>
      <c r="IG163" s="115"/>
      <c r="IH163" s="115"/>
      <c r="II163" s="115"/>
      <c r="IJ163" s="115"/>
      <c r="IK163" s="115"/>
      <c r="IL163" s="115"/>
      <c r="IM163" s="115"/>
      <c r="IN163" s="115"/>
      <c r="IO163" s="115"/>
      <c r="IP163" s="115"/>
      <c r="IQ163" s="115"/>
      <c r="IR163" s="115"/>
      <c r="IS163" s="115"/>
      <c r="IT163" s="115"/>
      <c r="IU163" s="115"/>
      <c r="IV163" s="115"/>
      <c r="IW163" s="115"/>
      <c r="IX163" s="115"/>
      <c r="IY163" s="115"/>
      <c r="IZ163" s="115"/>
      <c r="JA163" s="115"/>
      <c r="JB163" s="115"/>
      <c r="JC163" s="115"/>
      <c r="JD163" s="115"/>
      <c r="JE163" s="115"/>
      <c r="JF163" s="115"/>
      <c r="JG163" s="115"/>
      <c r="JH163" s="115"/>
      <c r="JI163" s="115"/>
      <c r="JJ163" s="115"/>
      <c r="JK163" s="115"/>
      <c r="JL163" s="115"/>
      <c r="JM163" s="115"/>
      <c r="JN163" s="115"/>
      <c r="JO163" s="115"/>
      <c r="JP163" s="115"/>
      <c r="JQ163" s="115"/>
      <c r="JR163" s="115"/>
      <c r="JS163" s="115"/>
      <c r="JT163" s="115"/>
      <c r="JU163" s="115"/>
      <c r="JV163" s="115"/>
      <c r="JW163" s="115"/>
      <c r="JX163" s="115"/>
      <c r="JY163" s="115"/>
      <c r="JZ163" s="115"/>
      <c r="KA163" s="115"/>
      <c r="KB163" s="115"/>
      <c r="KC163" s="115"/>
      <c r="KD163" s="115"/>
      <c r="KE163" s="115"/>
      <c r="KF163" s="115"/>
      <c r="KG163" s="115"/>
      <c r="KH163" s="115"/>
      <c r="KI163" s="115"/>
      <c r="KJ163" s="115"/>
      <c r="KK163" s="115"/>
      <c r="KL163" s="115"/>
      <c r="KM163" s="115"/>
      <c r="KN163" s="115"/>
      <c r="KO163" s="115"/>
      <c r="KP163" s="115"/>
      <c r="KQ163" s="115"/>
      <c r="KR163" s="115"/>
      <c r="KS163" s="115"/>
      <c r="KT163" s="115"/>
      <c r="KU163" s="115"/>
      <c r="KV163" s="115"/>
      <c r="KW163" s="115"/>
      <c r="KX163" s="115"/>
      <c r="KY163" s="115"/>
      <c r="KZ163" s="115"/>
      <c r="LA163" s="115"/>
      <c r="LB163" s="115"/>
      <c r="LC163" s="115"/>
      <c r="LD163" s="115"/>
      <c r="LE163" s="115"/>
      <c r="LF163" s="115"/>
      <c r="LG163" s="115"/>
      <c r="LH163" s="115"/>
      <c r="LI163" s="115"/>
      <c r="LJ163" s="115"/>
      <c r="LK163" s="115"/>
      <c r="LL163" s="115"/>
      <c r="LM163" s="115"/>
      <c r="LN163" s="115"/>
      <c r="LO163" s="115"/>
      <c r="LP163" s="115"/>
      <c r="LQ163" s="115"/>
      <c r="LR163" s="115"/>
      <c r="LS163" s="115"/>
      <c r="LT163" s="115"/>
      <c r="LU163" s="115"/>
      <c r="LV163" s="115"/>
      <c r="LW163" s="115"/>
      <c r="LX163" s="115"/>
      <c r="LY163" s="115"/>
      <c r="LZ163" s="115"/>
      <c r="MA163" s="115"/>
      <c r="MB163" s="115"/>
      <c r="MC163" s="115"/>
      <c r="MD163" s="115"/>
      <c r="ME163" s="115"/>
      <c r="MF163" s="115"/>
      <c r="MG163" s="115"/>
      <c r="MH163" s="115"/>
      <c r="MI163" s="115"/>
      <c r="MJ163" s="115"/>
      <c r="MK163" s="115"/>
      <c r="ML163" s="115"/>
      <c r="MM163" s="115"/>
      <c r="MN163" s="115"/>
      <c r="MO163" s="115"/>
      <c r="MP163" s="115"/>
      <c r="MQ163" s="115"/>
      <c r="MR163" s="115"/>
      <c r="MS163" s="115"/>
      <c r="MT163" s="115"/>
      <c r="MU163" s="115"/>
      <c r="MV163" s="115"/>
      <c r="MW163" s="115"/>
      <c r="MX163" s="115"/>
      <c r="MY163" s="115"/>
      <c r="MZ163" s="115"/>
      <c r="NA163" s="115"/>
      <c r="NB163" s="115"/>
      <c r="NC163" s="115"/>
      <c r="ND163" s="115"/>
      <c r="NE163" s="115"/>
      <c r="NF163" s="115"/>
      <c r="NG163" s="115"/>
      <c r="NH163" s="115"/>
      <c r="NI163" s="115"/>
      <c r="NJ163" s="115"/>
      <c r="NK163" s="115"/>
      <c r="NL163" s="115"/>
      <c r="NM163" s="115"/>
      <c r="NN163" s="115"/>
      <c r="NO163" s="115"/>
      <c r="NP163" s="115"/>
      <c r="NQ163" s="115"/>
      <c r="NR163" s="115"/>
      <c r="NS163" s="115"/>
      <c r="NT163" s="115"/>
      <c r="NU163" s="115"/>
      <c r="NV163" s="115"/>
      <c r="NW163" s="115"/>
      <c r="NX163" s="115"/>
      <c r="NY163" s="115"/>
      <c r="NZ163" s="115"/>
      <c r="OA163" s="115"/>
      <c r="OB163" s="115"/>
      <c r="OC163" s="115"/>
      <c r="OD163" s="115"/>
      <c r="OE163" s="115"/>
      <c r="OF163" s="115"/>
      <c r="OG163" s="115"/>
      <c r="OH163" s="115"/>
      <c r="OI163" s="115"/>
      <c r="OJ163" s="115"/>
      <c r="OK163" s="115"/>
      <c r="OL163" s="115"/>
      <c r="OM163" s="115"/>
      <c r="ON163" s="115"/>
      <c r="OO163" s="115"/>
      <c r="OP163" s="115"/>
      <c r="OQ163" s="115"/>
      <c r="OR163" s="115"/>
      <c r="OS163" s="115"/>
      <c r="OT163" s="115"/>
      <c r="OU163" s="115"/>
      <c r="OV163" s="115"/>
      <c r="OW163" s="115"/>
      <c r="OX163" s="115"/>
      <c r="OY163" s="115"/>
      <c r="OZ163" s="115"/>
      <c r="PA163" s="115"/>
      <c r="PB163" s="115"/>
      <c r="PC163" s="115"/>
      <c r="PD163" s="115"/>
      <c r="PE163" s="115"/>
      <c r="PF163" s="115"/>
      <c r="PG163" s="115"/>
      <c r="PH163" s="115"/>
      <c r="PI163" s="115"/>
      <c r="PJ163" s="115"/>
      <c r="PK163" s="115"/>
      <c r="PL163" s="115"/>
      <c r="PM163" s="115"/>
      <c r="PN163" s="115"/>
      <c r="PO163" s="115"/>
      <c r="PP163" s="115"/>
      <c r="PQ163" s="115"/>
      <c r="PR163" s="115"/>
      <c r="PS163" s="115"/>
      <c r="PT163" s="115"/>
      <c r="PU163" s="115"/>
      <c r="PV163" s="115"/>
      <c r="PW163" s="115"/>
      <c r="PX163" s="115"/>
      <c r="PY163" s="115"/>
      <c r="PZ163" s="115"/>
      <c r="QA163" s="115"/>
      <c r="QB163" s="115"/>
      <c r="QC163" s="115"/>
      <c r="QD163" s="115"/>
      <c r="QE163" s="115"/>
      <c r="QF163" s="115"/>
      <c r="QG163" s="115"/>
      <c r="QH163" s="115"/>
      <c r="QI163" s="115"/>
      <c r="QJ163" s="115"/>
      <c r="QK163" s="115"/>
      <c r="QL163" s="115"/>
      <c r="QM163" s="115"/>
      <c r="QN163" s="115"/>
      <c r="QO163" s="115"/>
      <c r="QP163" s="115"/>
      <c r="QQ163" s="115"/>
      <c r="QR163" s="115"/>
      <c r="QS163" s="115"/>
      <c r="QT163" s="115"/>
      <c r="QU163" s="115"/>
      <c r="QV163" s="115"/>
      <c r="QW163" s="115"/>
      <c r="QX163" s="115"/>
      <c r="QY163" s="115"/>
      <c r="QZ163" s="115"/>
      <c r="RA163" s="115"/>
      <c r="RB163" s="115"/>
      <c r="RC163" s="115"/>
      <c r="RD163" s="115"/>
      <c r="RE163" s="115"/>
      <c r="RF163" s="115"/>
      <c r="RG163" s="115"/>
      <c r="RH163" s="115"/>
      <c r="RI163" s="115"/>
      <c r="RJ163" s="115"/>
      <c r="RK163" s="115"/>
      <c r="RL163" s="115"/>
      <c r="RM163" s="115"/>
      <c r="RN163" s="115"/>
      <c r="RO163" s="115"/>
      <c r="RP163" s="115"/>
      <c r="RQ163" s="115"/>
      <c r="RR163" s="115"/>
      <c r="RS163" s="115"/>
      <c r="RT163" s="115"/>
      <c r="RU163" s="115"/>
      <c r="RV163" s="115"/>
      <c r="RW163" s="115"/>
      <c r="RX163" s="115"/>
      <c r="RY163" s="115"/>
      <c r="RZ163" s="115"/>
      <c r="SA163" s="115"/>
      <c r="SB163" s="115"/>
      <c r="SC163" s="115"/>
      <c r="SD163" s="115"/>
      <c r="SE163" s="115"/>
      <c r="SF163" s="115"/>
      <c r="SG163" s="115"/>
      <c r="SH163" s="115"/>
      <c r="SI163" s="115"/>
      <c r="SJ163" s="115"/>
      <c r="SK163" s="115"/>
      <c r="SL163" s="115"/>
      <c r="SM163" s="115"/>
      <c r="SN163" s="115"/>
      <c r="SO163" s="115"/>
      <c r="SP163" s="115"/>
      <c r="SQ163" s="115"/>
      <c r="SR163" s="115"/>
      <c r="SS163" s="115"/>
      <c r="ST163" s="115"/>
      <c r="SU163" s="115"/>
      <c r="SV163" s="115"/>
      <c r="SW163" s="115"/>
      <c r="SX163" s="115"/>
      <c r="SY163" s="115"/>
      <c r="SZ163" s="115"/>
      <c r="TA163" s="115"/>
      <c r="TB163" s="115"/>
      <c r="TC163" s="115"/>
      <c r="TD163" s="115"/>
      <c r="TE163" s="115"/>
      <c r="TF163" s="115"/>
      <c r="TG163" s="115"/>
      <c r="TH163" s="115"/>
      <c r="TI163" s="115"/>
      <c r="TJ163" s="115"/>
      <c r="TK163" s="115"/>
      <c r="TL163" s="115"/>
      <c r="TM163" s="115"/>
      <c r="TN163" s="115"/>
      <c r="TO163" s="115"/>
      <c r="TP163" s="115"/>
      <c r="TQ163" s="115"/>
      <c r="TR163" s="115"/>
      <c r="TS163" s="115"/>
      <c r="TT163" s="115"/>
      <c r="TU163" s="115"/>
      <c r="TV163" s="115"/>
      <c r="TW163" s="115"/>
      <c r="TX163" s="115"/>
      <c r="TY163" s="115"/>
      <c r="TZ163" s="115"/>
      <c r="UA163" s="115"/>
      <c r="UB163" s="115"/>
      <c r="UC163" s="115"/>
      <c r="UD163" s="115"/>
      <c r="UE163" s="115"/>
      <c r="UF163" s="115"/>
      <c r="UG163" s="115"/>
      <c r="UH163" s="115"/>
      <c r="UI163" s="115"/>
      <c r="UJ163" s="115"/>
      <c r="UK163" s="115"/>
      <c r="UL163" s="115"/>
      <c r="UM163" s="115"/>
      <c r="UN163" s="115"/>
      <c r="UO163" s="115"/>
      <c r="UP163" s="115"/>
      <c r="UQ163" s="115"/>
      <c r="UR163" s="115"/>
      <c r="US163" s="115"/>
      <c r="UT163" s="115"/>
      <c r="UU163" s="115"/>
      <c r="UV163" s="115"/>
      <c r="UW163" s="115"/>
      <c r="UX163" s="115"/>
      <c r="UY163" s="115"/>
      <c r="UZ163" s="115"/>
      <c r="VA163" s="115"/>
      <c r="VB163" s="115"/>
      <c r="VC163" s="115"/>
      <c r="VD163" s="115"/>
      <c r="VE163" s="115"/>
      <c r="VF163" s="115"/>
      <c r="VG163" s="115"/>
      <c r="VH163" s="115"/>
      <c r="VI163" s="115"/>
      <c r="VJ163" s="115"/>
      <c r="VK163" s="115"/>
      <c r="VL163" s="115"/>
      <c r="VM163" s="115"/>
      <c r="VN163" s="115"/>
      <c r="VO163" s="115"/>
      <c r="VP163" s="115"/>
      <c r="VQ163" s="115"/>
      <c r="VR163" s="115"/>
      <c r="VS163" s="115"/>
      <c r="VT163" s="115"/>
      <c r="VU163" s="115"/>
      <c r="VV163" s="115"/>
      <c r="VW163" s="115"/>
      <c r="VX163" s="115"/>
      <c r="VY163" s="115"/>
      <c r="VZ163" s="115"/>
      <c r="WA163" s="115"/>
      <c r="WB163" s="115"/>
      <c r="WC163" s="115"/>
      <c r="WD163" s="115"/>
      <c r="WE163" s="115"/>
      <c r="WF163" s="115"/>
      <c r="WG163" s="115"/>
      <c r="WH163" s="115"/>
      <c r="WI163" s="115"/>
      <c r="WJ163" s="115"/>
      <c r="WK163" s="115"/>
      <c r="WL163" s="115"/>
      <c r="WM163" s="115"/>
      <c r="WN163" s="115"/>
      <c r="WO163" s="115"/>
      <c r="WP163" s="115"/>
      <c r="WQ163" s="115"/>
      <c r="WR163" s="115"/>
      <c r="WS163" s="115"/>
      <c r="WT163" s="115"/>
      <c r="WU163" s="115"/>
      <c r="WV163" s="115"/>
      <c r="WW163" s="115"/>
      <c r="WX163" s="115"/>
      <c r="WY163" s="115"/>
      <c r="WZ163" s="115"/>
      <c r="XA163" s="115"/>
      <c r="XB163" s="115"/>
      <c r="XC163" s="115"/>
      <c r="XD163" s="115"/>
      <c r="XE163" s="115"/>
      <c r="XF163" s="115"/>
      <c r="XG163" s="115"/>
      <c r="XH163" s="115"/>
      <c r="XI163" s="115"/>
      <c r="XJ163" s="115"/>
      <c r="XK163" s="115"/>
      <c r="XL163" s="115"/>
      <c r="XM163" s="115"/>
      <c r="XN163" s="115"/>
      <c r="XO163" s="115"/>
      <c r="XP163" s="115"/>
      <c r="XQ163" s="115"/>
      <c r="XR163" s="115"/>
      <c r="XS163" s="115"/>
      <c r="XT163" s="115"/>
      <c r="XU163" s="115"/>
      <c r="XV163" s="115"/>
      <c r="XW163" s="115"/>
      <c r="XX163" s="115"/>
      <c r="XY163" s="115"/>
      <c r="XZ163" s="115"/>
      <c r="YA163" s="115"/>
      <c r="YB163" s="115"/>
      <c r="YC163" s="115"/>
      <c r="YD163" s="115"/>
      <c r="YE163" s="115"/>
      <c r="YF163" s="115"/>
      <c r="YG163" s="115"/>
      <c r="YH163" s="115"/>
      <c r="YI163" s="115"/>
      <c r="YJ163" s="115"/>
      <c r="YK163" s="115"/>
      <c r="YL163" s="115"/>
      <c r="YM163" s="115"/>
      <c r="YN163" s="115"/>
      <c r="YO163" s="115"/>
      <c r="YP163" s="115"/>
      <c r="YQ163" s="115"/>
      <c r="YR163" s="115"/>
      <c r="YS163" s="115"/>
      <c r="YT163" s="115"/>
      <c r="YU163" s="115"/>
      <c r="YV163" s="115"/>
      <c r="YW163" s="115"/>
      <c r="YX163" s="115"/>
      <c r="YY163" s="115"/>
      <c r="YZ163" s="115"/>
      <c r="ZA163" s="115"/>
      <c r="ZB163" s="115"/>
      <c r="ZC163" s="115"/>
      <c r="ZD163" s="115"/>
      <c r="ZE163" s="115"/>
      <c r="ZF163" s="115"/>
      <c r="ZG163" s="115"/>
      <c r="ZH163" s="115"/>
      <c r="ZI163" s="115"/>
      <c r="ZJ163" s="115"/>
      <c r="ZK163" s="115"/>
      <c r="ZL163" s="115"/>
      <c r="ZM163" s="115"/>
      <c r="ZN163" s="115"/>
      <c r="ZO163" s="115"/>
      <c r="ZP163" s="115"/>
      <c r="ZQ163" s="115"/>
      <c r="ZR163" s="115"/>
      <c r="ZS163" s="115"/>
      <c r="ZT163" s="115"/>
      <c r="ZU163" s="115"/>
      <c r="ZV163" s="115"/>
      <c r="ZW163" s="115"/>
      <c r="ZX163" s="115"/>
      <c r="ZY163" s="115"/>
      <c r="ZZ163" s="115"/>
      <c r="AAA163" s="115"/>
      <c r="AAB163" s="115"/>
      <c r="AAC163" s="115"/>
      <c r="AAD163" s="115"/>
      <c r="AAE163" s="115"/>
      <c r="AAF163" s="115"/>
      <c r="AAG163" s="115"/>
      <c r="AAH163" s="115"/>
      <c r="AAI163" s="115"/>
      <c r="AAJ163" s="115"/>
      <c r="AAK163" s="115"/>
      <c r="AAL163" s="115"/>
      <c r="AAM163" s="115"/>
      <c r="AAN163" s="115"/>
      <c r="AAO163" s="115"/>
      <c r="AAP163" s="115"/>
      <c r="AAQ163" s="115"/>
      <c r="AAR163" s="115"/>
      <c r="AAS163" s="115"/>
      <c r="AAT163" s="115"/>
      <c r="AAU163" s="115"/>
      <c r="AAV163" s="115"/>
      <c r="AAW163" s="115"/>
      <c r="AAX163" s="115"/>
      <c r="AAY163" s="115"/>
      <c r="AAZ163" s="115"/>
      <c r="ABA163" s="115"/>
      <c r="ABB163" s="115"/>
      <c r="ABC163" s="115"/>
      <c r="ABD163" s="115"/>
      <c r="ABE163" s="115"/>
      <c r="ABF163" s="115"/>
      <c r="ABG163" s="115"/>
      <c r="ABH163" s="115"/>
      <c r="ABI163" s="115"/>
      <c r="ABJ163" s="115"/>
      <c r="ABK163" s="115"/>
      <c r="ABL163" s="115"/>
      <c r="ABM163" s="115"/>
      <c r="ABN163" s="115"/>
      <c r="ABO163" s="115"/>
      <c r="ABP163" s="115"/>
      <c r="ABQ163" s="115"/>
      <c r="ABR163" s="115"/>
      <c r="ABS163" s="115"/>
      <c r="ABT163" s="115"/>
      <c r="ABU163" s="115"/>
      <c r="ABV163" s="115"/>
      <c r="ABW163" s="115"/>
      <c r="ABX163" s="115"/>
      <c r="ABY163" s="115"/>
      <c r="ABZ163" s="115"/>
      <c r="ACA163" s="115"/>
      <c r="ACB163" s="115"/>
      <c r="ACC163" s="115"/>
      <c r="ACD163" s="115"/>
      <c r="ACE163" s="115"/>
      <c r="ACF163" s="115"/>
      <c r="ACG163" s="115"/>
      <c r="ACH163" s="115"/>
      <c r="ACI163" s="115"/>
      <c r="ACJ163" s="115"/>
      <c r="ACK163" s="115"/>
      <c r="ACL163" s="115"/>
      <c r="ACM163" s="115"/>
      <c r="ACN163" s="115"/>
      <c r="ACO163" s="115"/>
      <c r="ACP163" s="115"/>
      <c r="ACQ163" s="115"/>
      <c r="ACR163" s="115"/>
      <c r="ACS163" s="115"/>
      <c r="ACT163" s="115"/>
      <c r="ACU163" s="115"/>
      <c r="ACV163" s="115"/>
      <c r="ACW163" s="115"/>
      <c r="ACX163" s="115"/>
      <c r="ACY163" s="115"/>
      <c r="ACZ163" s="115"/>
      <c r="ADA163" s="115"/>
      <c r="ADB163" s="115"/>
      <c r="ADC163" s="115"/>
      <c r="ADD163" s="115"/>
      <c r="ADE163" s="115"/>
      <c r="ADF163" s="115"/>
      <c r="ADG163" s="115"/>
      <c r="ADH163" s="115"/>
      <c r="ADI163" s="115"/>
      <c r="ADJ163" s="115"/>
      <c r="ADK163" s="115"/>
      <c r="ADL163" s="115"/>
      <c r="ADM163" s="115"/>
      <c r="ADN163" s="115"/>
      <c r="ADO163" s="115"/>
      <c r="ADP163" s="115"/>
      <c r="ADQ163" s="115"/>
      <c r="ADR163" s="115"/>
      <c r="ADS163" s="115"/>
      <c r="ADT163" s="115"/>
      <c r="ADU163" s="115"/>
      <c r="ADV163" s="115"/>
      <c r="ADW163" s="115"/>
      <c r="ADX163" s="115"/>
      <c r="ADY163" s="115"/>
      <c r="ADZ163" s="115"/>
      <c r="AEA163" s="115"/>
      <c r="AEB163" s="115"/>
      <c r="AEC163" s="115"/>
      <c r="AED163" s="115"/>
      <c r="AEE163" s="115"/>
      <c r="AEF163" s="115"/>
      <c r="AEG163" s="115"/>
      <c r="AEH163" s="115"/>
      <c r="AEI163" s="115"/>
      <c r="AEJ163" s="115"/>
      <c r="AEK163" s="115"/>
      <c r="AEL163" s="115"/>
      <c r="AEM163" s="115"/>
      <c r="AEN163" s="115"/>
      <c r="AEO163" s="115"/>
      <c r="AEP163" s="115"/>
      <c r="AEQ163" s="115"/>
      <c r="AER163" s="115"/>
      <c r="AES163" s="115"/>
      <c r="AET163" s="115"/>
      <c r="AEU163" s="115"/>
      <c r="AEV163" s="115"/>
      <c r="AEW163" s="115"/>
      <c r="AEX163" s="115"/>
      <c r="AEY163" s="115"/>
      <c r="AEZ163" s="115"/>
      <c r="AFA163" s="115"/>
      <c r="AFB163" s="115"/>
      <c r="AFC163" s="115"/>
      <c r="AFD163" s="115"/>
      <c r="AFE163" s="115"/>
      <c r="AFF163" s="115"/>
      <c r="AFG163" s="115"/>
      <c r="AFH163" s="115"/>
      <c r="AFI163" s="115"/>
      <c r="AFJ163" s="115"/>
      <c r="AFK163" s="115"/>
      <c r="AFL163" s="115"/>
      <c r="AFM163" s="115"/>
      <c r="AFN163" s="115"/>
      <c r="AFO163" s="115"/>
      <c r="AFP163" s="115"/>
      <c r="AFQ163" s="115"/>
      <c r="AFR163" s="115"/>
      <c r="AFS163" s="115"/>
      <c r="AFT163" s="115"/>
      <c r="AFU163" s="115"/>
      <c r="AFV163" s="115"/>
      <c r="AFW163" s="115"/>
      <c r="AFX163" s="115"/>
      <c r="AFY163" s="115"/>
      <c r="AFZ163" s="115"/>
      <c r="AGA163" s="115"/>
      <c r="AGB163" s="115"/>
      <c r="AGC163" s="115"/>
      <c r="AGD163" s="115"/>
      <c r="AGE163" s="115"/>
      <c r="AGF163" s="115"/>
      <c r="AGG163" s="115"/>
      <c r="AGH163" s="115"/>
      <c r="AGI163" s="115"/>
      <c r="AGJ163" s="115"/>
      <c r="AGK163" s="115"/>
      <c r="AGL163" s="115"/>
      <c r="AGM163" s="115"/>
      <c r="AGN163" s="115"/>
      <c r="AGO163" s="115"/>
      <c r="AGP163" s="115"/>
      <c r="AGQ163" s="115"/>
      <c r="AGR163" s="115"/>
      <c r="AGS163" s="115"/>
      <c r="AGT163" s="115"/>
      <c r="AGU163" s="115"/>
      <c r="AGV163" s="115"/>
      <c r="AGW163" s="115"/>
      <c r="AGX163" s="115"/>
      <c r="AGY163" s="115"/>
      <c r="AGZ163" s="115"/>
      <c r="AHA163" s="115"/>
      <c r="AHB163" s="115"/>
      <c r="AHC163" s="115"/>
      <c r="AHD163" s="115"/>
      <c r="AHE163" s="115"/>
      <c r="AHF163" s="115"/>
      <c r="AHG163" s="115"/>
      <c r="AHH163" s="115"/>
      <c r="AHI163" s="115"/>
      <c r="AHJ163" s="115"/>
      <c r="AHK163" s="115"/>
      <c r="AHL163" s="115"/>
      <c r="AHM163" s="115"/>
      <c r="AHN163" s="115"/>
      <c r="AHO163" s="115"/>
      <c r="AHP163" s="115"/>
      <c r="AHQ163" s="115"/>
      <c r="AHR163" s="115"/>
      <c r="AHS163" s="115"/>
      <c r="AHT163" s="115"/>
      <c r="AHU163" s="115"/>
      <c r="AHV163" s="115"/>
      <c r="AHW163" s="115"/>
      <c r="AHX163" s="115"/>
      <c r="AHY163" s="115"/>
      <c r="AHZ163" s="115"/>
      <c r="AIA163" s="115"/>
      <c r="AIB163" s="115"/>
      <c r="AIC163" s="115"/>
      <c r="AID163" s="115"/>
      <c r="AIE163" s="115"/>
      <c r="AIF163" s="115"/>
      <c r="AIG163" s="115"/>
      <c r="AIH163" s="115"/>
      <c r="AII163" s="115"/>
      <c r="AIJ163" s="115"/>
      <c r="AIK163" s="115"/>
      <c r="AIL163" s="115"/>
      <c r="AIM163" s="115"/>
      <c r="AIN163" s="115"/>
      <c r="AIO163" s="115"/>
      <c r="AIP163" s="115"/>
      <c r="AIQ163" s="115"/>
      <c r="AIR163" s="115"/>
      <c r="AIS163" s="115"/>
      <c r="AIT163" s="115"/>
      <c r="AIU163" s="115"/>
      <c r="AIV163" s="115"/>
      <c r="AIW163" s="115"/>
      <c r="AIX163" s="115"/>
      <c r="AIY163" s="115"/>
      <c r="AIZ163" s="115"/>
      <c r="AJA163" s="115"/>
      <c r="AJB163" s="115"/>
      <c r="AJC163" s="115"/>
      <c r="AJD163" s="115"/>
      <c r="AJE163" s="115"/>
      <c r="AJF163" s="115"/>
      <c r="AJG163" s="115"/>
      <c r="AJH163" s="115"/>
      <c r="AJI163" s="115"/>
      <c r="AJJ163" s="115"/>
      <c r="AJK163" s="115"/>
      <c r="AJL163" s="115"/>
      <c r="AJM163" s="115"/>
      <c r="AJN163" s="115"/>
      <c r="AJO163" s="115"/>
      <c r="AJP163" s="115"/>
      <c r="AJQ163" s="115"/>
      <c r="AJR163" s="115"/>
      <c r="AJS163" s="115"/>
      <c r="AJT163" s="115"/>
      <c r="AJU163" s="115"/>
      <c r="AJV163" s="115"/>
      <c r="AJW163" s="115"/>
      <c r="AJX163" s="115"/>
      <c r="AJY163" s="115"/>
      <c r="AJZ163" s="115"/>
      <c r="AKA163" s="115"/>
      <c r="AKB163" s="115"/>
      <c r="AKC163" s="115"/>
      <c r="AKD163" s="115"/>
      <c r="AKE163" s="115"/>
      <c r="AKF163" s="115"/>
      <c r="AKG163" s="115"/>
      <c r="AKH163" s="115"/>
      <c r="AKI163" s="115"/>
      <c r="AKJ163" s="115"/>
      <c r="AKK163" s="115"/>
      <c r="AKL163" s="115"/>
      <c r="AKM163" s="115"/>
      <c r="AKN163" s="115"/>
      <c r="AKO163" s="115"/>
      <c r="AKP163" s="115"/>
      <c r="AKQ163" s="115"/>
      <c r="AKR163" s="115"/>
      <c r="AKS163" s="115"/>
      <c r="AKT163" s="115"/>
      <c r="AKU163" s="115"/>
      <c r="AKV163" s="115"/>
      <c r="AKW163" s="115"/>
      <c r="AKX163" s="115"/>
      <c r="AKY163" s="115"/>
      <c r="AKZ163" s="115"/>
      <c r="ALA163" s="115"/>
      <c r="ALB163" s="115"/>
      <c r="ALC163" s="115"/>
      <c r="ALD163" s="115"/>
      <c r="ALE163" s="115"/>
      <c r="ALF163" s="115"/>
      <c r="ALG163" s="115"/>
      <c r="ALH163" s="115"/>
      <c r="ALI163" s="115"/>
      <c r="ALJ163" s="115"/>
      <c r="ALK163" s="115"/>
      <c r="ALL163" s="115"/>
      <c r="ALM163" s="115"/>
      <c r="ALN163" s="115"/>
      <c r="ALO163" s="115"/>
      <c r="ALP163" s="115"/>
      <c r="ALQ163" s="115"/>
      <c r="ALR163" s="115"/>
      <c r="ALS163" s="115"/>
      <c r="ALT163" s="115"/>
      <c r="ALU163" s="115"/>
      <c r="ALV163" s="115"/>
      <c r="ALW163" s="115"/>
      <c r="ALX163" s="115"/>
      <c r="ALY163" s="115"/>
      <c r="ALZ163" s="115"/>
      <c r="AMA163" s="115"/>
      <c r="AMB163" s="115"/>
      <c r="AMC163" s="115"/>
      <c r="AMD163" s="115"/>
      <c r="AME163" s="115"/>
      <c r="AMF163" s="115"/>
      <c r="AMG163" s="115"/>
      <c r="AMH163" s="115"/>
      <c r="AMI163" s="115"/>
      <c r="AMJ163" s="115"/>
    </row>
    <row r="164" customFormat="false" ht="12.8" hidden="false" customHeight="false" outlineLevel="0" collapsed="false">
      <c r="A164" s="78" t="s">
        <v>85</v>
      </c>
      <c r="B164" s="79" t="s">
        <v>81</v>
      </c>
      <c r="C164" s="111" t="n">
        <v>0.25</v>
      </c>
      <c r="D164" s="76" t="n">
        <f aca="false">'VALORES BASE'!B13</f>
        <v>28.39</v>
      </c>
      <c r="E164" s="77" t="n">
        <f aca="false">IFERROR(D164/C164,0)</f>
        <v>113.56</v>
      </c>
    </row>
    <row r="165" customFormat="false" ht="13.15" hidden="false" customHeight="true" outlineLevel="0" collapsed="false">
      <c r="A165" s="78" t="s">
        <v>86</v>
      </c>
      <c r="B165" s="79" t="s">
        <v>87</v>
      </c>
      <c r="C165" s="111" t="n">
        <v>1</v>
      </c>
      <c r="D165" s="76" t="n">
        <f aca="false">'VALORES BASE'!B14</f>
        <v>13.99</v>
      </c>
      <c r="E165" s="77" t="n">
        <f aca="false">IFERROR(D165/C165,0)</f>
        <v>13.99</v>
      </c>
    </row>
    <row r="166" customFormat="false" ht="12.8" hidden="false" customHeight="false" outlineLevel="0" collapsed="false">
      <c r="A166" s="78" t="s">
        <v>88</v>
      </c>
      <c r="B166" s="79" t="s">
        <v>89</v>
      </c>
      <c r="C166" s="116" t="n">
        <v>1</v>
      </c>
      <c r="D166" s="76" t="n">
        <f aca="false">'VALORES BASE'!B15</f>
        <v>100</v>
      </c>
      <c r="E166" s="81" t="n">
        <f aca="false">C166*D166</f>
        <v>100</v>
      </c>
    </row>
    <row r="167" customFormat="false" ht="12.8" hidden="false" customHeight="false" outlineLevel="0" collapsed="false">
      <c r="A167" s="78" t="s">
        <v>32</v>
      </c>
      <c r="B167" s="79" t="s">
        <v>33</v>
      </c>
      <c r="C167" s="116" t="n">
        <f aca="false">E27+E28</f>
        <v>9</v>
      </c>
      <c r="D167" s="81" t="n">
        <f aca="false">+SUM(E155:E166)</f>
        <v>378.2</v>
      </c>
      <c r="E167" s="81" t="n">
        <f aca="false">C167*D167</f>
        <v>3403.8</v>
      </c>
    </row>
    <row r="168" customFormat="false" ht="12.8" hidden="false" customHeight="false" outlineLevel="0" collapsed="false">
      <c r="D168" s="88" t="s">
        <v>34</v>
      </c>
      <c r="E168" s="89" t="n">
        <f aca="false">'FATOR FU_OFICIAL'!F19</f>
        <v>1</v>
      </c>
      <c r="F168" s="90" t="n">
        <f aca="false">E167*E168</f>
        <v>3403.8</v>
      </c>
    </row>
    <row r="169" customFormat="false" ht="11.25" hidden="false" customHeight="true" outlineLevel="0" collapsed="false"/>
    <row r="170" customFormat="false" ht="13.9" hidden="false" customHeight="true" outlineLevel="0" collapsed="false">
      <c r="A170" s="1" t="s">
        <v>225</v>
      </c>
    </row>
    <row r="171" customFormat="false" ht="11.25" hidden="false" customHeight="true" outlineLevel="0" collapsed="false"/>
    <row r="172" customFormat="false" ht="12.8" hidden="false" customHeight="false" outlineLevel="0" collapsed="false">
      <c r="A172" s="70" t="s">
        <v>16</v>
      </c>
      <c r="B172" s="71" t="s">
        <v>17</v>
      </c>
      <c r="C172" s="110" t="s">
        <v>74</v>
      </c>
      <c r="D172" s="72" t="s">
        <v>18</v>
      </c>
      <c r="E172" s="72" t="s">
        <v>19</v>
      </c>
      <c r="F172" s="73" t="s">
        <v>20</v>
      </c>
    </row>
    <row r="173" customFormat="false" ht="12.8" hidden="false" customHeight="false" outlineLevel="0" collapsed="false">
      <c r="A173" s="74" t="s">
        <v>75</v>
      </c>
      <c r="B173" s="75" t="s">
        <v>65</v>
      </c>
      <c r="C173" s="111" t="n">
        <v>6</v>
      </c>
      <c r="D173" s="77" t="n">
        <f aca="false">+D155</f>
        <v>150</v>
      </c>
      <c r="E173" s="77" t="n">
        <f aca="false">IFERROR((D173/C173)*2,0)</f>
        <v>50</v>
      </c>
    </row>
    <row r="174" customFormat="false" ht="12.8" hidden="false" customHeight="false" outlineLevel="0" collapsed="false">
      <c r="A174" s="78" t="s">
        <v>76</v>
      </c>
      <c r="B174" s="79" t="s">
        <v>65</v>
      </c>
      <c r="C174" s="111" t="n">
        <v>6</v>
      </c>
      <c r="D174" s="81" t="n">
        <f aca="false">+D156</f>
        <v>64.66</v>
      </c>
      <c r="E174" s="77" t="n">
        <f aca="false">IFERROR((D174/C174)*2,0)</f>
        <v>21.5533333333333</v>
      </c>
    </row>
    <row r="175" customFormat="false" ht="12.8" hidden="false" customHeight="false" outlineLevel="0" collapsed="false">
      <c r="A175" s="78" t="s">
        <v>77</v>
      </c>
      <c r="B175" s="79" t="s">
        <v>65</v>
      </c>
      <c r="C175" s="111" t="n">
        <v>6</v>
      </c>
      <c r="D175" s="81" t="n">
        <f aca="false">+D157</f>
        <v>41.89</v>
      </c>
      <c r="E175" s="77" t="n">
        <f aca="false">IFERROR((D175/C175)*2,0)</f>
        <v>13.9633333333333</v>
      </c>
    </row>
    <row r="176" customFormat="false" ht="12.8" hidden="false" customHeight="false" outlineLevel="0" collapsed="false">
      <c r="A176" s="78" t="s">
        <v>80</v>
      </c>
      <c r="B176" s="79" t="s">
        <v>81</v>
      </c>
      <c r="C176" s="111" t="n">
        <v>12</v>
      </c>
      <c r="D176" s="81" t="n">
        <f aca="false">+D160</f>
        <v>119.95</v>
      </c>
      <c r="E176" s="77" t="n">
        <f aca="false">IFERROR(D176/C176,0)</f>
        <v>9.99583333333333</v>
      </c>
    </row>
    <row r="177" customFormat="false" ht="12.8" hidden="false" customHeight="false" outlineLevel="0" collapsed="false">
      <c r="A177" s="78" t="s">
        <v>83</v>
      </c>
      <c r="B177" s="79" t="s">
        <v>65</v>
      </c>
      <c r="C177" s="111" t="n">
        <v>6</v>
      </c>
      <c r="D177" s="81" t="n">
        <f aca="false">+D162</f>
        <v>43.19</v>
      </c>
      <c r="E177" s="77" t="n">
        <f aca="false">IFERROR(D177/C177,0)</f>
        <v>7.19833333333333</v>
      </c>
      <c r="G177" s="1"/>
    </row>
    <row r="178" customFormat="false" ht="12.8" hidden="false" customHeight="false" outlineLevel="0" collapsed="false">
      <c r="A178" s="78" t="s">
        <v>86</v>
      </c>
      <c r="B178" s="79" t="s">
        <v>87</v>
      </c>
      <c r="C178" s="111" t="n">
        <v>2</v>
      </c>
      <c r="D178" s="81" t="n">
        <f aca="false">+D165</f>
        <v>13.99</v>
      </c>
      <c r="E178" s="77" t="n">
        <f aca="false">IFERROR(D178/C178,0)</f>
        <v>6.995</v>
      </c>
      <c r="G178" s="1"/>
    </row>
    <row r="179" customFormat="false" ht="12.8" hidden="false" customHeight="false" outlineLevel="0" collapsed="false">
      <c r="A179" s="78" t="s">
        <v>88</v>
      </c>
      <c r="B179" s="79" t="s">
        <v>89</v>
      </c>
      <c r="C179" s="116" t="n">
        <v>1</v>
      </c>
      <c r="D179" s="117" t="n">
        <f aca="false">D166</f>
        <v>100</v>
      </c>
      <c r="E179" s="81" t="n">
        <f aca="false">C179*D179</f>
        <v>100</v>
      </c>
      <c r="G179" s="1"/>
    </row>
    <row r="180" customFormat="false" ht="12.8" hidden="false" customHeight="false" outlineLevel="0" collapsed="false">
      <c r="A180" s="78" t="s">
        <v>32</v>
      </c>
      <c r="B180" s="79" t="s">
        <v>33</v>
      </c>
      <c r="C180" s="116" t="n">
        <f aca="false">E29</f>
        <v>3</v>
      </c>
      <c r="D180" s="81" t="n">
        <f aca="false">+SUM(E173:E179)</f>
        <v>209.705833333333</v>
      </c>
      <c r="E180" s="81" t="n">
        <f aca="false">C180*D180</f>
        <v>629.1175</v>
      </c>
      <c r="G180" s="1"/>
    </row>
    <row r="181" customFormat="false" ht="12.8" hidden="false" customHeight="false" outlineLevel="0" collapsed="false">
      <c r="D181" s="88" t="s">
        <v>34</v>
      </c>
      <c r="E181" s="89" t="n">
        <f aca="false">'FATOR FU_OFICIAL'!F19</f>
        <v>1</v>
      </c>
      <c r="F181" s="90" t="n">
        <f aca="false">E180*E181</f>
        <v>629.1175</v>
      </c>
      <c r="G181" s="1"/>
    </row>
    <row r="182" customFormat="false" ht="11.25" hidden="false" customHeight="true" outlineLevel="0" collapsed="false">
      <c r="G182" s="1"/>
    </row>
    <row r="183" customFormat="false" ht="11.25" hidden="true" customHeight="true" outlineLevel="0" collapsed="false">
      <c r="A183" s="1" t="s">
        <v>226</v>
      </c>
      <c r="G183" s="1"/>
    </row>
    <row r="184" customFormat="false" ht="11.25" hidden="true" customHeight="true" outlineLevel="0" collapsed="false">
      <c r="G184" s="1"/>
    </row>
    <row r="185" customFormat="false" ht="11.25" hidden="true" customHeight="true" outlineLevel="0" collapsed="false">
      <c r="A185" s="70" t="s">
        <v>16</v>
      </c>
      <c r="B185" s="71" t="s">
        <v>17</v>
      </c>
      <c r="C185" s="110" t="s">
        <v>74</v>
      </c>
      <c r="D185" s="72" t="s">
        <v>18</v>
      </c>
      <c r="E185" s="72" t="s">
        <v>19</v>
      </c>
      <c r="F185" s="73" t="s">
        <v>20</v>
      </c>
      <c r="G185" s="1"/>
    </row>
    <row r="186" customFormat="false" ht="11.25" hidden="true" customHeight="true" outlineLevel="0" collapsed="false">
      <c r="A186" s="74" t="s">
        <v>75</v>
      </c>
      <c r="B186" s="75" t="s">
        <v>65</v>
      </c>
      <c r="C186" s="111" t="n">
        <v>6</v>
      </c>
      <c r="D186" s="77" t="n">
        <f aca="false">D173</f>
        <v>150</v>
      </c>
      <c r="E186" s="77" t="n">
        <f aca="false">IFERROR((D186/C186)*2,0)</f>
        <v>50</v>
      </c>
      <c r="G186" s="1"/>
    </row>
    <row r="187" customFormat="false" ht="11.25" hidden="true" customHeight="true" outlineLevel="0" collapsed="false">
      <c r="A187" s="78" t="s">
        <v>76</v>
      </c>
      <c r="B187" s="79" t="s">
        <v>65</v>
      </c>
      <c r="C187" s="111" t="n">
        <v>6</v>
      </c>
      <c r="D187" s="77" t="n">
        <f aca="false">D174</f>
        <v>64.66</v>
      </c>
      <c r="E187" s="77" t="n">
        <f aca="false">IFERROR((D187/C187)*2,0)</f>
        <v>21.5533333333333</v>
      </c>
      <c r="G187" s="1"/>
    </row>
    <row r="188" customFormat="false" ht="11.25" hidden="true" customHeight="true" outlineLevel="0" collapsed="false">
      <c r="A188" s="78" t="s">
        <v>77</v>
      </c>
      <c r="B188" s="79" t="s">
        <v>65</v>
      </c>
      <c r="C188" s="111" t="n">
        <v>6</v>
      </c>
      <c r="D188" s="77" t="n">
        <f aca="false">D175</f>
        <v>41.89</v>
      </c>
      <c r="E188" s="77" t="n">
        <f aca="false">IFERROR((D188/C188)*2,0)</f>
        <v>13.9633333333333</v>
      </c>
      <c r="G188" s="1"/>
    </row>
    <row r="189" customFormat="false" ht="11.25" hidden="true" customHeight="true" outlineLevel="0" collapsed="false">
      <c r="A189" s="78" t="s">
        <v>80</v>
      </c>
      <c r="B189" s="79" t="s">
        <v>81</v>
      </c>
      <c r="C189" s="111" t="n">
        <v>12</v>
      </c>
      <c r="D189" s="77" t="n">
        <f aca="false">D176</f>
        <v>119.95</v>
      </c>
      <c r="E189" s="77" t="n">
        <f aca="false">IFERROR(D189/C189,0)</f>
        <v>9.99583333333333</v>
      </c>
      <c r="G189" s="1"/>
    </row>
    <row r="190" customFormat="false" ht="11.25" hidden="true" customHeight="true" outlineLevel="0" collapsed="false">
      <c r="A190" s="78" t="s">
        <v>83</v>
      </c>
      <c r="B190" s="79" t="s">
        <v>65</v>
      </c>
      <c r="C190" s="111" t="n">
        <v>6</v>
      </c>
      <c r="D190" s="77" t="n">
        <f aca="false">D177</f>
        <v>43.19</v>
      </c>
      <c r="E190" s="77" t="n">
        <f aca="false">IFERROR(D190/C190,0)</f>
        <v>7.19833333333333</v>
      </c>
      <c r="G190" s="1"/>
    </row>
    <row r="191" customFormat="false" ht="11.25" hidden="true" customHeight="true" outlineLevel="0" collapsed="false">
      <c r="A191" s="78" t="s">
        <v>86</v>
      </c>
      <c r="B191" s="79" t="s">
        <v>87</v>
      </c>
      <c r="C191" s="111" t="n">
        <v>2</v>
      </c>
      <c r="D191" s="77" t="n">
        <f aca="false">D178</f>
        <v>13.99</v>
      </c>
      <c r="E191" s="77" t="n">
        <f aca="false">IFERROR(D191/C191,0)</f>
        <v>6.995</v>
      </c>
      <c r="G191" s="1"/>
    </row>
    <row r="192" customFormat="false" ht="11.25" hidden="true" customHeight="true" outlineLevel="0" collapsed="false">
      <c r="A192" s="78" t="s">
        <v>88</v>
      </c>
      <c r="B192" s="79" t="s">
        <v>89</v>
      </c>
      <c r="C192" s="116" t="n">
        <v>1</v>
      </c>
      <c r="D192" s="77" t="n">
        <f aca="false">D179</f>
        <v>100</v>
      </c>
      <c r="E192" s="81" t="n">
        <f aca="false">C192*D192</f>
        <v>100</v>
      </c>
      <c r="G192" s="1"/>
    </row>
    <row r="193" customFormat="false" ht="11.25" hidden="true" customHeight="true" outlineLevel="0" collapsed="false">
      <c r="A193" s="78" t="s">
        <v>32</v>
      </c>
      <c r="B193" s="79" t="s">
        <v>33</v>
      </c>
      <c r="C193" s="116" t="n">
        <f aca="false">SUM(E30:E31)</f>
        <v>0</v>
      </c>
      <c r="D193" s="81" t="n">
        <f aca="false">+SUM(E186:E192)</f>
        <v>209.705833333333</v>
      </c>
      <c r="E193" s="81" t="n">
        <f aca="false">C193*D193</f>
        <v>0</v>
      </c>
      <c r="G193" s="1"/>
    </row>
    <row r="194" customFormat="false" ht="11.25" hidden="false" customHeight="true" outlineLevel="0" collapsed="false">
      <c r="G194" s="1"/>
    </row>
    <row r="195" customFormat="false" ht="12.8" hidden="false" customHeight="false" outlineLevel="0" collapsed="false">
      <c r="A195" s="107" t="s">
        <v>92</v>
      </c>
      <c r="B195" s="118"/>
      <c r="C195" s="118"/>
      <c r="D195" s="119"/>
      <c r="E195" s="120"/>
      <c r="F195" s="121" t="n">
        <f aca="false">+F168+F181</f>
        <v>4032.9175</v>
      </c>
      <c r="G195" s="1"/>
    </row>
    <row r="196" customFormat="false" ht="11.25" hidden="false" customHeight="true" outlineLevel="0" collapsed="false">
      <c r="G196" s="1"/>
    </row>
    <row r="197" customFormat="false" ht="12.8" hidden="false" customHeight="false" outlineLevel="0" collapsed="false">
      <c r="A197" s="26" t="s">
        <v>93</v>
      </c>
      <c r="G197" s="1"/>
    </row>
    <row r="198" customFormat="false" ht="11.25" hidden="false" customHeight="true" outlineLevel="0" collapsed="false">
      <c r="B198" s="122"/>
      <c r="G198" s="1"/>
    </row>
    <row r="199" customFormat="false" ht="12.8" hidden="false" customHeight="false" outlineLevel="0" collapsed="false">
      <c r="A199" s="123" t="s">
        <v>227</v>
      </c>
      <c r="G199" s="1"/>
    </row>
    <row r="200" customFormat="false" ht="11.25" hidden="false" customHeight="true" outlineLevel="0" collapsed="false">
      <c r="G200" s="1"/>
    </row>
    <row r="201" customFormat="false" ht="12.8" hidden="false" customHeight="false" outlineLevel="0" collapsed="false">
      <c r="A201" s="124" t="s">
        <v>95</v>
      </c>
      <c r="G201" s="1"/>
    </row>
    <row r="202" customFormat="false" ht="12.8" hidden="false" customHeight="false" outlineLevel="0" collapsed="false">
      <c r="A202" s="70" t="s">
        <v>16</v>
      </c>
      <c r="B202" s="71" t="s">
        <v>17</v>
      </c>
      <c r="C202" s="71" t="s">
        <v>9</v>
      </c>
      <c r="D202" s="72" t="s">
        <v>18</v>
      </c>
      <c r="E202" s="72" t="s">
        <v>19</v>
      </c>
      <c r="F202" s="73" t="s">
        <v>20</v>
      </c>
      <c r="G202" s="1"/>
    </row>
    <row r="203" customFormat="false" ht="12.8" hidden="false" customHeight="false" outlineLevel="0" collapsed="false">
      <c r="A203" s="74" t="s">
        <v>96</v>
      </c>
      <c r="B203" s="75" t="s">
        <v>65</v>
      </c>
      <c r="C203" s="75" t="n">
        <v>1</v>
      </c>
      <c r="D203" s="76" t="n">
        <f aca="false">'VALORES BASE'!B3</f>
        <v>545875</v>
      </c>
      <c r="E203" s="77" t="n">
        <f aca="false">C203*D203</f>
        <v>545875</v>
      </c>
      <c r="G203" s="1"/>
    </row>
    <row r="204" customFormat="false" ht="12.8" hidden="false" customHeight="false" outlineLevel="0" collapsed="false">
      <c r="A204" s="78" t="s">
        <v>97</v>
      </c>
      <c r="B204" s="79" t="s">
        <v>98</v>
      </c>
      <c r="C204" s="92" t="n">
        <v>5</v>
      </c>
      <c r="D204" s="81"/>
      <c r="E204" s="81"/>
      <c r="G204" s="1"/>
    </row>
    <row r="205" customFormat="false" ht="12.8" hidden="false" customHeight="false" outlineLevel="0" collapsed="false">
      <c r="A205" s="78" t="s">
        <v>99</v>
      </c>
      <c r="B205" s="79" t="s">
        <v>98</v>
      </c>
      <c r="C205" s="92" t="n">
        <v>0</v>
      </c>
      <c r="D205" s="81"/>
      <c r="E205" s="81"/>
      <c r="F205" s="125"/>
      <c r="I205" s="126"/>
      <c r="J205" s="126"/>
    </row>
    <row r="206" customFormat="false" ht="12.8" hidden="false" customHeight="false" outlineLevel="0" collapsed="false">
      <c r="A206" s="78" t="s">
        <v>100</v>
      </c>
      <c r="B206" s="79" t="s">
        <v>5</v>
      </c>
      <c r="C206" s="86" t="n">
        <f aca="false">IFERROR(VLOOKUP(C204,'5. Depreciação'!A3:B17,2,0),0)</f>
        <v>55.68</v>
      </c>
      <c r="D206" s="81" t="n">
        <f aca="false">E203</f>
        <v>545875</v>
      </c>
      <c r="E206" s="81" t="n">
        <f aca="false">C206*D206/100</f>
        <v>303943.2</v>
      </c>
    </row>
    <row r="207" customFormat="false" ht="12.8" hidden="false" customHeight="false" outlineLevel="0" collapsed="false">
      <c r="A207" s="127" t="s">
        <v>101</v>
      </c>
      <c r="B207" s="128" t="s">
        <v>22</v>
      </c>
      <c r="C207" s="128" t="n">
        <f aca="false">C204*12</f>
        <v>60</v>
      </c>
      <c r="D207" s="129" t="n">
        <f aca="false">IF(C205&lt;=C204,E206,0)</f>
        <v>303943.2</v>
      </c>
      <c r="E207" s="129" t="n">
        <f aca="false">IFERROR(D207/C207,0)</f>
        <v>5065.72</v>
      </c>
    </row>
    <row r="208" customFormat="false" ht="12.8" hidden="false" customHeight="false" outlineLevel="0" collapsed="false">
      <c r="A208" s="74" t="s">
        <v>102</v>
      </c>
      <c r="B208" s="75" t="s">
        <v>65</v>
      </c>
      <c r="C208" s="75" t="n">
        <f aca="false">C203</f>
        <v>1</v>
      </c>
      <c r="D208" s="76" t="n">
        <f aca="false">'VALORES BASE'!B30</f>
        <v>247760</v>
      </c>
      <c r="E208" s="77" t="n">
        <f aca="false">C208*D208</f>
        <v>247760</v>
      </c>
      <c r="G208" s="1"/>
    </row>
    <row r="209" customFormat="false" ht="12.8" hidden="false" customHeight="false" outlineLevel="0" collapsed="false">
      <c r="A209" s="78" t="s">
        <v>103</v>
      </c>
      <c r="B209" s="79" t="s">
        <v>98</v>
      </c>
      <c r="C209" s="92" t="n">
        <v>5</v>
      </c>
      <c r="D209" s="81"/>
      <c r="E209" s="81"/>
    </row>
    <row r="210" customFormat="false" ht="12.8" hidden="false" customHeight="false" outlineLevel="0" collapsed="false">
      <c r="A210" s="78" t="s">
        <v>104</v>
      </c>
      <c r="B210" s="79" t="s">
        <v>98</v>
      </c>
      <c r="C210" s="92" t="n">
        <v>0</v>
      </c>
      <c r="D210" s="81"/>
      <c r="E210" s="81"/>
      <c r="F210" s="125"/>
      <c r="I210" s="126"/>
      <c r="J210" s="126"/>
    </row>
    <row r="211" customFormat="false" ht="12.8" hidden="false" customHeight="false" outlineLevel="0" collapsed="false">
      <c r="A211" s="78" t="s">
        <v>105</v>
      </c>
      <c r="B211" s="79" t="s">
        <v>5</v>
      </c>
      <c r="C211" s="131" t="n">
        <f aca="false">IFERROR(VLOOKUP(C209,'5. Depreciação'!A3:B17,2,0),0)</f>
        <v>55.68</v>
      </c>
      <c r="D211" s="81" t="n">
        <f aca="false">E208</f>
        <v>247760</v>
      </c>
      <c r="E211" s="81" t="n">
        <f aca="false">C211*D211/100</f>
        <v>137952.768</v>
      </c>
    </row>
    <row r="212" customFormat="false" ht="12.8" hidden="false" customHeight="false" outlineLevel="0" collapsed="false">
      <c r="A212" s="95" t="s">
        <v>106</v>
      </c>
      <c r="B212" s="132" t="s">
        <v>22</v>
      </c>
      <c r="C212" s="132" t="n">
        <f aca="false">C209*12</f>
        <v>60</v>
      </c>
      <c r="D212" s="96" t="n">
        <f aca="false">IF(C210&lt;=C209,E211,0)</f>
        <v>137952.768</v>
      </c>
      <c r="E212" s="96" t="n">
        <f aca="false">IFERROR(D212/C212,0)</f>
        <v>2299.2128</v>
      </c>
    </row>
    <row r="213" customFormat="false" ht="12.8" hidden="false" customHeight="false" outlineLevel="0" collapsed="false">
      <c r="A213" s="82" t="s">
        <v>107</v>
      </c>
      <c r="B213" s="83"/>
      <c r="C213" s="83"/>
      <c r="D213" s="84"/>
      <c r="E213" s="85" t="n">
        <f aca="false">E207+E212</f>
        <v>7364.9328</v>
      </c>
    </row>
    <row r="214" customFormat="false" ht="12.8" hidden="false" customHeight="false" outlineLevel="0" collapsed="false">
      <c r="A214" s="95" t="s">
        <v>108</v>
      </c>
      <c r="B214" s="132" t="s">
        <v>65</v>
      </c>
      <c r="C214" s="87" t="n">
        <f aca="false">E35</f>
        <v>3</v>
      </c>
      <c r="D214" s="96" t="n">
        <f aca="false">E213</f>
        <v>7364.9328</v>
      </c>
      <c r="E214" s="85" t="n">
        <f aca="false">C214*D214</f>
        <v>22094.7984</v>
      </c>
    </row>
    <row r="215" customFormat="false" ht="12.8" hidden="false" customHeight="false" outlineLevel="0" collapsed="false">
      <c r="A215" s="134"/>
      <c r="B215" s="134"/>
      <c r="C215" s="134"/>
      <c r="D215" s="88" t="s">
        <v>34</v>
      </c>
      <c r="E215" s="89" t="n">
        <f aca="false">'FATOR FU_OFICIAL'!F19</f>
        <v>1</v>
      </c>
      <c r="F215" s="121" t="n">
        <f aca="false">E214*E215</f>
        <v>22094.7984</v>
      </c>
    </row>
    <row r="216" customFormat="false" ht="11.25" hidden="false" customHeight="true" outlineLevel="0" collapsed="false"/>
    <row r="217" customFormat="false" ht="12.8" hidden="false" customHeight="false" outlineLevel="0" collapsed="false">
      <c r="A217" s="124" t="s">
        <v>109</v>
      </c>
    </row>
    <row r="218" customFormat="false" ht="12.8" hidden="false" customHeight="false" outlineLevel="0" collapsed="false">
      <c r="A218" s="135" t="s">
        <v>16</v>
      </c>
      <c r="B218" s="136" t="s">
        <v>17</v>
      </c>
      <c r="C218" s="136" t="s">
        <v>9</v>
      </c>
      <c r="D218" s="72" t="s">
        <v>18</v>
      </c>
      <c r="E218" s="137" t="s">
        <v>19</v>
      </c>
      <c r="F218" s="73" t="s">
        <v>20</v>
      </c>
      <c r="I218" s="126"/>
      <c r="J218" s="126"/>
    </row>
    <row r="219" customFormat="false" ht="12.8" hidden="false" customHeight="false" outlineLevel="0" collapsed="false">
      <c r="A219" s="78" t="s">
        <v>110</v>
      </c>
      <c r="B219" s="79" t="s">
        <v>65</v>
      </c>
      <c r="C219" s="75" t="n">
        <v>1</v>
      </c>
      <c r="D219" s="81" t="n">
        <f aca="false">D203</f>
        <v>545875</v>
      </c>
      <c r="E219" s="81" t="n">
        <f aca="false">C219*D219</f>
        <v>545875</v>
      </c>
      <c r="F219" s="125"/>
      <c r="I219" s="126"/>
      <c r="J219" s="126"/>
    </row>
    <row r="220" customFormat="false" ht="12.8" hidden="false" customHeight="false" outlineLevel="0" collapsed="false">
      <c r="A220" s="78" t="s">
        <v>111</v>
      </c>
      <c r="B220" s="79" t="s">
        <v>5</v>
      </c>
      <c r="C220" s="92" t="n">
        <f aca="false">'VALORES BASE'!B32</f>
        <v>14.5</v>
      </c>
      <c r="D220" s="81"/>
      <c r="E220" s="81"/>
      <c r="F220" s="125"/>
      <c r="I220" s="126"/>
      <c r="J220" s="126"/>
    </row>
    <row r="221" customFormat="false" ht="12.8" hidden="false" customHeight="false" outlineLevel="0" collapsed="false">
      <c r="A221" s="78" t="s">
        <v>112</v>
      </c>
      <c r="B221" s="79" t="s">
        <v>27</v>
      </c>
      <c r="C221" s="138" t="n">
        <f aca="false">IFERROR(IF(C205&lt;=C204,E203-(C206/(100*C204)*C205)*E203,E203-E206),0)</f>
        <v>545875</v>
      </c>
      <c r="D221" s="81"/>
      <c r="E221" s="81"/>
      <c r="F221" s="125"/>
      <c r="I221" s="126"/>
      <c r="J221" s="126"/>
    </row>
    <row r="222" customFormat="false" ht="12.8" hidden="false" customHeight="false" outlineLevel="0" collapsed="false">
      <c r="A222" s="78" t="s">
        <v>113</v>
      </c>
      <c r="B222" s="79" t="s">
        <v>27</v>
      </c>
      <c r="C222" s="81" t="n">
        <f aca="false">IFERROR(IF(C205&gt;=C204,C221,((((C221)-(E203-E206))*(((C204-C205)+1)/(2*(C204-C205))))+(E203-E206))),0)</f>
        <v>424297.72</v>
      </c>
      <c r="D222" s="81"/>
      <c r="E222" s="81"/>
      <c r="F222" s="125"/>
      <c r="I222" s="126"/>
      <c r="J222" s="126"/>
    </row>
    <row r="223" customFormat="false" ht="12.8" hidden="false" customHeight="false" outlineLevel="0" collapsed="false">
      <c r="A223" s="127" t="s">
        <v>114</v>
      </c>
      <c r="B223" s="128" t="s">
        <v>27</v>
      </c>
      <c r="C223" s="128"/>
      <c r="D223" s="129" t="n">
        <f aca="false">C220*C222/12/100</f>
        <v>5126.93078333333</v>
      </c>
      <c r="E223" s="129" t="n">
        <f aca="false">D223</f>
        <v>5126.93078333333</v>
      </c>
      <c r="F223" s="125"/>
      <c r="I223" s="126"/>
      <c r="J223" s="126"/>
    </row>
    <row r="224" customFormat="false" ht="12.8" hidden="false" customHeight="false" outlineLevel="0" collapsed="false">
      <c r="A224" s="74" t="s">
        <v>115</v>
      </c>
      <c r="B224" s="75" t="s">
        <v>65</v>
      </c>
      <c r="C224" s="75" t="n">
        <f aca="false">C208</f>
        <v>1</v>
      </c>
      <c r="D224" s="77" t="n">
        <f aca="false">D208</f>
        <v>247760</v>
      </c>
      <c r="E224" s="77" t="n">
        <f aca="false">C224*D224</f>
        <v>247760</v>
      </c>
      <c r="F224" s="125"/>
      <c r="I224" s="126"/>
      <c r="J224" s="126"/>
    </row>
    <row r="225" customFormat="false" ht="12.8" hidden="false" customHeight="false" outlineLevel="0" collapsed="false">
      <c r="A225" s="78" t="s">
        <v>111</v>
      </c>
      <c r="B225" s="79" t="s">
        <v>5</v>
      </c>
      <c r="C225" s="79" t="n">
        <f aca="false">C220</f>
        <v>14.5</v>
      </c>
      <c r="D225" s="81"/>
      <c r="E225" s="81"/>
      <c r="F225" s="125"/>
      <c r="I225" s="126"/>
      <c r="J225" s="126"/>
    </row>
    <row r="226" customFormat="false" ht="12.8" hidden="false" customHeight="false" outlineLevel="0" collapsed="false">
      <c r="A226" s="78" t="s">
        <v>116</v>
      </c>
      <c r="B226" s="79" t="s">
        <v>27</v>
      </c>
      <c r="C226" s="138" t="n">
        <f aca="false">IFERROR(IF(C210&lt;=C209,E208-(C211/(100*C209)*C210)*E208,E208-E211),0)</f>
        <v>247760</v>
      </c>
      <c r="D226" s="81"/>
      <c r="E226" s="81"/>
      <c r="F226" s="125"/>
      <c r="I226" s="126"/>
      <c r="J226" s="126"/>
    </row>
    <row r="227" customFormat="false" ht="12.8" hidden="false" customHeight="false" outlineLevel="0" collapsed="false">
      <c r="A227" s="78" t="s">
        <v>117</v>
      </c>
      <c r="B227" s="79" t="s">
        <v>27</v>
      </c>
      <c r="C227" s="81" t="n">
        <f aca="false">IFERROR(IF(C210&gt;=C209,C226,((((C226)-(E208-E211))*(((C209-C210)+1)/(2*(C209-C210))))+(E208-E211))),0)</f>
        <v>192578.8928</v>
      </c>
      <c r="D227" s="81"/>
      <c r="E227" s="81"/>
      <c r="F227" s="125"/>
      <c r="I227" s="126"/>
      <c r="J227" s="126"/>
    </row>
    <row r="228" customFormat="false" ht="12.8" hidden="false" customHeight="false" outlineLevel="0" collapsed="false">
      <c r="A228" s="95" t="s">
        <v>118</v>
      </c>
      <c r="B228" s="132" t="s">
        <v>27</v>
      </c>
      <c r="C228" s="132"/>
      <c r="D228" s="96" t="n">
        <f aca="false">C225*C227/12/100</f>
        <v>2326.99495466667</v>
      </c>
      <c r="E228" s="96" t="n">
        <f aca="false">D228</f>
        <v>2326.99495466667</v>
      </c>
      <c r="F228" s="125"/>
      <c r="I228" s="126"/>
      <c r="J228" s="126"/>
    </row>
    <row r="229" customFormat="false" ht="12.8" hidden="false" customHeight="false" outlineLevel="0" collapsed="false">
      <c r="A229" s="82" t="s">
        <v>107</v>
      </c>
      <c r="B229" s="83"/>
      <c r="C229" s="83"/>
      <c r="D229" s="84"/>
      <c r="E229" s="85" t="n">
        <f aca="false">E223+E228</f>
        <v>7453.925738</v>
      </c>
      <c r="F229" s="125"/>
      <c r="I229" s="126"/>
      <c r="J229" s="126"/>
    </row>
    <row r="230" customFormat="false" ht="12.8" hidden="false" customHeight="false" outlineLevel="0" collapsed="false">
      <c r="A230" s="95" t="s">
        <v>108</v>
      </c>
      <c r="B230" s="132" t="s">
        <v>65</v>
      </c>
      <c r="C230" s="79" t="n">
        <f aca="false">C214</f>
        <v>3</v>
      </c>
      <c r="D230" s="96" t="n">
        <f aca="false">E229</f>
        <v>7453.925738</v>
      </c>
      <c r="E230" s="85" t="n">
        <f aca="false">C230*D230</f>
        <v>22361.777214</v>
      </c>
      <c r="F230" s="125"/>
      <c r="I230" s="126"/>
      <c r="J230" s="126"/>
    </row>
    <row r="231" customFormat="false" ht="12.8" hidden="false" customHeight="false" outlineLevel="0" collapsed="false">
      <c r="C231" s="139"/>
      <c r="D231" s="88" t="s">
        <v>34</v>
      </c>
      <c r="E231" s="89" t="n">
        <f aca="false">'FATOR FU_OFICIAL'!F19</f>
        <v>1</v>
      </c>
      <c r="F231" s="121" t="n">
        <f aca="false">E230*E231</f>
        <v>22361.777214</v>
      </c>
      <c r="I231" s="126"/>
      <c r="J231" s="126"/>
    </row>
    <row r="232" customFormat="false" ht="11.25" hidden="false" customHeight="true" outlineLevel="0" collapsed="false">
      <c r="I232" s="126"/>
      <c r="J232" s="126"/>
    </row>
    <row r="233" customFormat="false" ht="12.8" hidden="false" customHeight="false" outlineLevel="0" collapsed="false">
      <c r="A233" s="69" t="s">
        <v>119</v>
      </c>
      <c r="I233" s="126"/>
      <c r="J233" s="126"/>
    </row>
    <row r="234" customFormat="false" ht="12.8" hidden="false" customHeight="false" outlineLevel="0" collapsed="false">
      <c r="A234" s="70" t="s">
        <v>16</v>
      </c>
      <c r="B234" s="71" t="s">
        <v>17</v>
      </c>
      <c r="C234" s="71" t="s">
        <v>9</v>
      </c>
      <c r="D234" s="72" t="s">
        <v>18</v>
      </c>
      <c r="E234" s="72" t="s">
        <v>19</v>
      </c>
      <c r="F234" s="73" t="s">
        <v>20</v>
      </c>
      <c r="I234" s="126"/>
      <c r="J234" s="126"/>
    </row>
    <row r="235" customFormat="false" ht="12.8" hidden="false" customHeight="false" outlineLevel="0" collapsed="false">
      <c r="A235" s="74" t="s">
        <v>120</v>
      </c>
      <c r="B235" s="75" t="s">
        <v>65</v>
      </c>
      <c r="C235" s="77" t="n">
        <f aca="false">C214</f>
        <v>3</v>
      </c>
      <c r="D235" s="77" t="n">
        <f aca="false">0.01*($E$203)</f>
        <v>5458.75</v>
      </c>
      <c r="E235" s="77" t="n">
        <f aca="false">C235*D235</f>
        <v>16376.25</v>
      </c>
      <c r="I235" s="126"/>
      <c r="J235" s="126"/>
    </row>
    <row r="236" customFormat="false" ht="12.8" hidden="false" customHeight="false" outlineLevel="0" collapsed="false">
      <c r="A236" s="78" t="s">
        <v>121</v>
      </c>
      <c r="B236" s="79" t="s">
        <v>65</v>
      </c>
      <c r="C236" s="77" t="n">
        <f aca="false">C214</f>
        <v>3</v>
      </c>
      <c r="D236" s="106" t="n">
        <f aca="false">'VALORES BASE'!B59</f>
        <v>183.142</v>
      </c>
      <c r="E236" s="81" t="n">
        <f aca="false">C236*D236</f>
        <v>549.426</v>
      </c>
      <c r="I236" s="126"/>
      <c r="J236" s="126"/>
    </row>
    <row r="237" customFormat="false" ht="12.8" hidden="false" customHeight="false" outlineLevel="0" collapsed="false">
      <c r="A237" s="78" t="s">
        <v>122</v>
      </c>
      <c r="B237" s="79" t="s">
        <v>65</v>
      </c>
      <c r="C237" s="77" t="n">
        <f aca="false">C214</f>
        <v>3</v>
      </c>
      <c r="D237" s="106" t="n">
        <f aca="false">'VALORES BASE'!B41</f>
        <v>3500</v>
      </c>
      <c r="E237" s="81" t="n">
        <f aca="false">C237*D237</f>
        <v>10500</v>
      </c>
      <c r="F237" s="84"/>
      <c r="I237" s="126"/>
      <c r="J237" s="126"/>
    </row>
    <row r="238" customFormat="false" ht="12.8" hidden="false" customHeight="false" outlineLevel="0" collapsed="false">
      <c r="A238" s="95" t="s">
        <v>123</v>
      </c>
      <c r="B238" s="132" t="s">
        <v>22</v>
      </c>
      <c r="C238" s="132" t="n">
        <v>12</v>
      </c>
      <c r="D238" s="96" t="n">
        <f aca="false">SUM(E235:E237)</f>
        <v>27425.676</v>
      </c>
      <c r="E238" s="96" t="n">
        <f aca="false">D238/C238</f>
        <v>2285.473</v>
      </c>
      <c r="I238" s="126"/>
      <c r="J238" s="126"/>
    </row>
    <row r="239" customFormat="false" ht="12.8" hidden="false" customHeight="false" outlineLevel="0" collapsed="false">
      <c r="D239" s="88" t="s">
        <v>34</v>
      </c>
      <c r="E239" s="89" t="n">
        <f aca="false">'FATOR FU_OFICIAL'!F19</f>
        <v>1</v>
      </c>
      <c r="F239" s="90" t="n">
        <f aca="false">E238*E239</f>
        <v>2285.473</v>
      </c>
      <c r="I239" s="126"/>
      <c r="J239" s="126"/>
    </row>
    <row r="240" customFormat="false" ht="11.25" hidden="false" customHeight="true" outlineLevel="0" collapsed="false">
      <c r="I240" s="126"/>
      <c r="J240" s="126"/>
    </row>
    <row r="241" customFormat="false" ht="12.8" hidden="false" customHeight="false" outlineLevel="0" collapsed="false">
      <c r="A241" s="69" t="s">
        <v>124</v>
      </c>
      <c r="B241" s="140"/>
      <c r="I241" s="126"/>
      <c r="J241" s="126"/>
    </row>
    <row r="242" customFormat="false" ht="12.8" hidden="false" customHeight="false" outlineLevel="0" collapsed="false">
      <c r="B242" s="140"/>
      <c r="I242" s="126"/>
      <c r="J242" s="126"/>
    </row>
    <row r="243" customFormat="false" ht="12.8" hidden="false" customHeight="false" outlineLevel="0" collapsed="false">
      <c r="A243" s="95" t="s">
        <v>125</v>
      </c>
      <c r="B243" s="141" t="n">
        <f aca="false">'Roteiros Coleta_URBANO'!N10 +'Roteiros Coleta_RURAL'!E6+'Roteiros Coleta_URBANO_CENTRAL'!F4</f>
        <v>2797.75190476191</v>
      </c>
      <c r="C243" s="1" t="s">
        <v>228</v>
      </c>
      <c r="I243" s="126"/>
      <c r="J243" s="126"/>
    </row>
    <row r="244" customFormat="false" ht="12.8" hidden="false" customHeight="false" outlineLevel="0" collapsed="false">
      <c r="B244" s="140"/>
      <c r="I244" s="126"/>
      <c r="J244" s="126"/>
    </row>
    <row r="245" customFormat="false" ht="12.8" hidden="false" customHeight="false" outlineLevel="0" collapsed="false">
      <c r="A245" s="70" t="s">
        <v>16</v>
      </c>
      <c r="B245" s="71" t="s">
        <v>17</v>
      </c>
      <c r="C245" s="71" t="s">
        <v>126</v>
      </c>
      <c r="D245" s="72" t="s">
        <v>18</v>
      </c>
      <c r="E245" s="72" t="s">
        <v>19</v>
      </c>
      <c r="F245" s="73" t="s">
        <v>20</v>
      </c>
      <c r="I245" s="126"/>
      <c r="J245" s="126"/>
    </row>
    <row r="246" customFormat="false" ht="12.8" hidden="false" customHeight="false" outlineLevel="0" collapsed="false">
      <c r="A246" s="74" t="s">
        <v>127</v>
      </c>
      <c r="B246" s="75" t="s">
        <v>128</v>
      </c>
      <c r="C246" s="142" t="n">
        <f aca="false">'VALORES BASE'!B60</f>
        <v>2.1</v>
      </c>
      <c r="D246" s="143" t="n">
        <f aca="false">'VALORES BASE'!B38</f>
        <v>7.03</v>
      </c>
      <c r="E246" s="77"/>
      <c r="I246" s="126"/>
      <c r="J246" s="126"/>
    </row>
    <row r="247" customFormat="false" ht="12.8" hidden="false" customHeight="false" outlineLevel="0" collapsed="false">
      <c r="A247" s="78" t="s">
        <v>129</v>
      </c>
      <c r="B247" s="79" t="s">
        <v>130</v>
      </c>
      <c r="C247" s="101" t="n">
        <f aca="false">B243</f>
        <v>2797.75190476191</v>
      </c>
      <c r="D247" s="144" t="n">
        <f aca="false">IFERROR(+D246/C246,"-")</f>
        <v>3.34761904761905</v>
      </c>
      <c r="E247" s="81" t="n">
        <f aca="false">IFERROR(C247*D247,"-")</f>
        <v>9365.80756689343</v>
      </c>
      <c r="I247" s="126"/>
      <c r="J247" s="126"/>
    </row>
    <row r="248" customFormat="false" ht="12.8" hidden="false" customHeight="false" outlineLevel="0" collapsed="false">
      <c r="A248" s="78" t="s">
        <v>131</v>
      </c>
      <c r="B248" s="79" t="s">
        <v>132</v>
      </c>
      <c r="C248" s="145" t="n">
        <v>3</v>
      </c>
      <c r="D248" s="106" t="n">
        <f aca="false">'VALORES BASE'!B42</f>
        <v>36.3</v>
      </c>
      <c r="E248" s="81"/>
      <c r="I248" s="126"/>
      <c r="J248" s="126"/>
    </row>
    <row r="249" customFormat="false" ht="12.8" hidden="false" customHeight="false" outlineLevel="0" collapsed="false">
      <c r="A249" s="78" t="s">
        <v>133</v>
      </c>
      <c r="B249" s="79" t="s">
        <v>130</v>
      </c>
      <c r="C249" s="101" t="n">
        <f aca="false">C247</f>
        <v>2797.75190476191</v>
      </c>
      <c r="D249" s="146" t="n">
        <f aca="false">+C248*D248/1000</f>
        <v>0.1089</v>
      </c>
      <c r="E249" s="81" t="n">
        <f aca="false">C249*D249</f>
        <v>304.675182428572</v>
      </c>
      <c r="I249" s="126"/>
      <c r="J249" s="126"/>
    </row>
    <row r="250" customFormat="false" ht="12.8" hidden="false" customHeight="false" outlineLevel="0" collapsed="false">
      <c r="A250" s="78" t="s">
        <v>134</v>
      </c>
      <c r="B250" s="79" t="s">
        <v>132</v>
      </c>
      <c r="C250" s="145" t="n">
        <v>0.66</v>
      </c>
      <c r="D250" s="106" t="n">
        <f aca="false">'VALORES BASE'!B43</f>
        <v>54.12</v>
      </c>
      <c r="E250" s="81"/>
      <c r="I250" s="126"/>
      <c r="J250" s="126"/>
    </row>
    <row r="251" customFormat="false" ht="12.8" hidden="false" customHeight="false" outlineLevel="0" collapsed="false">
      <c r="A251" s="78" t="s">
        <v>135</v>
      </c>
      <c r="B251" s="79" t="s">
        <v>130</v>
      </c>
      <c r="C251" s="101" t="n">
        <f aca="false">C247</f>
        <v>2797.75190476191</v>
      </c>
      <c r="D251" s="146" t="n">
        <f aca="false">+C250*D250/1000</f>
        <v>0.0357192</v>
      </c>
      <c r="E251" s="81" t="n">
        <f aca="false">C251*D251</f>
        <v>99.9334598365714</v>
      </c>
      <c r="I251" s="126"/>
      <c r="J251" s="126"/>
    </row>
    <row r="252" customFormat="false" ht="12.8" hidden="false" customHeight="false" outlineLevel="0" collapsed="false">
      <c r="A252" s="78" t="s">
        <v>136</v>
      </c>
      <c r="B252" s="79" t="s">
        <v>132</v>
      </c>
      <c r="C252" s="145" t="n">
        <f aca="false">'VALORES BASE'!B62</f>
        <v>12.8</v>
      </c>
      <c r="D252" s="106" t="n">
        <f aca="false">'VALORES BASE'!B44</f>
        <v>47.4</v>
      </c>
      <c r="E252" s="81"/>
      <c r="I252" s="126"/>
      <c r="J252" s="126"/>
    </row>
    <row r="253" customFormat="false" ht="12.8" hidden="false" customHeight="false" outlineLevel="0" collapsed="false">
      <c r="A253" s="78" t="s">
        <v>137</v>
      </c>
      <c r="B253" s="79" t="s">
        <v>130</v>
      </c>
      <c r="C253" s="101" t="n">
        <f aca="false">C247</f>
        <v>2797.75190476191</v>
      </c>
      <c r="D253" s="146" t="n">
        <f aca="false">+C252*D252/1000</f>
        <v>0.60672</v>
      </c>
      <c r="E253" s="81" t="n">
        <f aca="false">C253*D253</f>
        <v>1697.45203565714</v>
      </c>
      <c r="I253" s="126"/>
      <c r="J253" s="126"/>
    </row>
    <row r="254" customFormat="false" ht="12.8" hidden="false" customHeight="false" outlineLevel="0" collapsed="false">
      <c r="A254" s="78" t="s">
        <v>138</v>
      </c>
      <c r="B254" s="79" t="s">
        <v>139</v>
      </c>
      <c r="C254" s="145" t="n">
        <v>2</v>
      </c>
      <c r="D254" s="106" t="n">
        <f aca="false">'VALORES BASE'!B45</f>
        <v>36</v>
      </c>
      <c r="E254" s="81"/>
      <c r="I254" s="126"/>
      <c r="J254" s="126"/>
    </row>
    <row r="255" customFormat="false" ht="12.8" hidden="false" customHeight="false" outlineLevel="0" collapsed="false">
      <c r="A255" s="78" t="s">
        <v>140</v>
      </c>
      <c r="B255" s="79" t="s">
        <v>130</v>
      </c>
      <c r="C255" s="101" t="n">
        <f aca="false">C247</f>
        <v>2797.75190476191</v>
      </c>
      <c r="D255" s="146" t="n">
        <f aca="false">+C254*D254/1000</f>
        <v>0.072</v>
      </c>
      <c r="E255" s="81" t="n">
        <f aca="false">C255*D255</f>
        <v>201.438137142857</v>
      </c>
      <c r="I255" s="126"/>
      <c r="J255" s="126"/>
    </row>
    <row r="256" customFormat="false" ht="12.8" hidden="false" customHeight="false" outlineLevel="0" collapsed="false">
      <c r="A256" s="78" t="s">
        <v>141</v>
      </c>
      <c r="B256" s="79" t="s">
        <v>142</v>
      </c>
      <c r="C256" s="101" t="n">
        <f aca="false">(B243/C246)*(5/100)</f>
        <v>66.6131405895692</v>
      </c>
      <c r="D256" s="157" t="n">
        <f aca="false">'VALORES BASE'!B31</f>
        <v>8</v>
      </c>
      <c r="E256" s="81" t="n">
        <f aca="false">C256*D256</f>
        <v>532.905124716553</v>
      </c>
      <c r="I256" s="126"/>
      <c r="J256" s="126"/>
    </row>
    <row r="257" customFormat="false" ht="12.8" hidden="false" customHeight="false" outlineLevel="0" collapsed="false">
      <c r="A257" s="95" t="s">
        <v>143</v>
      </c>
      <c r="B257" s="132" t="s">
        <v>144</v>
      </c>
      <c r="C257" s="148"/>
      <c r="D257" s="149" t="n">
        <f aca="false">IFERROR(D247+D249+D251+D253+D255,0)</f>
        <v>4.17095824761905</v>
      </c>
      <c r="E257" s="81"/>
      <c r="I257" s="126"/>
      <c r="J257" s="126"/>
    </row>
    <row r="258" customFormat="false" ht="12.8" hidden="false" customHeight="false" outlineLevel="0" collapsed="false">
      <c r="F258" s="121" t="n">
        <f aca="false">SUM(E246:E256)</f>
        <v>12202.2115066751</v>
      </c>
      <c r="I258" s="126"/>
      <c r="J258" s="126"/>
    </row>
    <row r="259" customFormat="false" ht="11.25" hidden="false" customHeight="true" outlineLevel="0" collapsed="false">
      <c r="I259" s="126"/>
      <c r="J259" s="126"/>
    </row>
    <row r="260" customFormat="false" ht="12.8" hidden="false" customHeight="false" outlineLevel="0" collapsed="false">
      <c r="A260" s="69" t="s">
        <v>145</v>
      </c>
      <c r="I260" s="126"/>
      <c r="J260" s="126"/>
    </row>
    <row r="261" customFormat="false" ht="12.8" hidden="false" customHeight="false" outlineLevel="0" collapsed="false">
      <c r="A261" s="70" t="s">
        <v>16</v>
      </c>
      <c r="B261" s="71" t="s">
        <v>17</v>
      </c>
      <c r="C261" s="71" t="s">
        <v>9</v>
      </c>
      <c r="D261" s="72" t="s">
        <v>18</v>
      </c>
      <c r="E261" s="72" t="s">
        <v>19</v>
      </c>
      <c r="F261" s="73" t="s">
        <v>20</v>
      </c>
      <c r="I261" s="126"/>
      <c r="J261" s="126"/>
    </row>
    <row r="262" customFormat="false" ht="12.8" hidden="false" customHeight="false" outlineLevel="0" collapsed="false">
      <c r="A262" s="74" t="s">
        <v>146</v>
      </c>
      <c r="B262" s="75" t="s">
        <v>144</v>
      </c>
      <c r="C262" s="101" t="n">
        <f aca="false">C247</f>
        <v>2797.75190476191</v>
      </c>
      <c r="D262" s="76" t="n">
        <f aca="false">'VALORES BASE'!B46</f>
        <v>1.32</v>
      </c>
      <c r="E262" s="77" t="n">
        <f aca="false">C262*D262</f>
        <v>3693.03251428572</v>
      </c>
      <c r="I262" s="126"/>
      <c r="J262" s="126"/>
    </row>
    <row r="263" customFormat="false" ht="12.8" hidden="false" customHeight="false" outlineLevel="0" collapsed="false">
      <c r="F263" s="121" t="n">
        <f aca="false">E262</f>
        <v>3693.03251428572</v>
      </c>
      <c r="I263" s="126"/>
      <c r="J263" s="126"/>
    </row>
    <row r="264" customFormat="false" ht="11.25" hidden="false" customHeight="true" outlineLevel="0" collapsed="false">
      <c r="I264" s="126"/>
      <c r="J264" s="126"/>
    </row>
    <row r="265" customFormat="false" ht="12.8" hidden="false" customHeight="false" outlineLevel="0" collapsed="false">
      <c r="A265" s="69" t="s">
        <v>147</v>
      </c>
      <c r="I265" s="126"/>
      <c r="J265" s="126"/>
    </row>
    <row r="266" customFormat="false" ht="12.8" hidden="false" customHeight="false" outlineLevel="0" collapsed="false">
      <c r="A266" s="70" t="s">
        <v>16</v>
      </c>
      <c r="B266" s="71" t="s">
        <v>17</v>
      </c>
      <c r="C266" s="71" t="s">
        <v>9</v>
      </c>
      <c r="D266" s="72" t="s">
        <v>18</v>
      </c>
      <c r="E266" s="72" t="s">
        <v>19</v>
      </c>
      <c r="F266" s="73" t="s">
        <v>20</v>
      </c>
      <c r="I266" s="126"/>
      <c r="J266" s="126"/>
    </row>
    <row r="267" customFormat="false" ht="12.8" hidden="false" customHeight="false" outlineLevel="0" collapsed="false">
      <c r="A267" s="74" t="s">
        <v>148</v>
      </c>
      <c r="B267" s="75" t="s">
        <v>65</v>
      </c>
      <c r="C267" s="150" t="n">
        <v>6</v>
      </c>
      <c r="D267" s="76" t="n">
        <f aca="false">'VALORES BASE'!B16</f>
        <v>1823.73</v>
      </c>
      <c r="E267" s="77" t="n">
        <f aca="false">C267*D267</f>
        <v>10942.38</v>
      </c>
      <c r="I267" s="126"/>
      <c r="J267" s="126"/>
    </row>
    <row r="268" customFormat="false" ht="12.8" hidden="false" customHeight="false" outlineLevel="0" collapsed="false">
      <c r="A268" s="74" t="s">
        <v>149</v>
      </c>
      <c r="B268" s="75" t="s">
        <v>65</v>
      </c>
      <c r="C268" s="150" t="n">
        <v>3</v>
      </c>
      <c r="D268" s="77"/>
      <c r="E268" s="77"/>
      <c r="I268" s="126"/>
      <c r="J268" s="126"/>
    </row>
    <row r="269" customFormat="false" ht="12.8" hidden="false" customHeight="false" outlineLevel="0" collapsed="false">
      <c r="A269" s="74" t="s">
        <v>150</v>
      </c>
      <c r="B269" s="75" t="s">
        <v>65</v>
      </c>
      <c r="C269" s="77" t="n">
        <f aca="false">C267*C268</f>
        <v>18</v>
      </c>
      <c r="D269" s="76" t="n">
        <f aca="false">0.35*D267</f>
        <v>638.3055</v>
      </c>
      <c r="E269" s="77" t="n">
        <f aca="false">C269*D269</f>
        <v>11489.499</v>
      </c>
      <c r="I269" s="126"/>
      <c r="J269" s="126"/>
    </row>
    <row r="270" customFormat="false" ht="12.8" hidden="false" customHeight="false" outlineLevel="0" collapsed="false">
      <c r="A270" s="151" t="s">
        <v>151</v>
      </c>
      <c r="B270" s="79" t="s">
        <v>152</v>
      </c>
      <c r="C270" s="152" t="n">
        <f aca="false">'VALORES BASE'!B63</f>
        <v>65000</v>
      </c>
      <c r="D270" s="81" t="n">
        <f aca="false">E267+E269</f>
        <v>22431.879</v>
      </c>
      <c r="E270" s="81" t="n">
        <f aca="false">IFERROR(D270/C270,"-")</f>
        <v>0.345105830769231</v>
      </c>
      <c r="I270" s="126"/>
      <c r="J270" s="126"/>
    </row>
    <row r="271" customFormat="false" ht="12.8" hidden="false" customHeight="false" outlineLevel="0" collapsed="false">
      <c r="A271" s="78" t="s">
        <v>153</v>
      </c>
      <c r="B271" s="79" t="s">
        <v>130</v>
      </c>
      <c r="C271" s="101" t="n">
        <f aca="false">B243</f>
        <v>2797.75190476191</v>
      </c>
      <c r="D271" s="81" t="n">
        <f aca="false">E270</f>
        <v>0.345105830769231</v>
      </c>
      <c r="E271" s="81" t="n">
        <f aca="false">IFERROR(C271*D271,0)</f>
        <v>965.520495379056</v>
      </c>
      <c r="I271" s="126"/>
      <c r="J271" s="126"/>
    </row>
    <row r="272" customFormat="false" ht="12.8" hidden="false" customHeight="false" outlineLevel="0" collapsed="false">
      <c r="F272" s="121" t="n">
        <f aca="false">E271</f>
        <v>965.520495379056</v>
      </c>
      <c r="I272" s="126"/>
      <c r="J272" s="126"/>
    </row>
    <row r="273" customFormat="false" ht="11.25" hidden="false" customHeight="true" outlineLevel="0" collapsed="false">
      <c r="A273" s="69" t="s">
        <v>154</v>
      </c>
      <c r="I273" s="126"/>
      <c r="J273" s="126"/>
    </row>
    <row r="274" customFormat="false" ht="11.25" hidden="false" customHeight="true" outlineLevel="0" collapsed="false">
      <c r="A274" s="70" t="s">
        <v>16</v>
      </c>
      <c r="B274" s="71" t="s">
        <v>17</v>
      </c>
      <c r="C274" s="71" t="s">
        <v>9</v>
      </c>
      <c r="D274" s="72" t="s">
        <v>18</v>
      </c>
      <c r="E274" s="72" t="s">
        <v>19</v>
      </c>
      <c r="F274" s="73" t="s">
        <v>20</v>
      </c>
      <c r="I274" s="126"/>
      <c r="J274" s="126"/>
    </row>
    <row r="275" customFormat="false" ht="11.25" hidden="false" customHeight="true" outlineLevel="0" collapsed="false">
      <c r="A275" s="74" t="s">
        <v>155</v>
      </c>
      <c r="B275" s="75" t="s">
        <v>65</v>
      </c>
      <c r="C275" s="150" t="n">
        <v>1</v>
      </c>
      <c r="D275" s="76" t="n">
        <f aca="false">'VALORES BASE'!B17</f>
        <v>647</v>
      </c>
      <c r="E275" s="77" t="n">
        <f aca="false">C275*D275</f>
        <v>647</v>
      </c>
      <c r="I275" s="126"/>
      <c r="J275" s="126"/>
    </row>
    <row r="276" customFormat="false" ht="11.25" hidden="false" customHeight="true" outlineLevel="0" collapsed="false">
      <c r="A276" s="74" t="s">
        <v>108</v>
      </c>
      <c r="B276" s="75" t="s">
        <v>65</v>
      </c>
      <c r="C276" s="75" t="n">
        <f aca="false">E35</f>
        <v>3</v>
      </c>
      <c r="D276" s="77"/>
      <c r="E276" s="77" t="n">
        <f aca="false">PRODUCT(C276,E275)/60</f>
        <v>32.35</v>
      </c>
      <c r="I276" s="126"/>
      <c r="J276" s="126"/>
    </row>
    <row r="277" customFormat="false" ht="11.25" hidden="false" customHeight="true" outlineLevel="0" collapsed="false">
      <c r="A277" s="74" t="s">
        <v>156</v>
      </c>
      <c r="B277" s="75" t="s">
        <v>27</v>
      </c>
      <c r="C277" s="75"/>
      <c r="D277" s="75"/>
      <c r="E277" s="77" t="n">
        <f aca="false">E276</f>
        <v>32.35</v>
      </c>
      <c r="I277" s="126"/>
      <c r="J277" s="126"/>
    </row>
    <row r="278" customFormat="false" ht="11.25" hidden="false" customHeight="true" outlineLevel="0" collapsed="false">
      <c r="F278" s="121" t="n">
        <f aca="false">E277</f>
        <v>32.35</v>
      </c>
      <c r="I278" s="126"/>
      <c r="J278" s="126"/>
    </row>
    <row r="279" customFormat="false" ht="11.25" hidden="false" customHeight="true" outlineLevel="0" collapsed="false">
      <c r="I279" s="126"/>
      <c r="J279" s="126"/>
    </row>
    <row r="280" customFormat="false" ht="11.25" hidden="false" customHeight="true" outlineLevel="0" collapsed="false">
      <c r="A280" s="69" t="s">
        <v>229</v>
      </c>
      <c r="I280" s="126"/>
      <c r="J280" s="126"/>
    </row>
    <row r="281" customFormat="false" ht="11.25" hidden="false" customHeight="true" outlineLevel="0" collapsed="false">
      <c r="A281" s="70" t="s">
        <v>16</v>
      </c>
      <c r="B281" s="71" t="s">
        <v>17</v>
      </c>
      <c r="C281" s="71" t="s">
        <v>9</v>
      </c>
      <c r="D281" s="72" t="s">
        <v>18</v>
      </c>
      <c r="E281" s="72" t="s">
        <v>19</v>
      </c>
      <c r="F281" s="73" t="s">
        <v>20</v>
      </c>
      <c r="I281" s="126"/>
      <c r="J281" s="126"/>
    </row>
    <row r="282" customFormat="false" ht="11.25" hidden="false" customHeight="true" outlineLevel="0" collapsed="false">
      <c r="A282" s="74" t="s">
        <v>155</v>
      </c>
      <c r="B282" s="75" t="s">
        <v>65</v>
      </c>
      <c r="C282" s="150" t="n">
        <v>1</v>
      </c>
      <c r="D282" s="76" t="n">
        <f aca="false">'VALORES BASE'!B54</f>
        <v>2229</v>
      </c>
      <c r="E282" s="77" t="n">
        <f aca="false">(C282*D282)</f>
        <v>2229</v>
      </c>
      <c r="I282" s="126"/>
      <c r="J282" s="126"/>
    </row>
    <row r="283" customFormat="false" ht="11.25" hidden="false" customHeight="true" outlineLevel="0" collapsed="false">
      <c r="A283" s="74" t="s">
        <v>108</v>
      </c>
      <c r="B283" s="75" t="s">
        <v>65</v>
      </c>
      <c r="C283" s="99" t="n">
        <f aca="false">E35</f>
        <v>3</v>
      </c>
      <c r="D283" s="77"/>
      <c r="E283" s="77" t="n">
        <f aca="false">PRODUCT(C283,E282)/60</f>
        <v>111.45</v>
      </c>
      <c r="I283" s="126"/>
      <c r="J283" s="126"/>
    </row>
    <row r="284" customFormat="false" ht="11.25" hidden="false" customHeight="true" outlineLevel="0" collapsed="false">
      <c r="A284" s="74" t="s">
        <v>156</v>
      </c>
      <c r="B284" s="75" t="s">
        <v>27</v>
      </c>
      <c r="C284" s="75"/>
      <c r="D284" s="75"/>
      <c r="E284" s="77" t="n">
        <f aca="false">E283</f>
        <v>111.45</v>
      </c>
      <c r="I284" s="126"/>
      <c r="J284" s="126"/>
    </row>
    <row r="285" customFormat="false" ht="11.25" hidden="false" customHeight="true" outlineLevel="0" collapsed="false">
      <c r="F285" s="121" t="n">
        <f aca="false">E284</f>
        <v>111.45</v>
      </c>
      <c r="I285" s="126"/>
      <c r="J285" s="126"/>
    </row>
    <row r="286" customFormat="false" ht="11.25" hidden="false" customHeight="true" outlineLevel="0" collapsed="false">
      <c r="I286" s="126"/>
      <c r="J286" s="126"/>
    </row>
    <row r="287" customFormat="false" ht="11.25" hidden="false" customHeight="true" outlineLevel="0" collapsed="false">
      <c r="A287" s="69" t="s">
        <v>230</v>
      </c>
      <c r="I287" s="126"/>
      <c r="J287" s="126"/>
    </row>
    <row r="288" customFormat="false" ht="11.25" hidden="false" customHeight="true" outlineLevel="0" collapsed="false">
      <c r="A288" s="70" t="s">
        <v>16</v>
      </c>
      <c r="B288" s="71" t="s">
        <v>17</v>
      </c>
      <c r="C288" s="71" t="s">
        <v>9</v>
      </c>
      <c r="D288" s="72" t="s">
        <v>18</v>
      </c>
      <c r="E288" s="72" t="s">
        <v>19</v>
      </c>
      <c r="F288" s="73" t="s">
        <v>20</v>
      </c>
      <c r="I288" s="126"/>
      <c r="J288" s="126"/>
    </row>
    <row r="289" customFormat="false" ht="11.25" hidden="false" customHeight="true" outlineLevel="0" collapsed="false">
      <c r="A289" s="74" t="s">
        <v>155</v>
      </c>
      <c r="B289" s="75" t="s">
        <v>65</v>
      </c>
      <c r="C289" s="153" t="n">
        <f aca="false">E35</f>
        <v>3</v>
      </c>
      <c r="D289" s="76" t="n">
        <f aca="false">'VALORES BASE'!B47</f>
        <v>650</v>
      </c>
      <c r="E289" s="77" t="n">
        <f aca="false">(C289*D289)/60</f>
        <v>32.5</v>
      </c>
      <c r="I289" s="126"/>
      <c r="J289" s="126"/>
    </row>
    <row r="290" customFormat="false" ht="11.25" hidden="false" customHeight="true" outlineLevel="0" collapsed="false">
      <c r="A290" s="74" t="s">
        <v>158</v>
      </c>
      <c r="B290" s="75" t="s">
        <v>65</v>
      </c>
      <c r="C290" s="99" t="n">
        <f aca="false">C289</f>
        <v>3</v>
      </c>
      <c r="D290" s="76" t="n">
        <f aca="false">'VALORES BASE'!B48</f>
        <v>159.9</v>
      </c>
      <c r="E290" s="77" t="n">
        <f aca="false">C290*D290</f>
        <v>479.7</v>
      </c>
      <c r="I290" s="126"/>
      <c r="J290" s="126"/>
    </row>
    <row r="291" customFormat="false" ht="11.25" hidden="false" customHeight="true" outlineLevel="0" collapsed="false">
      <c r="A291" s="74" t="s">
        <v>156</v>
      </c>
      <c r="B291" s="75" t="s">
        <v>27</v>
      </c>
      <c r="C291" s="75"/>
      <c r="D291" s="75"/>
      <c r="E291" s="77" t="n">
        <f aca="false">E290+E289/12</f>
        <v>482.408333333333</v>
      </c>
      <c r="I291" s="126"/>
      <c r="J291" s="126"/>
    </row>
    <row r="292" customFormat="false" ht="11.25" hidden="false" customHeight="true" outlineLevel="0" collapsed="false">
      <c r="F292" s="121" t="n">
        <f aca="false">E291</f>
        <v>482.408333333333</v>
      </c>
      <c r="I292" s="126"/>
      <c r="J292" s="126"/>
    </row>
    <row r="293" customFormat="false" ht="11.25" hidden="false" customHeight="true" outlineLevel="0" collapsed="false">
      <c r="I293" s="126"/>
      <c r="J293" s="126"/>
    </row>
    <row r="294" customFormat="false" ht="11.25" hidden="true" customHeight="true" outlineLevel="0" collapsed="false">
      <c r="A294" s="156" t="s">
        <v>231</v>
      </c>
      <c r="I294" s="126"/>
      <c r="J294" s="126"/>
    </row>
    <row r="295" customFormat="false" ht="11.25" hidden="true" customHeight="true" outlineLevel="0" collapsed="false">
      <c r="I295" s="126"/>
      <c r="J295" s="126"/>
    </row>
    <row r="296" customFormat="false" ht="11.25" hidden="true" customHeight="true" outlineLevel="0" collapsed="false">
      <c r="A296" s="124" t="s">
        <v>160</v>
      </c>
      <c r="I296" s="126"/>
      <c r="J296" s="126"/>
    </row>
    <row r="297" customFormat="false" ht="11.25" hidden="true" customHeight="true" outlineLevel="0" collapsed="false">
      <c r="A297" s="70" t="s">
        <v>16</v>
      </c>
      <c r="B297" s="71" t="s">
        <v>17</v>
      </c>
      <c r="C297" s="71" t="s">
        <v>9</v>
      </c>
      <c r="D297" s="72" t="s">
        <v>18</v>
      </c>
      <c r="E297" s="72" t="s">
        <v>19</v>
      </c>
      <c r="F297" s="73" t="s">
        <v>20</v>
      </c>
      <c r="I297" s="126"/>
      <c r="J297" s="126"/>
    </row>
    <row r="298" customFormat="false" ht="11.25" hidden="true" customHeight="true" outlineLevel="0" collapsed="false">
      <c r="A298" s="74" t="s">
        <v>96</v>
      </c>
      <c r="B298" s="75" t="s">
        <v>65</v>
      </c>
      <c r="C298" s="75" t="n">
        <v>1</v>
      </c>
      <c r="D298" s="76" t="n">
        <f aca="false">'VALORES BASE'!B55</f>
        <v>256579</v>
      </c>
      <c r="E298" s="77" t="n">
        <f aca="false">C298*D298</f>
        <v>256579</v>
      </c>
      <c r="I298" s="126"/>
      <c r="J298" s="126"/>
    </row>
    <row r="299" customFormat="false" ht="11.25" hidden="true" customHeight="true" outlineLevel="0" collapsed="false">
      <c r="A299" s="78" t="s">
        <v>97</v>
      </c>
      <c r="B299" s="79" t="s">
        <v>98</v>
      </c>
      <c r="C299" s="92" t="n">
        <v>10</v>
      </c>
      <c r="D299" s="81"/>
      <c r="E299" s="81"/>
      <c r="I299" s="126"/>
      <c r="J299" s="126"/>
    </row>
    <row r="300" customFormat="false" ht="11.25" hidden="true" customHeight="true" outlineLevel="0" collapsed="false">
      <c r="A300" s="78" t="s">
        <v>99</v>
      </c>
      <c r="B300" s="79" t="s">
        <v>98</v>
      </c>
      <c r="C300" s="92" t="n">
        <v>0</v>
      </c>
      <c r="D300" s="81"/>
      <c r="E300" s="81"/>
      <c r="F300" s="125"/>
      <c r="I300" s="126"/>
      <c r="J300" s="126"/>
    </row>
    <row r="301" customFormat="false" ht="11.25" hidden="true" customHeight="true" outlineLevel="0" collapsed="false">
      <c r="A301" s="78" t="s">
        <v>100</v>
      </c>
      <c r="B301" s="79" t="s">
        <v>5</v>
      </c>
      <c r="C301" s="86" t="n">
        <f aca="false">IFERROR(VLOOKUP(C299,'5. Depreciação'!$A$3:$B$17,2,0),0)</f>
        <v>65.18</v>
      </c>
      <c r="D301" s="81" t="n">
        <f aca="false">E298</f>
        <v>256579</v>
      </c>
      <c r="E301" s="81" t="n">
        <f aca="false">C301*D301/100</f>
        <v>167238.1922</v>
      </c>
      <c r="I301" s="126"/>
      <c r="J301" s="126"/>
    </row>
    <row r="302" customFormat="false" ht="11.25" hidden="true" customHeight="true" outlineLevel="0" collapsed="false">
      <c r="A302" s="127" t="s">
        <v>101</v>
      </c>
      <c r="B302" s="128" t="s">
        <v>22</v>
      </c>
      <c r="C302" s="128" t="n">
        <f aca="false">C299*12</f>
        <v>120</v>
      </c>
      <c r="D302" s="129" t="n">
        <f aca="false">IF(C300&lt;=C299,E301,0)</f>
        <v>167238.1922</v>
      </c>
      <c r="E302" s="129" t="n">
        <f aca="false">IFERROR(D302/C302,0)</f>
        <v>1393.65160166667</v>
      </c>
      <c r="I302" s="126"/>
      <c r="J302" s="126"/>
    </row>
    <row r="303" customFormat="false" ht="11.25" hidden="true" customHeight="true" outlineLevel="0" collapsed="false">
      <c r="A303" s="74" t="s">
        <v>178</v>
      </c>
      <c r="B303" s="75" t="s">
        <v>65</v>
      </c>
      <c r="C303" s="75" t="n">
        <f aca="false">C298</f>
        <v>1</v>
      </c>
      <c r="D303" s="76" t="n">
        <f aca="false">'VALORES BASE'!B56</f>
        <v>10000</v>
      </c>
      <c r="E303" s="77" t="n">
        <f aca="false">C303*D303</f>
        <v>10000</v>
      </c>
      <c r="I303" s="126"/>
      <c r="J303" s="126"/>
    </row>
    <row r="304" customFormat="false" ht="11.25" hidden="true" customHeight="true" outlineLevel="0" collapsed="false">
      <c r="A304" s="78" t="s">
        <v>103</v>
      </c>
      <c r="B304" s="79" t="s">
        <v>98</v>
      </c>
      <c r="C304" s="92" t="n">
        <v>10</v>
      </c>
      <c r="D304" s="81"/>
      <c r="E304" s="81"/>
      <c r="I304" s="126"/>
      <c r="J304" s="126"/>
    </row>
    <row r="305" customFormat="false" ht="11.25" hidden="true" customHeight="true" outlineLevel="0" collapsed="false">
      <c r="A305" s="78" t="s">
        <v>104</v>
      </c>
      <c r="B305" s="79" t="s">
        <v>98</v>
      </c>
      <c r="C305" s="92" t="n">
        <v>0</v>
      </c>
      <c r="D305" s="81"/>
      <c r="E305" s="81"/>
      <c r="F305" s="125"/>
      <c r="I305" s="126"/>
      <c r="J305" s="126"/>
    </row>
    <row r="306" customFormat="false" ht="11.25" hidden="true" customHeight="true" outlineLevel="0" collapsed="false">
      <c r="A306" s="78" t="s">
        <v>105</v>
      </c>
      <c r="B306" s="79" t="s">
        <v>5</v>
      </c>
      <c r="C306" s="131" t="n">
        <f aca="false">IFERROR(VLOOKUP(C304,'5. Depreciação'!$A$3:$B$17,2,0),0)</f>
        <v>65.18</v>
      </c>
      <c r="D306" s="81" t="n">
        <f aca="false">E303</f>
        <v>10000</v>
      </c>
      <c r="E306" s="81" t="n">
        <f aca="false">C306*D306/100</f>
        <v>6518</v>
      </c>
      <c r="I306" s="126"/>
      <c r="J306" s="126"/>
    </row>
    <row r="307" customFormat="false" ht="11.25" hidden="true" customHeight="true" outlineLevel="0" collapsed="false">
      <c r="A307" s="95" t="s">
        <v>106</v>
      </c>
      <c r="B307" s="132" t="s">
        <v>22</v>
      </c>
      <c r="C307" s="132" t="n">
        <f aca="false">C304*12</f>
        <v>120</v>
      </c>
      <c r="D307" s="96" t="n">
        <f aca="false">IF(C305&lt;=C304,E306,0)</f>
        <v>6518</v>
      </c>
      <c r="E307" s="96" t="n">
        <f aca="false">IFERROR(D307/C307,0)</f>
        <v>54.3166666666667</v>
      </c>
      <c r="I307" s="126"/>
      <c r="J307" s="126"/>
    </row>
    <row r="308" customFormat="false" ht="11.25" hidden="true" customHeight="true" outlineLevel="0" collapsed="false">
      <c r="A308" s="127" t="s">
        <v>164</v>
      </c>
      <c r="B308" s="128" t="s">
        <v>22</v>
      </c>
      <c r="C308" s="128" t="n">
        <v>1</v>
      </c>
      <c r="D308" s="129"/>
      <c r="E308" s="129" t="n">
        <f aca="false">0.1*(E307+E302)</f>
        <v>144.796826833333</v>
      </c>
      <c r="I308" s="126"/>
      <c r="J308" s="126"/>
    </row>
    <row r="309" customFormat="false" ht="11.25" hidden="true" customHeight="true" outlineLevel="0" collapsed="false">
      <c r="A309" s="82" t="s">
        <v>107</v>
      </c>
      <c r="B309" s="83"/>
      <c r="C309" s="83"/>
      <c r="D309" s="84"/>
      <c r="E309" s="85" t="n">
        <f aca="false">E302+E307+E308</f>
        <v>1592.76509516667</v>
      </c>
      <c r="I309" s="126"/>
      <c r="J309" s="126"/>
    </row>
    <row r="310" customFormat="false" ht="11.25" hidden="true" customHeight="true" outlineLevel="0" collapsed="false">
      <c r="A310" s="95" t="s">
        <v>108</v>
      </c>
      <c r="B310" s="132" t="s">
        <v>65</v>
      </c>
      <c r="C310" s="87" t="n">
        <v>0</v>
      </c>
      <c r="D310" s="96" t="n">
        <f aca="false">E309</f>
        <v>1592.76509516667</v>
      </c>
      <c r="E310" s="85" t="n">
        <f aca="false">C310*D310</f>
        <v>0</v>
      </c>
      <c r="I310" s="126"/>
      <c r="J310" s="126"/>
    </row>
    <row r="311" customFormat="false" ht="11.25" hidden="true" customHeight="true" outlineLevel="0" collapsed="false">
      <c r="A311" s="134"/>
      <c r="B311" s="134"/>
      <c r="C311" s="134"/>
      <c r="D311" s="88" t="s">
        <v>34</v>
      </c>
      <c r="E311" s="89" t="n">
        <f aca="false">'FATOR FU_OFICIAL'!F23</f>
        <v>1</v>
      </c>
      <c r="F311" s="121" t="n">
        <f aca="false">E310*E311</f>
        <v>0</v>
      </c>
      <c r="I311" s="126"/>
      <c r="J311" s="126"/>
    </row>
    <row r="312" customFormat="false" ht="11.25" hidden="true" customHeight="true" outlineLevel="0" collapsed="false">
      <c r="I312" s="126"/>
      <c r="J312" s="126"/>
    </row>
    <row r="313" customFormat="false" ht="11.25" hidden="true" customHeight="true" outlineLevel="0" collapsed="false">
      <c r="A313" s="124" t="s">
        <v>165</v>
      </c>
      <c r="I313" s="126"/>
      <c r="J313" s="126"/>
    </row>
    <row r="314" customFormat="false" ht="11.25" hidden="true" customHeight="true" outlineLevel="0" collapsed="false">
      <c r="A314" s="135" t="s">
        <v>16</v>
      </c>
      <c r="B314" s="136" t="s">
        <v>17</v>
      </c>
      <c r="C314" s="136" t="s">
        <v>9</v>
      </c>
      <c r="D314" s="72" t="s">
        <v>18</v>
      </c>
      <c r="E314" s="137" t="s">
        <v>19</v>
      </c>
      <c r="F314" s="73" t="s">
        <v>20</v>
      </c>
      <c r="I314" s="126"/>
      <c r="J314" s="126"/>
    </row>
    <row r="315" customFormat="false" ht="11.25" hidden="true" customHeight="true" outlineLevel="0" collapsed="false">
      <c r="A315" s="78" t="s">
        <v>110</v>
      </c>
      <c r="B315" s="79" t="s">
        <v>65</v>
      </c>
      <c r="C315" s="75" t="n">
        <v>1</v>
      </c>
      <c r="D315" s="81" t="n">
        <f aca="false">D298</f>
        <v>256579</v>
      </c>
      <c r="E315" s="81" t="n">
        <f aca="false">C315*D315</f>
        <v>256579</v>
      </c>
      <c r="F315" s="125"/>
      <c r="I315" s="126"/>
      <c r="J315" s="126"/>
    </row>
    <row r="316" customFormat="false" ht="11.25" hidden="true" customHeight="true" outlineLevel="0" collapsed="false">
      <c r="A316" s="78" t="s">
        <v>111</v>
      </c>
      <c r="B316" s="79" t="s">
        <v>5</v>
      </c>
      <c r="C316" s="92" t="n">
        <f aca="false">'VALORES BASE'!B32</f>
        <v>14.5</v>
      </c>
      <c r="D316" s="81"/>
      <c r="E316" s="81"/>
      <c r="F316" s="125"/>
      <c r="I316" s="126"/>
      <c r="J316" s="126"/>
    </row>
    <row r="317" customFormat="false" ht="11.25" hidden="true" customHeight="true" outlineLevel="0" collapsed="false">
      <c r="A317" s="78" t="s">
        <v>112</v>
      </c>
      <c r="B317" s="79" t="s">
        <v>27</v>
      </c>
      <c r="C317" s="138" t="n">
        <f aca="false">IFERROR(IF(C300&lt;=C299,E298-(C301/(100*C299)*C300)*E298,E298-E301),0)</f>
        <v>256579</v>
      </c>
      <c r="D317" s="81"/>
      <c r="E317" s="81"/>
      <c r="F317" s="125"/>
      <c r="I317" s="126"/>
      <c r="J317" s="126"/>
    </row>
    <row r="318" customFormat="false" ht="11.25" hidden="true" customHeight="true" outlineLevel="0" collapsed="false">
      <c r="A318" s="78" t="s">
        <v>113</v>
      </c>
      <c r="B318" s="79" t="s">
        <v>27</v>
      </c>
      <c r="C318" s="81" t="n">
        <f aca="false">IFERROR(IF(C300&gt;=C299,C317,((((C317)-(E298-E301))*(((C299-C300)+1)/(2*(C299-C300))))+(E298-E301))),0)</f>
        <v>181321.81351</v>
      </c>
      <c r="D318" s="81"/>
      <c r="E318" s="81"/>
      <c r="F318" s="125"/>
      <c r="I318" s="126"/>
      <c r="J318" s="126"/>
    </row>
    <row r="319" customFormat="false" ht="11.25" hidden="true" customHeight="true" outlineLevel="0" collapsed="false">
      <c r="A319" s="127" t="s">
        <v>114</v>
      </c>
      <c r="B319" s="128" t="s">
        <v>27</v>
      </c>
      <c r="C319" s="128"/>
      <c r="D319" s="129" t="n">
        <f aca="false">C316*C318/12/100</f>
        <v>2190.97191324583</v>
      </c>
      <c r="E319" s="129" t="n">
        <f aca="false">D319</f>
        <v>2190.97191324583</v>
      </c>
      <c r="F319" s="125"/>
      <c r="I319" s="126"/>
      <c r="J319" s="126"/>
    </row>
    <row r="320" customFormat="false" ht="11.25" hidden="true" customHeight="true" outlineLevel="0" collapsed="false">
      <c r="A320" s="74" t="s">
        <v>115</v>
      </c>
      <c r="B320" s="75" t="s">
        <v>65</v>
      </c>
      <c r="C320" s="75" t="n">
        <f aca="false">C303</f>
        <v>1</v>
      </c>
      <c r="D320" s="77" t="n">
        <f aca="false">D303</f>
        <v>10000</v>
      </c>
      <c r="E320" s="77" t="n">
        <f aca="false">C320*D320</f>
        <v>10000</v>
      </c>
      <c r="F320" s="125"/>
      <c r="I320" s="126"/>
      <c r="J320" s="126"/>
    </row>
    <row r="321" customFormat="false" ht="11.25" hidden="true" customHeight="true" outlineLevel="0" collapsed="false">
      <c r="A321" s="78" t="s">
        <v>111</v>
      </c>
      <c r="B321" s="79" t="s">
        <v>5</v>
      </c>
      <c r="C321" s="79" t="n">
        <f aca="false">C316</f>
        <v>14.5</v>
      </c>
      <c r="D321" s="81"/>
      <c r="E321" s="81"/>
      <c r="F321" s="125"/>
      <c r="I321" s="126"/>
      <c r="J321" s="126"/>
    </row>
    <row r="322" customFormat="false" ht="11.25" hidden="true" customHeight="true" outlineLevel="0" collapsed="false">
      <c r="A322" s="78" t="s">
        <v>116</v>
      </c>
      <c r="B322" s="79" t="s">
        <v>27</v>
      </c>
      <c r="C322" s="138" t="n">
        <f aca="false">IFERROR(IF(C305&lt;=C304,E303-(C306/(100*C304)*C305)*E303,E303-E306),0)</f>
        <v>10000</v>
      </c>
      <c r="D322" s="81"/>
      <c r="E322" s="81"/>
      <c r="F322" s="125"/>
      <c r="I322" s="126"/>
      <c r="J322" s="126"/>
    </row>
    <row r="323" customFormat="false" ht="11.25" hidden="true" customHeight="true" outlineLevel="0" collapsed="false">
      <c r="A323" s="78" t="s">
        <v>117</v>
      </c>
      <c r="B323" s="79" t="s">
        <v>27</v>
      </c>
      <c r="C323" s="81" t="n">
        <f aca="false">IFERROR(IF(C305&gt;=C304,C322,((((C322)-(E303-E306))*(((C304-C305)+1)/(2*(C304-C305))))+(E303-E306))),0)</f>
        <v>7066.9</v>
      </c>
      <c r="D323" s="81"/>
      <c r="E323" s="81"/>
      <c r="F323" s="125"/>
      <c r="I323" s="126"/>
      <c r="J323" s="126"/>
    </row>
    <row r="324" customFormat="false" ht="11.25" hidden="true" customHeight="true" outlineLevel="0" collapsed="false">
      <c r="A324" s="95" t="s">
        <v>118</v>
      </c>
      <c r="B324" s="132" t="s">
        <v>27</v>
      </c>
      <c r="C324" s="132"/>
      <c r="D324" s="96" t="n">
        <f aca="false">C321*C323/12/100</f>
        <v>85.3917083333333</v>
      </c>
      <c r="E324" s="96" t="n">
        <f aca="false">D324</f>
        <v>85.3917083333333</v>
      </c>
      <c r="F324" s="125"/>
      <c r="I324" s="126"/>
      <c r="J324" s="126"/>
    </row>
    <row r="325" customFormat="false" ht="11.25" hidden="true" customHeight="true" outlineLevel="0" collapsed="false">
      <c r="A325" s="127" t="s">
        <v>164</v>
      </c>
      <c r="B325" s="128" t="s">
        <v>22</v>
      </c>
      <c r="C325" s="128" t="n">
        <v>1</v>
      </c>
      <c r="D325" s="129"/>
      <c r="E325" s="129" t="n">
        <f aca="false">0.1*(E324+E319)</f>
        <v>227.636362157917</v>
      </c>
      <c r="F325" s="125"/>
      <c r="I325" s="126"/>
      <c r="J325" s="126"/>
    </row>
    <row r="326" customFormat="false" ht="11.25" hidden="true" customHeight="true" outlineLevel="0" collapsed="false">
      <c r="A326" s="82" t="s">
        <v>107</v>
      </c>
      <c r="B326" s="83"/>
      <c r="C326" s="83"/>
      <c r="D326" s="84"/>
      <c r="E326" s="85" t="n">
        <f aca="false">E319+E324+E325</f>
        <v>2503.99998373708</v>
      </c>
      <c r="F326" s="125"/>
      <c r="I326" s="126"/>
      <c r="J326" s="126"/>
    </row>
    <row r="327" customFormat="false" ht="11.25" hidden="true" customHeight="true" outlineLevel="0" collapsed="false">
      <c r="A327" s="95" t="s">
        <v>108</v>
      </c>
      <c r="B327" s="132" t="s">
        <v>65</v>
      </c>
      <c r="C327" s="79" t="n">
        <f aca="false">C310</f>
        <v>0</v>
      </c>
      <c r="D327" s="96" t="n">
        <f aca="false">E326</f>
        <v>2503.99998373708</v>
      </c>
      <c r="E327" s="85" t="n">
        <f aca="false">C327*D327</f>
        <v>0</v>
      </c>
      <c r="F327" s="125"/>
      <c r="I327" s="126"/>
      <c r="J327" s="126"/>
    </row>
    <row r="328" customFormat="false" ht="11.25" hidden="true" customHeight="true" outlineLevel="0" collapsed="false">
      <c r="C328" s="139"/>
      <c r="D328" s="88" t="s">
        <v>34</v>
      </c>
      <c r="E328" s="89" t="n">
        <f aca="false">E311</f>
        <v>1</v>
      </c>
      <c r="F328" s="121" t="n">
        <f aca="false">E327*E328</f>
        <v>0</v>
      </c>
      <c r="I328" s="126"/>
      <c r="J328" s="126"/>
    </row>
    <row r="329" customFormat="false" ht="11.25" hidden="true" customHeight="true" outlineLevel="0" collapsed="false">
      <c r="I329" s="126"/>
      <c r="J329" s="126"/>
    </row>
    <row r="330" customFormat="false" ht="11.25" hidden="true" customHeight="true" outlineLevel="0" collapsed="false">
      <c r="A330" s="69" t="s">
        <v>167</v>
      </c>
      <c r="I330" s="126"/>
      <c r="J330" s="126"/>
    </row>
    <row r="331" customFormat="false" ht="11.25" hidden="true" customHeight="true" outlineLevel="0" collapsed="false">
      <c r="A331" s="70" t="s">
        <v>16</v>
      </c>
      <c r="B331" s="71" t="s">
        <v>17</v>
      </c>
      <c r="C331" s="71" t="s">
        <v>9</v>
      </c>
      <c r="D331" s="72" t="s">
        <v>18</v>
      </c>
      <c r="E331" s="72" t="s">
        <v>19</v>
      </c>
      <c r="F331" s="73" t="s">
        <v>20</v>
      </c>
      <c r="I331" s="126"/>
      <c r="J331" s="126"/>
    </row>
    <row r="332" customFormat="false" ht="11.25" hidden="true" customHeight="true" outlineLevel="0" collapsed="false">
      <c r="A332" s="74" t="s">
        <v>120</v>
      </c>
      <c r="B332" s="75" t="s">
        <v>65</v>
      </c>
      <c r="C332" s="77" t="n">
        <f aca="false">C310</f>
        <v>0</v>
      </c>
      <c r="D332" s="77" t="n">
        <f aca="false">0.03*E298</f>
        <v>7697.37</v>
      </c>
      <c r="E332" s="77" t="n">
        <f aca="false">C332*D332</f>
        <v>0</v>
      </c>
      <c r="I332" s="126"/>
      <c r="J332" s="126"/>
    </row>
    <row r="333" customFormat="false" ht="11.25" hidden="true" customHeight="true" outlineLevel="0" collapsed="false">
      <c r="A333" s="78" t="s">
        <v>121</v>
      </c>
      <c r="B333" s="79" t="s">
        <v>65</v>
      </c>
      <c r="C333" s="77" t="n">
        <v>0</v>
      </c>
      <c r="D333" s="106" t="n">
        <f aca="false">'VALORES BASE'!B39</f>
        <v>109.27</v>
      </c>
      <c r="E333" s="81" t="n">
        <f aca="false">C333*D333</f>
        <v>0</v>
      </c>
      <c r="I333" s="126"/>
      <c r="J333" s="126"/>
    </row>
    <row r="334" customFormat="false" ht="11.25" hidden="true" customHeight="true" outlineLevel="0" collapsed="false">
      <c r="A334" s="78" t="s">
        <v>122</v>
      </c>
      <c r="B334" s="79" t="s">
        <v>65</v>
      </c>
      <c r="C334" s="77" t="n">
        <f aca="false">C310</f>
        <v>0</v>
      </c>
      <c r="D334" s="106" t="n">
        <f aca="false">'VALORES BASE'!B41</f>
        <v>3500</v>
      </c>
      <c r="E334" s="81" t="n">
        <f aca="false">C334*D334</f>
        <v>0</v>
      </c>
      <c r="F334" s="84"/>
      <c r="I334" s="126"/>
      <c r="J334" s="126"/>
    </row>
    <row r="335" customFormat="false" ht="11.25" hidden="true" customHeight="true" outlineLevel="0" collapsed="false">
      <c r="A335" s="95" t="s">
        <v>123</v>
      </c>
      <c r="B335" s="132" t="s">
        <v>22</v>
      </c>
      <c r="C335" s="132" t="n">
        <v>12</v>
      </c>
      <c r="D335" s="96" t="n">
        <f aca="false">SUM(E332:E334)</f>
        <v>0</v>
      </c>
      <c r="E335" s="96" t="n">
        <f aca="false">D335/C335</f>
        <v>0</v>
      </c>
      <c r="I335" s="126"/>
      <c r="J335" s="126"/>
    </row>
    <row r="336" customFormat="false" ht="11.25" hidden="true" customHeight="true" outlineLevel="0" collapsed="false">
      <c r="D336" s="88" t="s">
        <v>34</v>
      </c>
      <c r="E336" s="89" t="n">
        <f aca="false">E328</f>
        <v>1</v>
      </c>
      <c r="F336" s="90" t="n">
        <f aca="false">E335*E336</f>
        <v>0</v>
      </c>
      <c r="I336" s="126"/>
      <c r="J336" s="126"/>
    </row>
    <row r="337" customFormat="false" ht="11.25" hidden="true" customHeight="true" outlineLevel="0" collapsed="false">
      <c r="I337" s="126"/>
      <c r="J337" s="126"/>
    </row>
    <row r="338" customFormat="false" ht="11.25" hidden="true" customHeight="true" outlineLevel="0" collapsed="false">
      <c r="A338" s="69" t="s">
        <v>168</v>
      </c>
      <c r="B338" s="140"/>
      <c r="I338" s="126"/>
      <c r="J338" s="126"/>
    </row>
    <row r="339" customFormat="false" ht="11.25" hidden="true" customHeight="true" outlineLevel="0" collapsed="false">
      <c r="B339" s="140"/>
      <c r="I339" s="126"/>
      <c r="J339" s="126"/>
    </row>
    <row r="340" customFormat="false" ht="11.25" hidden="true" customHeight="true" outlineLevel="0" collapsed="false">
      <c r="A340" s="95" t="s">
        <v>125</v>
      </c>
      <c r="B340" s="141" t="n">
        <v>0</v>
      </c>
      <c r="C340" s="1" t="s">
        <v>232</v>
      </c>
      <c r="I340" s="126"/>
      <c r="J340" s="126"/>
    </row>
    <row r="341" customFormat="false" ht="11.25" hidden="true" customHeight="true" outlineLevel="0" collapsed="false">
      <c r="B341" s="140"/>
      <c r="I341" s="126"/>
      <c r="J341" s="126"/>
    </row>
    <row r="342" customFormat="false" ht="11.25" hidden="true" customHeight="true" outlineLevel="0" collapsed="false">
      <c r="A342" s="70" t="s">
        <v>16</v>
      </c>
      <c r="B342" s="71" t="s">
        <v>17</v>
      </c>
      <c r="C342" s="71" t="s">
        <v>126</v>
      </c>
      <c r="D342" s="72" t="s">
        <v>18</v>
      </c>
      <c r="E342" s="72" t="s">
        <v>19</v>
      </c>
      <c r="F342" s="73" t="s">
        <v>20</v>
      </c>
      <c r="I342" s="126"/>
      <c r="J342" s="126"/>
    </row>
    <row r="343" customFormat="false" ht="11.25" hidden="true" customHeight="true" outlineLevel="0" collapsed="false">
      <c r="A343" s="74" t="s">
        <v>127</v>
      </c>
      <c r="B343" s="75" t="s">
        <v>128</v>
      </c>
      <c r="C343" s="142" t="n">
        <v>8</v>
      </c>
      <c r="D343" s="143" t="n">
        <f aca="false">'VALORES BASE'!B38</f>
        <v>7.03</v>
      </c>
      <c r="E343" s="77"/>
      <c r="I343" s="126"/>
      <c r="J343" s="126"/>
    </row>
    <row r="344" customFormat="false" ht="11.25" hidden="true" customHeight="true" outlineLevel="0" collapsed="false">
      <c r="A344" s="78" t="s">
        <v>129</v>
      </c>
      <c r="B344" s="79" t="s">
        <v>130</v>
      </c>
      <c r="C344" s="101" t="n">
        <f aca="false">B340</f>
        <v>0</v>
      </c>
      <c r="D344" s="144" t="n">
        <f aca="false">IFERROR(+D343/C343,"-")</f>
        <v>0.87875</v>
      </c>
      <c r="E344" s="81" t="n">
        <f aca="false">IFERROR(C344*D344,"-")</f>
        <v>0</v>
      </c>
      <c r="I344" s="126"/>
      <c r="J344" s="126"/>
    </row>
    <row r="345" customFormat="false" ht="11.25" hidden="true" customHeight="true" outlineLevel="0" collapsed="false">
      <c r="A345" s="78" t="s">
        <v>131</v>
      </c>
      <c r="B345" s="79" t="s">
        <v>132</v>
      </c>
      <c r="C345" s="145" t="n">
        <v>3</v>
      </c>
      <c r="D345" s="106" t="n">
        <f aca="false">'VALORES BASE'!B42</f>
        <v>36.3</v>
      </c>
      <c r="E345" s="81"/>
      <c r="I345" s="126"/>
      <c r="J345" s="126"/>
    </row>
    <row r="346" customFormat="false" ht="11.25" hidden="true" customHeight="true" outlineLevel="0" collapsed="false">
      <c r="A346" s="78" t="s">
        <v>133</v>
      </c>
      <c r="B346" s="79" t="s">
        <v>130</v>
      </c>
      <c r="C346" s="101" t="n">
        <f aca="false">C344</f>
        <v>0</v>
      </c>
      <c r="D346" s="146" t="n">
        <f aca="false">+C345*D345/1000</f>
        <v>0.1089</v>
      </c>
      <c r="E346" s="81" t="n">
        <f aca="false">C346*D346</f>
        <v>0</v>
      </c>
      <c r="I346" s="126"/>
      <c r="J346" s="126"/>
    </row>
    <row r="347" customFormat="false" ht="11.25" hidden="true" customHeight="true" outlineLevel="0" collapsed="false">
      <c r="A347" s="78" t="s">
        <v>134</v>
      </c>
      <c r="B347" s="79" t="s">
        <v>132</v>
      </c>
      <c r="C347" s="145" t="n">
        <v>0.66</v>
      </c>
      <c r="D347" s="106" t="n">
        <f aca="false">'VALORES BASE'!B43</f>
        <v>54.12</v>
      </c>
      <c r="E347" s="81"/>
      <c r="I347" s="126"/>
      <c r="J347" s="126"/>
    </row>
    <row r="348" customFormat="false" ht="11.25" hidden="true" customHeight="true" outlineLevel="0" collapsed="false">
      <c r="A348" s="78" t="s">
        <v>135</v>
      </c>
      <c r="B348" s="79" t="s">
        <v>130</v>
      </c>
      <c r="C348" s="101" t="n">
        <f aca="false">C344</f>
        <v>0</v>
      </c>
      <c r="D348" s="146" t="n">
        <f aca="false">+C347*D347/1000</f>
        <v>0.0357192</v>
      </c>
      <c r="E348" s="81" t="n">
        <f aca="false">C348*D348</f>
        <v>0</v>
      </c>
      <c r="I348" s="126"/>
      <c r="J348" s="126"/>
    </row>
    <row r="349" customFormat="false" ht="11.25" hidden="true" customHeight="true" outlineLevel="0" collapsed="false">
      <c r="A349" s="78" t="s">
        <v>136</v>
      </c>
      <c r="B349" s="79" t="s">
        <v>132</v>
      </c>
      <c r="C349" s="145" t="n">
        <v>3.48</v>
      </c>
      <c r="D349" s="106" t="n">
        <f aca="false">'VALORES BASE'!B44</f>
        <v>47.4</v>
      </c>
      <c r="E349" s="81"/>
      <c r="I349" s="126"/>
      <c r="J349" s="126"/>
    </row>
    <row r="350" customFormat="false" ht="11.25" hidden="true" customHeight="true" outlineLevel="0" collapsed="false">
      <c r="A350" s="78" t="s">
        <v>137</v>
      </c>
      <c r="B350" s="79" t="s">
        <v>130</v>
      </c>
      <c r="C350" s="101" t="n">
        <f aca="false">C344</f>
        <v>0</v>
      </c>
      <c r="D350" s="146" t="n">
        <f aca="false">+C349*D349/1000</f>
        <v>0.164952</v>
      </c>
      <c r="E350" s="81" t="n">
        <f aca="false">C350*D350</f>
        <v>0</v>
      </c>
      <c r="I350" s="126"/>
      <c r="J350" s="126"/>
    </row>
    <row r="351" customFormat="false" ht="11.25" hidden="true" customHeight="true" outlineLevel="0" collapsed="false">
      <c r="A351" s="78" t="s">
        <v>138</v>
      </c>
      <c r="B351" s="79" t="s">
        <v>139</v>
      </c>
      <c r="C351" s="145" t="n">
        <v>2</v>
      </c>
      <c r="D351" s="106" t="n">
        <f aca="false">'VALORES BASE'!B45</f>
        <v>36</v>
      </c>
      <c r="E351" s="81"/>
      <c r="I351" s="126"/>
      <c r="J351" s="126"/>
    </row>
    <row r="352" customFormat="false" ht="11.25" hidden="true" customHeight="true" outlineLevel="0" collapsed="false">
      <c r="A352" s="78" t="s">
        <v>140</v>
      </c>
      <c r="B352" s="79" t="s">
        <v>130</v>
      </c>
      <c r="C352" s="101" t="n">
        <f aca="false">C344</f>
        <v>0</v>
      </c>
      <c r="D352" s="146" t="n">
        <f aca="false">+C351*D351/1000</f>
        <v>0.072</v>
      </c>
      <c r="E352" s="81" t="n">
        <f aca="false">C352*D352</f>
        <v>0</v>
      </c>
      <c r="I352" s="126"/>
      <c r="J352" s="126"/>
    </row>
    <row r="353" customFormat="false" ht="11.25" hidden="true" customHeight="true" outlineLevel="0" collapsed="false">
      <c r="A353" s="78" t="s">
        <v>141</v>
      </c>
      <c r="B353" s="79" t="s">
        <v>142</v>
      </c>
      <c r="C353" s="101" t="n">
        <f aca="false">(B340/C343)*(5/100)</f>
        <v>0</v>
      </c>
      <c r="D353" s="157" t="n">
        <f aca="false">'VALORES BASE'!B31</f>
        <v>8</v>
      </c>
      <c r="E353" s="81" t="n">
        <f aca="false">C353*D353</f>
        <v>0</v>
      </c>
      <c r="I353" s="126"/>
      <c r="J353" s="126"/>
    </row>
    <row r="354" customFormat="false" ht="11.25" hidden="true" customHeight="true" outlineLevel="0" collapsed="false">
      <c r="A354" s="95" t="s">
        <v>143</v>
      </c>
      <c r="B354" s="132" t="s">
        <v>144</v>
      </c>
      <c r="C354" s="148"/>
      <c r="D354" s="149" t="n">
        <f aca="false">IFERROR(D344+D346+D348+D350+D352,0)</f>
        <v>1.2603212</v>
      </c>
      <c r="E354" s="81"/>
      <c r="I354" s="126"/>
      <c r="J354" s="126"/>
    </row>
    <row r="355" customFormat="false" ht="11.25" hidden="true" customHeight="true" outlineLevel="0" collapsed="false">
      <c r="F355" s="121" t="n">
        <f aca="false">SUM(E343:E353)</f>
        <v>0</v>
      </c>
      <c r="I355" s="126"/>
      <c r="J355" s="126"/>
    </row>
    <row r="356" customFormat="false" ht="11.25" hidden="true" customHeight="true" outlineLevel="0" collapsed="false">
      <c r="I356" s="126"/>
      <c r="J356" s="126"/>
    </row>
    <row r="357" customFormat="false" ht="11.25" hidden="true" customHeight="true" outlineLevel="0" collapsed="false">
      <c r="A357" s="69" t="s">
        <v>171</v>
      </c>
      <c r="I357" s="126"/>
      <c r="J357" s="126"/>
    </row>
    <row r="358" customFormat="false" ht="11.25" hidden="true" customHeight="true" outlineLevel="0" collapsed="false">
      <c r="A358" s="70" t="s">
        <v>16</v>
      </c>
      <c r="B358" s="71" t="s">
        <v>17</v>
      </c>
      <c r="C358" s="71" t="s">
        <v>9</v>
      </c>
      <c r="D358" s="72" t="s">
        <v>18</v>
      </c>
      <c r="E358" s="72" t="s">
        <v>19</v>
      </c>
      <c r="F358" s="73" t="s">
        <v>20</v>
      </c>
      <c r="I358" s="126"/>
      <c r="J358" s="126"/>
    </row>
    <row r="359" customFormat="false" ht="11.25" hidden="true" customHeight="true" outlineLevel="0" collapsed="false">
      <c r="A359" s="74" t="s">
        <v>146</v>
      </c>
      <c r="B359" s="75" t="s">
        <v>144</v>
      </c>
      <c r="C359" s="101" t="n">
        <f aca="false">C344</f>
        <v>0</v>
      </c>
      <c r="D359" s="76" t="n">
        <f aca="false">'VALORES BASE'!B46</f>
        <v>1.32</v>
      </c>
      <c r="E359" s="77" t="n">
        <f aca="false">C359*D359</f>
        <v>0</v>
      </c>
      <c r="I359" s="126"/>
      <c r="J359" s="126"/>
    </row>
    <row r="360" customFormat="false" ht="11.25" hidden="true" customHeight="true" outlineLevel="0" collapsed="false">
      <c r="F360" s="121" t="n">
        <f aca="false">E359</f>
        <v>0</v>
      </c>
      <c r="I360" s="126"/>
      <c r="J360" s="126"/>
    </row>
    <row r="361" customFormat="false" ht="11.25" hidden="true" customHeight="true" outlineLevel="0" collapsed="false">
      <c r="I361" s="126"/>
      <c r="J361" s="126"/>
    </row>
    <row r="362" customFormat="false" ht="11.25" hidden="true" customHeight="true" outlineLevel="0" collapsed="false">
      <c r="A362" s="69" t="s">
        <v>173</v>
      </c>
      <c r="I362" s="126"/>
      <c r="J362" s="126"/>
    </row>
    <row r="363" customFormat="false" ht="11.25" hidden="true" customHeight="true" outlineLevel="0" collapsed="false">
      <c r="A363" s="70" t="s">
        <v>16</v>
      </c>
      <c r="B363" s="71" t="s">
        <v>17</v>
      </c>
      <c r="C363" s="71" t="s">
        <v>9</v>
      </c>
      <c r="D363" s="72" t="s">
        <v>18</v>
      </c>
      <c r="E363" s="72" t="s">
        <v>19</v>
      </c>
      <c r="F363" s="73" t="s">
        <v>20</v>
      </c>
      <c r="I363" s="126"/>
      <c r="J363" s="126"/>
    </row>
    <row r="364" customFormat="false" ht="11.25" hidden="true" customHeight="true" outlineLevel="0" collapsed="false">
      <c r="A364" s="74" t="s">
        <v>187</v>
      </c>
      <c r="B364" s="75" t="s">
        <v>65</v>
      </c>
      <c r="C364" s="150" t="n">
        <v>4</v>
      </c>
      <c r="D364" s="76" t="n">
        <f aca="false">'VALORES BASE'!B57</f>
        <v>650</v>
      </c>
      <c r="E364" s="77" t="n">
        <f aca="false">C364*D364</f>
        <v>2600</v>
      </c>
      <c r="I364" s="126"/>
      <c r="J364" s="126"/>
    </row>
    <row r="365" customFormat="false" ht="11.25" hidden="true" customHeight="true" outlineLevel="0" collapsed="false">
      <c r="A365" s="74" t="s">
        <v>149</v>
      </c>
      <c r="B365" s="75" t="s">
        <v>65</v>
      </c>
      <c r="C365" s="150" t="n">
        <v>3</v>
      </c>
      <c r="D365" s="77"/>
      <c r="E365" s="77"/>
      <c r="I365" s="126"/>
      <c r="J365" s="126"/>
    </row>
    <row r="366" customFormat="false" ht="11.25" hidden="true" customHeight="true" outlineLevel="0" collapsed="false">
      <c r="A366" s="74" t="s">
        <v>150</v>
      </c>
      <c r="B366" s="75" t="s">
        <v>65</v>
      </c>
      <c r="C366" s="77" t="n">
        <f aca="false">C364*C365</f>
        <v>12</v>
      </c>
      <c r="D366" s="76" t="n">
        <f aca="false">0.35*D364</f>
        <v>227.5</v>
      </c>
      <c r="E366" s="77" t="n">
        <f aca="false">C366*D366</f>
        <v>2730</v>
      </c>
      <c r="I366" s="126"/>
      <c r="J366" s="126"/>
    </row>
    <row r="367" customFormat="false" ht="11.25" hidden="true" customHeight="true" outlineLevel="0" collapsed="false">
      <c r="A367" s="151" t="s">
        <v>175</v>
      </c>
      <c r="B367" s="79" t="s">
        <v>152</v>
      </c>
      <c r="C367" s="152" t="n">
        <v>80000</v>
      </c>
      <c r="D367" s="81" t="n">
        <f aca="false">E364+E366</f>
        <v>5330</v>
      </c>
      <c r="E367" s="81" t="n">
        <f aca="false">IFERROR(D367/C367,"-")</f>
        <v>0.066625</v>
      </c>
      <c r="I367" s="126"/>
      <c r="J367" s="126"/>
    </row>
    <row r="368" customFormat="false" ht="11.25" hidden="true" customHeight="true" outlineLevel="0" collapsed="false">
      <c r="A368" s="78" t="s">
        <v>153</v>
      </c>
      <c r="B368" s="79" t="s">
        <v>130</v>
      </c>
      <c r="C368" s="101" t="n">
        <f aca="false">B340</f>
        <v>0</v>
      </c>
      <c r="D368" s="81" t="n">
        <f aca="false">E367</f>
        <v>0.066625</v>
      </c>
      <c r="E368" s="81" t="n">
        <f aca="false">IFERROR(C368*D368,0)</f>
        <v>0</v>
      </c>
      <c r="I368" s="126"/>
      <c r="J368" s="126"/>
    </row>
    <row r="369" customFormat="false" ht="11.25" hidden="true" customHeight="true" outlineLevel="0" collapsed="false">
      <c r="F369" s="121" t="n">
        <f aca="false">E368</f>
        <v>0</v>
      </c>
      <c r="I369" s="126"/>
      <c r="J369" s="126"/>
    </row>
    <row r="370" customFormat="false" ht="12.8" hidden="true" customHeight="false" outlineLevel="0" collapsed="false">
      <c r="G370" s="1"/>
    </row>
    <row r="371" customFormat="false" ht="12.8" hidden="false" customHeight="false" outlineLevel="0" collapsed="false">
      <c r="G371" s="1"/>
    </row>
    <row r="372" customFormat="false" ht="12.8" hidden="false" customHeight="false" outlineLevel="0" collapsed="false">
      <c r="G372" s="1"/>
    </row>
    <row r="373" customFormat="false" ht="12.8" hidden="false" customHeight="true" outlineLevel="0" collapsed="false">
      <c r="A373" s="107" t="s">
        <v>188</v>
      </c>
      <c r="B373" s="108"/>
      <c r="C373" s="108"/>
      <c r="D373" s="38"/>
      <c r="E373" s="109"/>
      <c r="F373" s="121" t="n">
        <f aca="false">+SUM(F203:F369)</f>
        <v>64229.0214636732</v>
      </c>
      <c r="G373" s="1"/>
    </row>
    <row r="374" customFormat="false" ht="12.8" hidden="false" customHeight="false" outlineLevel="0" collapsed="false">
      <c r="G374" s="1"/>
    </row>
    <row r="375" customFormat="false" ht="12.8" hidden="false" customHeight="false" outlineLevel="0" collapsed="false">
      <c r="A375" s="65" t="s">
        <v>189</v>
      </c>
      <c r="B375" s="65"/>
      <c r="C375" s="65"/>
      <c r="D375" s="25"/>
      <c r="E375" s="25"/>
      <c r="F375" s="84"/>
      <c r="G375" s="1"/>
    </row>
    <row r="376" customFormat="false" ht="12.8" hidden="false" customHeight="false" outlineLevel="0" collapsed="false">
      <c r="G376" s="1"/>
    </row>
    <row r="377" customFormat="false" ht="12.8" hidden="false" customHeight="false" outlineLevel="0" collapsed="false">
      <c r="A377" s="70" t="s">
        <v>16</v>
      </c>
      <c r="B377" s="71" t="s">
        <v>17</v>
      </c>
      <c r="C377" s="71" t="s">
        <v>9</v>
      </c>
      <c r="D377" s="72" t="s">
        <v>18</v>
      </c>
      <c r="E377" s="72" t="s">
        <v>19</v>
      </c>
      <c r="F377" s="73" t="s">
        <v>20</v>
      </c>
      <c r="G377" s="1"/>
    </row>
    <row r="378" customFormat="false" ht="12.8" hidden="false" customHeight="false" outlineLevel="0" collapsed="false">
      <c r="A378" s="78" t="s">
        <v>190</v>
      </c>
      <c r="B378" s="79" t="s">
        <v>65</v>
      </c>
      <c r="C378" s="111" t="n">
        <v>0.5</v>
      </c>
      <c r="D378" s="76" t="n">
        <f aca="false">'VALORES BASE'!B23</f>
        <v>41.22</v>
      </c>
      <c r="E378" s="81" t="n">
        <f aca="false">C378*D378</f>
        <v>20.61</v>
      </c>
      <c r="F378" s="125" t="s">
        <v>233</v>
      </c>
      <c r="G378" s="1"/>
    </row>
    <row r="379" customFormat="false" ht="12.8" hidden="false" customHeight="false" outlineLevel="0" collapsed="false">
      <c r="A379" s="78" t="s">
        <v>191</v>
      </c>
      <c r="B379" s="79" t="s">
        <v>65</v>
      </c>
      <c r="C379" s="111" t="n">
        <v>0.5</v>
      </c>
      <c r="D379" s="76" t="n">
        <f aca="false">'VALORES BASE'!B24</f>
        <v>45.9</v>
      </c>
      <c r="E379" s="81" t="n">
        <f aca="false">C379*D379</f>
        <v>22.95</v>
      </c>
      <c r="F379" s="125" t="s">
        <v>233</v>
      </c>
      <c r="G379" s="1"/>
    </row>
    <row r="380" customFormat="false" ht="12.8" hidden="false" customHeight="false" outlineLevel="0" collapsed="false">
      <c r="A380" s="78" t="s">
        <v>192</v>
      </c>
      <c r="B380" s="79" t="s">
        <v>65</v>
      </c>
      <c r="C380" s="111" t="n">
        <f aca="false">1/2</f>
        <v>0.5</v>
      </c>
      <c r="D380" s="76" t="n">
        <f aca="false">'VALORES BASE'!B25</f>
        <v>51.29</v>
      </c>
      <c r="E380" s="81" t="n">
        <f aca="false">C380*D380</f>
        <v>25.645</v>
      </c>
      <c r="F380" s="125" t="s">
        <v>234</v>
      </c>
      <c r="G380" s="1"/>
    </row>
    <row r="381" customFormat="false" ht="12.8" hidden="false" customHeight="false" outlineLevel="0" collapsed="false">
      <c r="A381" s="78" t="s">
        <v>193</v>
      </c>
      <c r="B381" s="79" t="s">
        <v>194</v>
      </c>
      <c r="C381" s="111" t="n">
        <v>0.166666666666667</v>
      </c>
      <c r="D381" s="76" t="n">
        <f aca="false">'VALORES BASE'!B26</f>
        <v>20</v>
      </c>
      <c r="E381" s="81" t="n">
        <f aca="false">C381*D381</f>
        <v>3.33333333333334</v>
      </c>
      <c r="F381" s="125"/>
      <c r="G381" s="1"/>
    </row>
    <row r="382" customFormat="false" ht="12.8" hidden="false" customHeight="false" outlineLevel="0" collapsed="false">
      <c r="A382" s="78" t="s">
        <v>195</v>
      </c>
      <c r="B382" s="79" t="s">
        <v>194</v>
      </c>
      <c r="C382" s="111" t="n">
        <v>0.166666666666667</v>
      </c>
      <c r="D382" s="76" t="n">
        <f aca="false">'VALORES BASE'!B27</f>
        <v>260</v>
      </c>
      <c r="E382" s="81" t="n">
        <f aca="false">C382*D382</f>
        <v>43.3333333333334</v>
      </c>
      <c r="F382" s="125"/>
      <c r="G382" s="1"/>
    </row>
    <row r="383" customFormat="false" ht="13.8" hidden="false" customHeight="false" outlineLevel="0" collapsed="false">
      <c r="A383" s="159" t="s">
        <v>196</v>
      </c>
      <c r="B383" s="79" t="s">
        <v>197</v>
      </c>
      <c r="C383" s="152" t="n">
        <v>1</v>
      </c>
      <c r="D383" s="76" t="n">
        <v>1500</v>
      </c>
      <c r="E383" s="81" t="n">
        <f aca="false">(C383*D383)</f>
        <v>1500</v>
      </c>
      <c r="F383" s="125"/>
      <c r="G383" s="1"/>
    </row>
    <row r="384" customFormat="false" ht="12.8" hidden="false" customHeight="false" outlineLevel="0" collapsed="false">
      <c r="A384" s="65"/>
      <c r="B384" s="65"/>
      <c r="C384" s="65"/>
      <c r="D384" s="65"/>
      <c r="E384" s="25"/>
      <c r="F384" s="121" t="n">
        <f aca="false">SUM(E378:E383)</f>
        <v>1615.87166666667</v>
      </c>
      <c r="G384" s="1"/>
    </row>
    <row r="385" customFormat="false" ht="12.8" hidden="false" customHeight="false" outlineLevel="0" collapsed="false">
      <c r="G385" s="1"/>
    </row>
    <row r="386" customFormat="false" ht="12.8" hidden="false" customHeight="false" outlineLevel="0" collapsed="false">
      <c r="A386" s="107" t="s">
        <v>198</v>
      </c>
      <c r="B386" s="108"/>
      <c r="C386" s="108"/>
      <c r="D386" s="38"/>
      <c r="E386" s="109"/>
      <c r="F386" s="121" t="n">
        <f aca="false">+F384</f>
        <v>1615.87166666667</v>
      </c>
      <c r="G386" s="1"/>
    </row>
    <row r="387" customFormat="false" ht="12.8" hidden="false" customHeight="false" outlineLevel="0" collapsed="false">
      <c r="G387" s="1"/>
    </row>
    <row r="388" customFormat="false" ht="12.8" hidden="false" customHeight="false" outlineLevel="0" collapsed="false">
      <c r="A388" s="158" t="s">
        <v>199</v>
      </c>
      <c r="B388" s="65"/>
      <c r="C388" s="65"/>
      <c r="D388" s="25"/>
      <c r="E388" s="25"/>
      <c r="F388" s="84"/>
    </row>
    <row r="390" customFormat="false" ht="12.8" hidden="false" customHeight="true" outlineLevel="0" collapsed="false">
      <c r="A390" s="70" t="s">
        <v>16</v>
      </c>
      <c r="B390" s="71" t="s">
        <v>17</v>
      </c>
      <c r="C390" s="71" t="s">
        <v>9</v>
      </c>
      <c r="D390" s="72" t="s">
        <v>18</v>
      </c>
      <c r="E390" s="72" t="s">
        <v>19</v>
      </c>
      <c r="F390" s="73" t="s">
        <v>20</v>
      </c>
    </row>
    <row r="391" customFormat="false" ht="12.8" hidden="false" customHeight="false" outlineLevel="0" collapsed="false">
      <c r="A391" s="78" t="s">
        <v>200</v>
      </c>
      <c r="B391" s="160" t="s">
        <v>194</v>
      </c>
      <c r="C391" s="116" t="n">
        <f aca="false">C203</f>
        <v>1</v>
      </c>
      <c r="D391" s="106" t="n">
        <f aca="false">'VALORES BASE'!B52</f>
        <v>5000</v>
      </c>
      <c r="E391" s="81" t="n">
        <f aca="false">+D391*C391</f>
        <v>5000</v>
      </c>
      <c r="F391" s="125"/>
    </row>
    <row r="392" customFormat="false" ht="12.8" hidden="false" customHeight="false" outlineLevel="0" collapsed="false">
      <c r="A392" s="78" t="s">
        <v>201</v>
      </c>
      <c r="B392" s="160" t="s">
        <v>22</v>
      </c>
      <c r="C392" s="176" t="n">
        <v>60</v>
      </c>
      <c r="D392" s="161" t="n">
        <f aca="false">SUM(E391)</f>
        <v>5000</v>
      </c>
      <c r="E392" s="161" t="n">
        <f aca="false">+D392/C392</f>
        <v>83.3333333333333</v>
      </c>
      <c r="F392" s="125"/>
    </row>
    <row r="393" customFormat="false" ht="12.8" hidden="false" customHeight="false" outlineLevel="0" collapsed="false">
      <c r="A393" s="78" t="s">
        <v>202</v>
      </c>
      <c r="B393" s="79" t="s">
        <v>65</v>
      </c>
      <c r="C393" s="162" t="n">
        <f aca="false">SUM(E35)</f>
        <v>3</v>
      </c>
      <c r="D393" s="106" t="n">
        <f aca="false">'VALORES BASE'!B53</f>
        <v>150</v>
      </c>
      <c r="E393" s="81" t="n">
        <f aca="false">C393*D393</f>
        <v>450</v>
      </c>
      <c r="F393" s="125"/>
    </row>
    <row r="394" customFormat="false" ht="12.8" hidden="false" customHeight="false" outlineLevel="0" collapsed="false">
      <c r="A394" s="78" t="s">
        <v>203</v>
      </c>
      <c r="B394" s="160" t="s">
        <v>22</v>
      </c>
      <c r="C394" s="79" t="n">
        <v>1</v>
      </c>
      <c r="D394" s="161" t="n">
        <f aca="false">+E393</f>
        <v>450</v>
      </c>
      <c r="E394" s="161" t="n">
        <f aca="false">+D394/C394</f>
        <v>450</v>
      </c>
      <c r="F394" s="125"/>
    </row>
    <row r="395" customFormat="false" ht="12.8" hidden="false" customHeight="false" outlineLevel="0" collapsed="false">
      <c r="A395" s="163"/>
      <c r="B395" s="163"/>
      <c r="C395" s="163"/>
      <c r="D395" s="88" t="s">
        <v>34</v>
      </c>
      <c r="E395" s="89" t="n">
        <f aca="false">'FATOR FU_OFICIAL'!F23</f>
        <v>1</v>
      </c>
      <c r="F395" s="121" t="n">
        <f aca="false">(E392+E394)*E395</f>
        <v>533.333333333333</v>
      </c>
    </row>
    <row r="396" customFormat="false" ht="12.8" hidden="false" customHeight="false" outlineLevel="0" collapsed="false">
      <c r="G396" s="164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  <c r="AA396" s="165"/>
      <c r="AB396" s="165"/>
      <c r="AC396" s="165"/>
      <c r="AD396" s="165"/>
      <c r="AE396" s="165"/>
      <c r="AF396" s="165"/>
      <c r="AG396" s="165"/>
      <c r="AH396" s="165"/>
      <c r="AI396" s="165"/>
      <c r="AJ396" s="165"/>
      <c r="AK396" s="165"/>
      <c r="AL396" s="165"/>
      <c r="AM396" s="165"/>
      <c r="AN396" s="165"/>
      <c r="AO396" s="165"/>
      <c r="AP396" s="165"/>
      <c r="AQ396" s="165"/>
      <c r="AR396" s="165"/>
      <c r="AS396" s="165"/>
      <c r="AT396" s="165"/>
      <c r="AU396" s="165"/>
      <c r="AV396" s="165"/>
      <c r="AW396" s="165"/>
      <c r="AX396" s="165"/>
      <c r="AY396" s="165"/>
      <c r="AZ396" s="165"/>
      <c r="BA396" s="165"/>
      <c r="BB396" s="165"/>
      <c r="BC396" s="165"/>
      <c r="BD396" s="165"/>
      <c r="BE396" s="165"/>
      <c r="BF396" s="165"/>
      <c r="BG396" s="165"/>
      <c r="BH396" s="165"/>
      <c r="BI396" s="165"/>
      <c r="BJ396" s="165"/>
      <c r="BK396" s="165"/>
      <c r="BL396" s="165"/>
      <c r="BM396" s="165"/>
      <c r="BN396" s="165"/>
      <c r="BO396" s="165"/>
      <c r="BP396" s="165"/>
      <c r="BQ396" s="165"/>
      <c r="BR396" s="165"/>
      <c r="BS396" s="165"/>
      <c r="BT396" s="165"/>
      <c r="BU396" s="165"/>
      <c r="BV396" s="165"/>
      <c r="BW396" s="165"/>
      <c r="BX396" s="165"/>
      <c r="BY396" s="165"/>
      <c r="BZ396" s="165"/>
      <c r="CA396" s="165"/>
      <c r="CB396" s="165"/>
      <c r="CC396" s="165"/>
      <c r="CD396" s="165"/>
      <c r="CE396" s="165"/>
      <c r="CF396" s="165"/>
      <c r="CG396" s="165"/>
      <c r="CH396" s="165"/>
      <c r="CI396" s="165"/>
      <c r="CJ396" s="165"/>
      <c r="CK396" s="165"/>
      <c r="CL396" s="165"/>
      <c r="CM396" s="165"/>
      <c r="CN396" s="165"/>
      <c r="CO396" s="165"/>
      <c r="CP396" s="165"/>
      <c r="CQ396" s="165"/>
      <c r="CR396" s="165"/>
      <c r="CS396" s="165"/>
      <c r="CT396" s="165"/>
      <c r="CU396" s="165"/>
      <c r="CV396" s="165"/>
      <c r="CW396" s="165"/>
      <c r="CX396" s="165"/>
      <c r="CY396" s="165"/>
      <c r="CZ396" s="165"/>
      <c r="DA396" s="165"/>
      <c r="DB396" s="165"/>
      <c r="DC396" s="165"/>
      <c r="DD396" s="165"/>
      <c r="DE396" s="165"/>
      <c r="DF396" s="165"/>
      <c r="DG396" s="165"/>
      <c r="DH396" s="165"/>
      <c r="DI396" s="165"/>
      <c r="DJ396" s="165"/>
      <c r="DK396" s="165"/>
      <c r="DL396" s="165"/>
      <c r="DM396" s="165"/>
      <c r="DN396" s="165"/>
      <c r="DO396" s="165"/>
      <c r="DP396" s="165"/>
      <c r="DQ396" s="165"/>
      <c r="DR396" s="165"/>
      <c r="DS396" s="165"/>
      <c r="DT396" s="165"/>
      <c r="DU396" s="165"/>
      <c r="DV396" s="165"/>
      <c r="DW396" s="165"/>
      <c r="DX396" s="165"/>
      <c r="DY396" s="165"/>
      <c r="DZ396" s="165"/>
      <c r="EA396" s="165"/>
      <c r="EB396" s="165"/>
      <c r="EC396" s="165"/>
      <c r="ED396" s="165"/>
      <c r="EE396" s="165"/>
      <c r="EF396" s="165"/>
      <c r="EG396" s="165"/>
      <c r="EH396" s="165"/>
      <c r="EI396" s="165"/>
      <c r="EJ396" s="165"/>
      <c r="EK396" s="165"/>
      <c r="EL396" s="165"/>
      <c r="EM396" s="165"/>
      <c r="EN396" s="165"/>
      <c r="EO396" s="165"/>
      <c r="EP396" s="165"/>
      <c r="EQ396" s="165"/>
      <c r="ER396" s="165"/>
      <c r="ES396" s="165"/>
      <c r="ET396" s="165"/>
      <c r="EU396" s="165"/>
      <c r="EV396" s="165"/>
      <c r="EW396" s="165"/>
      <c r="EX396" s="165"/>
      <c r="EY396" s="165"/>
      <c r="EZ396" s="165"/>
      <c r="FA396" s="165"/>
      <c r="FB396" s="165"/>
      <c r="FC396" s="165"/>
      <c r="FD396" s="165"/>
      <c r="FE396" s="165"/>
      <c r="FF396" s="165"/>
      <c r="FG396" s="165"/>
      <c r="FH396" s="165"/>
      <c r="FI396" s="165"/>
      <c r="FJ396" s="165"/>
      <c r="FK396" s="165"/>
      <c r="FL396" s="165"/>
      <c r="FM396" s="165"/>
      <c r="FN396" s="165"/>
      <c r="FO396" s="165"/>
      <c r="FP396" s="165"/>
      <c r="FQ396" s="165"/>
      <c r="FR396" s="165"/>
      <c r="FS396" s="165"/>
      <c r="FT396" s="165"/>
      <c r="FU396" s="165"/>
      <c r="FV396" s="165"/>
      <c r="FW396" s="165"/>
      <c r="FX396" s="165"/>
      <c r="FY396" s="165"/>
      <c r="FZ396" s="165"/>
      <c r="GA396" s="165"/>
      <c r="GB396" s="165"/>
      <c r="GC396" s="165"/>
      <c r="GD396" s="165"/>
      <c r="GE396" s="165"/>
      <c r="GF396" s="165"/>
      <c r="GG396" s="165"/>
      <c r="GH396" s="165"/>
      <c r="GI396" s="165"/>
      <c r="GJ396" s="165"/>
      <c r="GK396" s="165"/>
      <c r="GL396" s="165"/>
      <c r="GM396" s="165"/>
      <c r="GN396" s="165"/>
      <c r="GO396" s="165"/>
      <c r="GP396" s="165"/>
      <c r="GQ396" s="165"/>
      <c r="GR396" s="165"/>
      <c r="GS396" s="165"/>
      <c r="GT396" s="165"/>
      <c r="GU396" s="165"/>
      <c r="GV396" s="165"/>
      <c r="GW396" s="165"/>
      <c r="GX396" s="165"/>
      <c r="GY396" s="165"/>
      <c r="GZ396" s="165"/>
      <c r="HA396" s="165"/>
      <c r="HB396" s="165"/>
      <c r="HC396" s="165"/>
      <c r="HD396" s="165"/>
      <c r="HE396" s="165"/>
      <c r="HF396" s="165"/>
      <c r="HG396" s="165"/>
      <c r="HH396" s="165"/>
      <c r="HI396" s="165"/>
      <c r="HJ396" s="165"/>
      <c r="HK396" s="165"/>
      <c r="HL396" s="165"/>
      <c r="HM396" s="165"/>
      <c r="HN396" s="165"/>
      <c r="HO396" s="165"/>
      <c r="HP396" s="165"/>
      <c r="HQ396" s="165"/>
      <c r="HR396" s="165"/>
      <c r="HS396" s="165"/>
      <c r="HT396" s="165"/>
      <c r="HU396" s="165"/>
      <c r="HV396" s="165"/>
      <c r="HW396" s="165"/>
      <c r="HX396" s="165"/>
      <c r="HY396" s="165"/>
      <c r="HZ396" s="165"/>
      <c r="IA396" s="165"/>
      <c r="IB396" s="165"/>
      <c r="IC396" s="165"/>
      <c r="ID396" s="165"/>
      <c r="IE396" s="165"/>
      <c r="IF396" s="165"/>
      <c r="IG396" s="165"/>
      <c r="IH396" s="165"/>
      <c r="II396" s="165"/>
      <c r="IJ396" s="165"/>
      <c r="IK396" s="165"/>
      <c r="IL396" s="165"/>
      <c r="IM396" s="165"/>
      <c r="IN396" s="165"/>
      <c r="IO396" s="165"/>
      <c r="IP396" s="165"/>
      <c r="IQ396" s="165"/>
      <c r="IR396" s="165"/>
      <c r="IS396" s="165"/>
      <c r="IT396" s="165"/>
      <c r="IU396" s="165"/>
      <c r="IV396" s="165"/>
      <c r="IW396" s="165"/>
      <c r="IX396" s="165"/>
      <c r="IY396" s="165"/>
      <c r="IZ396" s="165"/>
      <c r="JA396" s="165"/>
      <c r="JB396" s="165"/>
      <c r="JC396" s="165"/>
      <c r="JD396" s="165"/>
      <c r="JE396" s="165"/>
      <c r="JF396" s="165"/>
      <c r="JG396" s="165"/>
      <c r="JH396" s="165"/>
      <c r="JI396" s="165"/>
      <c r="JJ396" s="165"/>
      <c r="JK396" s="165"/>
      <c r="JL396" s="165"/>
      <c r="JM396" s="165"/>
      <c r="JN396" s="165"/>
      <c r="JO396" s="165"/>
      <c r="JP396" s="165"/>
      <c r="JQ396" s="165"/>
      <c r="JR396" s="165"/>
      <c r="JS396" s="165"/>
      <c r="JT396" s="165"/>
      <c r="JU396" s="165"/>
      <c r="JV396" s="165"/>
      <c r="JW396" s="165"/>
      <c r="JX396" s="165"/>
      <c r="JY396" s="165"/>
      <c r="JZ396" s="165"/>
      <c r="KA396" s="165"/>
      <c r="KB396" s="165"/>
      <c r="KC396" s="165"/>
      <c r="KD396" s="165"/>
      <c r="KE396" s="165"/>
      <c r="KF396" s="165"/>
      <c r="KG396" s="165"/>
      <c r="KH396" s="165"/>
      <c r="KI396" s="165"/>
      <c r="KJ396" s="165"/>
      <c r="KK396" s="165"/>
      <c r="KL396" s="165"/>
      <c r="KM396" s="165"/>
      <c r="KN396" s="165"/>
      <c r="KO396" s="165"/>
      <c r="KP396" s="165"/>
      <c r="KQ396" s="165"/>
      <c r="KR396" s="165"/>
      <c r="KS396" s="165"/>
      <c r="KT396" s="165"/>
      <c r="KU396" s="165"/>
      <c r="KV396" s="165"/>
      <c r="KW396" s="165"/>
      <c r="KX396" s="165"/>
      <c r="KY396" s="165"/>
      <c r="KZ396" s="165"/>
      <c r="LA396" s="165"/>
      <c r="LB396" s="165"/>
      <c r="LC396" s="165"/>
      <c r="LD396" s="165"/>
      <c r="LE396" s="165"/>
      <c r="LF396" s="165"/>
      <c r="LG396" s="165"/>
      <c r="LH396" s="165"/>
      <c r="LI396" s="165"/>
      <c r="LJ396" s="165"/>
      <c r="LK396" s="165"/>
      <c r="LL396" s="165"/>
      <c r="LM396" s="165"/>
      <c r="LN396" s="165"/>
      <c r="LO396" s="165"/>
      <c r="LP396" s="165"/>
      <c r="LQ396" s="165"/>
      <c r="LR396" s="165"/>
      <c r="LS396" s="165"/>
      <c r="LT396" s="165"/>
      <c r="LU396" s="165"/>
      <c r="LV396" s="165"/>
      <c r="LW396" s="165"/>
      <c r="LX396" s="165"/>
      <c r="LY396" s="165"/>
      <c r="LZ396" s="165"/>
      <c r="MA396" s="165"/>
      <c r="MB396" s="165"/>
      <c r="MC396" s="165"/>
      <c r="MD396" s="165"/>
      <c r="ME396" s="165"/>
      <c r="MF396" s="165"/>
      <c r="MG396" s="165"/>
      <c r="MH396" s="165"/>
      <c r="MI396" s="165"/>
      <c r="MJ396" s="165"/>
      <c r="MK396" s="165"/>
      <c r="ML396" s="165"/>
      <c r="MM396" s="165"/>
      <c r="MN396" s="165"/>
      <c r="MO396" s="165"/>
      <c r="MP396" s="165"/>
      <c r="MQ396" s="165"/>
      <c r="MR396" s="165"/>
      <c r="MS396" s="165"/>
      <c r="MT396" s="165"/>
      <c r="MU396" s="165"/>
      <c r="MV396" s="165"/>
      <c r="MW396" s="165"/>
      <c r="MX396" s="165"/>
      <c r="MY396" s="165"/>
      <c r="MZ396" s="165"/>
      <c r="NA396" s="165"/>
      <c r="NB396" s="165"/>
      <c r="NC396" s="165"/>
      <c r="ND396" s="165"/>
      <c r="NE396" s="165"/>
      <c r="NF396" s="165"/>
      <c r="NG396" s="165"/>
      <c r="NH396" s="165"/>
      <c r="NI396" s="165"/>
      <c r="NJ396" s="165"/>
      <c r="NK396" s="165"/>
      <c r="NL396" s="165"/>
      <c r="NM396" s="165"/>
      <c r="NN396" s="165"/>
      <c r="NO396" s="165"/>
      <c r="NP396" s="165"/>
      <c r="NQ396" s="165"/>
      <c r="NR396" s="165"/>
      <c r="NS396" s="165"/>
      <c r="NT396" s="165"/>
      <c r="NU396" s="165"/>
      <c r="NV396" s="165"/>
      <c r="NW396" s="165"/>
      <c r="NX396" s="165"/>
      <c r="NY396" s="165"/>
      <c r="NZ396" s="165"/>
      <c r="OA396" s="165"/>
      <c r="OB396" s="165"/>
      <c r="OC396" s="165"/>
      <c r="OD396" s="165"/>
      <c r="OE396" s="165"/>
      <c r="OF396" s="165"/>
      <c r="OG396" s="165"/>
      <c r="OH396" s="165"/>
      <c r="OI396" s="165"/>
      <c r="OJ396" s="165"/>
      <c r="OK396" s="165"/>
      <c r="OL396" s="165"/>
      <c r="OM396" s="165"/>
      <c r="ON396" s="165"/>
      <c r="OO396" s="165"/>
      <c r="OP396" s="165"/>
      <c r="OQ396" s="165"/>
      <c r="OR396" s="165"/>
      <c r="OS396" s="165"/>
      <c r="OT396" s="165"/>
      <c r="OU396" s="165"/>
      <c r="OV396" s="165"/>
      <c r="OW396" s="165"/>
      <c r="OX396" s="165"/>
      <c r="OY396" s="165"/>
      <c r="OZ396" s="165"/>
      <c r="PA396" s="165"/>
      <c r="PB396" s="165"/>
      <c r="PC396" s="165"/>
      <c r="PD396" s="165"/>
      <c r="PE396" s="165"/>
      <c r="PF396" s="165"/>
      <c r="PG396" s="165"/>
      <c r="PH396" s="165"/>
      <c r="PI396" s="165"/>
      <c r="PJ396" s="165"/>
      <c r="PK396" s="165"/>
      <c r="PL396" s="165"/>
      <c r="PM396" s="165"/>
      <c r="PN396" s="165"/>
      <c r="PO396" s="165"/>
      <c r="PP396" s="165"/>
      <c r="PQ396" s="165"/>
      <c r="PR396" s="165"/>
      <c r="PS396" s="165"/>
      <c r="PT396" s="165"/>
      <c r="PU396" s="165"/>
      <c r="PV396" s="165"/>
      <c r="PW396" s="165"/>
      <c r="PX396" s="165"/>
      <c r="PY396" s="165"/>
      <c r="PZ396" s="165"/>
      <c r="QA396" s="165"/>
      <c r="QB396" s="165"/>
      <c r="QC396" s="165"/>
      <c r="QD396" s="165"/>
      <c r="QE396" s="165"/>
      <c r="QF396" s="165"/>
      <c r="QG396" s="165"/>
      <c r="QH396" s="165"/>
      <c r="QI396" s="165"/>
      <c r="QJ396" s="165"/>
      <c r="QK396" s="165"/>
      <c r="QL396" s="165"/>
      <c r="QM396" s="165"/>
      <c r="QN396" s="165"/>
      <c r="QO396" s="165"/>
      <c r="QP396" s="165"/>
      <c r="QQ396" s="165"/>
      <c r="QR396" s="165"/>
      <c r="QS396" s="165"/>
      <c r="QT396" s="165"/>
      <c r="QU396" s="165"/>
      <c r="QV396" s="165"/>
      <c r="QW396" s="165"/>
      <c r="QX396" s="165"/>
      <c r="QY396" s="165"/>
      <c r="QZ396" s="165"/>
      <c r="RA396" s="165"/>
      <c r="RB396" s="165"/>
      <c r="RC396" s="165"/>
      <c r="RD396" s="165"/>
      <c r="RE396" s="165"/>
      <c r="RF396" s="165"/>
      <c r="RG396" s="165"/>
      <c r="RH396" s="165"/>
      <c r="RI396" s="165"/>
      <c r="RJ396" s="165"/>
      <c r="RK396" s="165"/>
      <c r="RL396" s="165"/>
      <c r="RM396" s="165"/>
      <c r="RN396" s="165"/>
      <c r="RO396" s="165"/>
      <c r="RP396" s="165"/>
      <c r="RQ396" s="165"/>
      <c r="RR396" s="165"/>
      <c r="RS396" s="165"/>
      <c r="RT396" s="165"/>
      <c r="RU396" s="165"/>
      <c r="RV396" s="165"/>
      <c r="RW396" s="165"/>
      <c r="RX396" s="165"/>
      <c r="RY396" s="165"/>
      <c r="RZ396" s="165"/>
      <c r="SA396" s="165"/>
      <c r="SB396" s="165"/>
      <c r="SC396" s="165"/>
      <c r="SD396" s="165"/>
      <c r="SE396" s="165"/>
      <c r="SF396" s="165"/>
      <c r="SG396" s="165"/>
      <c r="SH396" s="165"/>
      <c r="SI396" s="165"/>
      <c r="SJ396" s="165"/>
      <c r="SK396" s="165"/>
      <c r="SL396" s="165"/>
      <c r="SM396" s="165"/>
      <c r="SN396" s="165"/>
      <c r="SO396" s="165"/>
      <c r="SP396" s="165"/>
      <c r="SQ396" s="165"/>
      <c r="SR396" s="165"/>
      <c r="SS396" s="165"/>
      <c r="ST396" s="165"/>
      <c r="SU396" s="165"/>
      <c r="SV396" s="165"/>
      <c r="SW396" s="165"/>
      <c r="SX396" s="165"/>
      <c r="SY396" s="165"/>
      <c r="SZ396" s="165"/>
      <c r="TA396" s="165"/>
      <c r="TB396" s="165"/>
      <c r="TC396" s="165"/>
      <c r="TD396" s="165"/>
      <c r="TE396" s="165"/>
      <c r="TF396" s="165"/>
      <c r="TG396" s="165"/>
      <c r="TH396" s="165"/>
      <c r="TI396" s="165"/>
      <c r="TJ396" s="165"/>
      <c r="TK396" s="165"/>
      <c r="TL396" s="165"/>
      <c r="TM396" s="165"/>
      <c r="TN396" s="165"/>
      <c r="TO396" s="165"/>
      <c r="TP396" s="165"/>
      <c r="TQ396" s="165"/>
      <c r="TR396" s="165"/>
      <c r="TS396" s="165"/>
      <c r="TT396" s="165"/>
      <c r="TU396" s="165"/>
      <c r="TV396" s="165"/>
      <c r="TW396" s="165"/>
      <c r="TX396" s="165"/>
      <c r="TY396" s="165"/>
      <c r="TZ396" s="165"/>
      <c r="UA396" s="165"/>
      <c r="UB396" s="165"/>
      <c r="UC396" s="165"/>
      <c r="UD396" s="165"/>
      <c r="UE396" s="165"/>
      <c r="UF396" s="165"/>
      <c r="UG396" s="165"/>
      <c r="UH396" s="165"/>
      <c r="UI396" s="165"/>
      <c r="UJ396" s="165"/>
      <c r="UK396" s="165"/>
      <c r="UL396" s="165"/>
      <c r="UM396" s="165"/>
      <c r="UN396" s="165"/>
      <c r="UO396" s="165"/>
      <c r="UP396" s="165"/>
      <c r="UQ396" s="165"/>
      <c r="UR396" s="165"/>
      <c r="US396" s="165"/>
      <c r="UT396" s="165"/>
      <c r="UU396" s="165"/>
      <c r="UV396" s="165"/>
      <c r="UW396" s="165"/>
      <c r="UX396" s="165"/>
      <c r="UY396" s="165"/>
      <c r="UZ396" s="165"/>
      <c r="VA396" s="165"/>
      <c r="VB396" s="165"/>
      <c r="VC396" s="165"/>
      <c r="VD396" s="165"/>
      <c r="VE396" s="165"/>
      <c r="VF396" s="165"/>
      <c r="VG396" s="165"/>
      <c r="VH396" s="165"/>
      <c r="VI396" s="165"/>
      <c r="VJ396" s="165"/>
      <c r="VK396" s="165"/>
      <c r="VL396" s="165"/>
      <c r="VM396" s="165"/>
      <c r="VN396" s="165"/>
      <c r="VO396" s="165"/>
      <c r="VP396" s="165"/>
      <c r="VQ396" s="165"/>
      <c r="VR396" s="165"/>
      <c r="VS396" s="165"/>
      <c r="VT396" s="165"/>
      <c r="VU396" s="165"/>
      <c r="VV396" s="165"/>
      <c r="VW396" s="165"/>
      <c r="VX396" s="165"/>
      <c r="VY396" s="165"/>
      <c r="VZ396" s="165"/>
      <c r="WA396" s="165"/>
      <c r="WB396" s="165"/>
      <c r="WC396" s="165"/>
      <c r="WD396" s="165"/>
      <c r="WE396" s="165"/>
      <c r="WF396" s="165"/>
      <c r="WG396" s="165"/>
      <c r="WH396" s="165"/>
      <c r="WI396" s="165"/>
      <c r="WJ396" s="165"/>
      <c r="WK396" s="165"/>
      <c r="WL396" s="165"/>
      <c r="WM396" s="165"/>
      <c r="WN396" s="165"/>
      <c r="WO396" s="165"/>
      <c r="WP396" s="165"/>
      <c r="WQ396" s="165"/>
      <c r="WR396" s="165"/>
      <c r="WS396" s="165"/>
      <c r="WT396" s="165"/>
      <c r="WU396" s="165"/>
      <c r="WV396" s="165"/>
      <c r="WW396" s="165"/>
      <c r="WX396" s="165"/>
      <c r="WY396" s="165"/>
      <c r="WZ396" s="165"/>
      <c r="XA396" s="165"/>
      <c r="XB396" s="165"/>
      <c r="XC396" s="165"/>
      <c r="XD396" s="165"/>
      <c r="XE396" s="165"/>
      <c r="XF396" s="165"/>
      <c r="XG396" s="165"/>
      <c r="XH396" s="165"/>
      <c r="XI396" s="165"/>
      <c r="XJ396" s="165"/>
      <c r="XK396" s="165"/>
      <c r="XL396" s="165"/>
      <c r="XM396" s="165"/>
      <c r="XN396" s="165"/>
      <c r="XO396" s="165"/>
      <c r="XP396" s="165"/>
      <c r="XQ396" s="165"/>
      <c r="XR396" s="165"/>
      <c r="XS396" s="165"/>
      <c r="XT396" s="165"/>
      <c r="XU396" s="165"/>
      <c r="XV396" s="165"/>
      <c r="XW396" s="165"/>
      <c r="XX396" s="165"/>
      <c r="XY396" s="165"/>
      <c r="XZ396" s="165"/>
      <c r="YA396" s="165"/>
      <c r="YB396" s="165"/>
      <c r="YC396" s="165"/>
      <c r="YD396" s="165"/>
      <c r="YE396" s="165"/>
      <c r="YF396" s="165"/>
      <c r="YG396" s="165"/>
      <c r="YH396" s="165"/>
      <c r="YI396" s="165"/>
      <c r="YJ396" s="165"/>
      <c r="YK396" s="165"/>
      <c r="YL396" s="165"/>
      <c r="YM396" s="165"/>
      <c r="YN396" s="165"/>
      <c r="YO396" s="165"/>
      <c r="YP396" s="165"/>
      <c r="YQ396" s="165"/>
      <c r="YR396" s="165"/>
      <c r="YS396" s="165"/>
      <c r="YT396" s="165"/>
      <c r="YU396" s="165"/>
      <c r="YV396" s="165"/>
      <c r="YW396" s="165"/>
      <c r="YX396" s="165"/>
      <c r="YY396" s="165"/>
      <c r="YZ396" s="165"/>
      <c r="ZA396" s="165"/>
      <c r="ZB396" s="165"/>
      <c r="ZC396" s="165"/>
      <c r="ZD396" s="165"/>
      <c r="ZE396" s="165"/>
      <c r="ZF396" s="165"/>
      <c r="ZG396" s="165"/>
      <c r="ZH396" s="165"/>
      <c r="ZI396" s="165"/>
      <c r="ZJ396" s="165"/>
      <c r="ZK396" s="165"/>
      <c r="ZL396" s="165"/>
      <c r="ZM396" s="165"/>
      <c r="ZN396" s="165"/>
      <c r="ZO396" s="165"/>
      <c r="ZP396" s="165"/>
      <c r="ZQ396" s="165"/>
      <c r="ZR396" s="165"/>
      <c r="ZS396" s="165"/>
      <c r="ZT396" s="165"/>
      <c r="ZU396" s="165"/>
      <c r="ZV396" s="165"/>
      <c r="ZW396" s="165"/>
      <c r="ZX396" s="165"/>
      <c r="ZY396" s="165"/>
      <c r="ZZ396" s="165"/>
      <c r="AAA396" s="165"/>
      <c r="AAB396" s="165"/>
      <c r="AAC396" s="165"/>
      <c r="AAD396" s="165"/>
      <c r="AAE396" s="165"/>
      <c r="AAF396" s="165"/>
      <c r="AAG396" s="165"/>
      <c r="AAH396" s="165"/>
      <c r="AAI396" s="165"/>
      <c r="AAJ396" s="165"/>
      <c r="AAK396" s="165"/>
      <c r="AAL396" s="165"/>
      <c r="AAM396" s="165"/>
      <c r="AAN396" s="165"/>
      <c r="AAO396" s="165"/>
      <c r="AAP396" s="165"/>
      <c r="AAQ396" s="165"/>
      <c r="AAR396" s="165"/>
      <c r="AAS396" s="165"/>
      <c r="AAT396" s="165"/>
      <c r="AAU396" s="165"/>
      <c r="AAV396" s="165"/>
      <c r="AAW396" s="165"/>
      <c r="AAX396" s="165"/>
      <c r="AAY396" s="165"/>
      <c r="AAZ396" s="165"/>
      <c r="ABA396" s="165"/>
      <c r="ABB396" s="165"/>
      <c r="ABC396" s="165"/>
      <c r="ABD396" s="165"/>
      <c r="ABE396" s="165"/>
      <c r="ABF396" s="165"/>
      <c r="ABG396" s="165"/>
      <c r="ABH396" s="165"/>
      <c r="ABI396" s="165"/>
      <c r="ABJ396" s="165"/>
      <c r="ABK396" s="165"/>
      <c r="ABL396" s="165"/>
      <c r="ABM396" s="165"/>
      <c r="ABN396" s="165"/>
      <c r="ABO396" s="165"/>
      <c r="ABP396" s="165"/>
      <c r="ABQ396" s="165"/>
      <c r="ABR396" s="165"/>
      <c r="ABS396" s="165"/>
      <c r="ABT396" s="165"/>
      <c r="ABU396" s="165"/>
      <c r="ABV396" s="165"/>
      <c r="ABW396" s="165"/>
      <c r="ABX396" s="165"/>
      <c r="ABY396" s="165"/>
      <c r="ABZ396" s="165"/>
      <c r="ACA396" s="165"/>
      <c r="ACB396" s="165"/>
      <c r="ACC396" s="165"/>
      <c r="ACD396" s="165"/>
      <c r="ACE396" s="165"/>
      <c r="ACF396" s="165"/>
      <c r="ACG396" s="165"/>
      <c r="ACH396" s="165"/>
      <c r="ACI396" s="165"/>
      <c r="ACJ396" s="165"/>
      <c r="ACK396" s="165"/>
      <c r="ACL396" s="165"/>
      <c r="ACM396" s="165"/>
      <c r="ACN396" s="165"/>
      <c r="ACO396" s="165"/>
      <c r="ACP396" s="165"/>
      <c r="ACQ396" s="165"/>
      <c r="ACR396" s="165"/>
      <c r="ACS396" s="165"/>
      <c r="ACT396" s="165"/>
      <c r="ACU396" s="165"/>
      <c r="ACV396" s="165"/>
      <c r="ACW396" s="165"/>
      <c r="ACX396" s="165"/>
      <c r="ACY396" s="165"/>
      <c r="ACZ396" s="165"/>
      <c r="ADA396" s="165"/>
      <c r="ADB396" s="165"/>
      <c r="ADC396" s="165"/>
      <c r="ADD396" s="165"/>
      <c r="ADE396" s="165"/>
      <c r="ADF396" s="165"/>
      <c r="ADG396" s="165"/>
      <c r="ADH396" s="165"/>
      <c r="ADI396" s="165"/>
      <c r="ADJ396" s="165"/>
      <c r="ADK396" s="165"/>
      <c r="ADL396" s="165"/>
      <c r="ADM396" s="165"/>
      <c r="ADN396" s="165"/>
      <c r="ADO396" s="165"/>
      <c r="ADP396" s="165"/>
      <c r="ADQ396" s="165"/>
      <c r="ADR396" s="165"/>
      <c r="ADS396" s="165"/>
      <c r="ADT396" s="165"/>
      <c r="ADU396" s="165"/>
      <c r="ADV396" s="165"/>
      <c r="ADW396" s="165"/>
      <c r="ADX396" s="165"/>
      <c r="ADY396" s="165"/>
      <c r="ADZ396" s="165"/>
      <c r="AEA396" s="165"/>
      <c r="AEB396" s="165"/>
      <c r="AEC396" s="165"/>
      <c r="AED396" s="165"/>
      <c r="AEE396" s="165"/>
      <c r="AEF396" s="165"/>
      <c r="AEG396" s="165"/>
      <c r="AEH396" s="165"/>
      <c r="AEI396" s="165"/>
      <c r="AEJ396" s="165"/>
      <c r="AEK396" s="165"/>
      <c r="AEL396" s="165"/>
      <c r="AEM396" s="165"/>
      <c r="AEN396" s="165"/>
      <c r="AEO396" s="165"/>
      <c r="AEP396" s="165"/>
      <c r="AEQ396" s="165"/>
      <c r="AER396" s="165"/>
      <c r="AES396" s="165"/>
      <c r="AET396" s="165"/>
      <c r="AEU396" s="165"/>
      <c r="AEV396" s="165"/>
      <c r="AEW396" s="165"/>
      <c r="AEX396" s="165"/>
      <c r="AEY396" s="165"/>
      <c r="AEZ396" s="165"/>
      <c r="AFA396" s="165"/>
      <c r="AFB396" s="165"/>
      <c r="AFC396" s="165"/>
      <c r="AFD396" s="165"/>
      <c r="AFE396" s="165"/>
      <c r="AFF396" s="165"/>
      <c r="AFG396" s="165"/>
      <c r="AFH396" s="165"/>
      <c r="AFI396" s="165"/>
      <c r="AFJ396" s="165"/>
      <c r="AFK396" s="165"/>
      <c r="AFL396" s="165"/>
      <c r="AFM396" s="165"/>
      <c r="AFN396" s="165"/>
      <c r="AFO396" s="165"/>
      <c r="AFP396" s="165"/>
      <c r="AFQ396" s="165"/>
      <c r="AFR396" s="165"/>
      <c r="AFS396" s="165"/>
      <c r="AFT396" s="165"/>
      <c r="AFU396" s="165"/>
      <c r="AFV396" s="165"/>
      <c r="AFW396" s="165"/>
      <c r="AFX396" s="165"/>
      <c r="AFY396" s="165"/>
      <c r="AFZ396" s="165"/>
      <c r="AGA396" s="165"/>
      <c r="AGB396" s="165"/>
      <c r="AGC396" s="165"/>
      <c r="AGD396" s="165"/>
      <c r="AGE396" s="165"/>
      <c r="AGF396" s="165"/>
      <c r="AGG396" s="165"/>
      <c r="AGH396" s="165"/>
      <c r="AGI396" s="165"/>
      <c r="AGJ396" s="165"/>
      <c r="AGK396" s="165"/>
      <c r="AGL396" s="165"/>
      <c r="AGM396" s="165"/>
      <c r="AGN396" s="165"/>
      <c r="AGO396" s="165"/>
      <c r="AGP396" s="165"/>
      <c r="AGQ396" s="165"/>
      <c r="AGR396" s="165"/>
      <c r="AGS396" s="165"/>
      <c r="AGT396" s="165"/>
      <c r="AGU396" s="165"/>
      <c r="AGV396" s="165"/>
      <c r="AGW396" s="165"/>
      <c r="AGX396" s="165"/>
      <c r="AGY396" s="165"/>
      <c r="AGZ396" s="165"/>
      <c r="AHA396" s="165"/>
      <c r="AHB396" s="165"/>
      <c r="AHC396" s="165"/>
      <c r="AHD396" s="165"/>
      <c r="AHE396" s="165"/>
      <c r="AHF396" s="165"/>
      <c r="AHG396" s="165"/>
      <c r="AHH396" s="165"/>
      <c r="AHI396" s="165"/>
      <c r="AHJ396" s="165"/>
      <c r="AHK396" s="165"/>
      <c r="AHL396" s="165"/>
      <c r="AHM396" s="165"/>
      <c r="AHN396" s="165"/>
      <c r="AHO396" s="165"/>
      <c r="AHP396" s="165"/>
      <c r="AHQ396" s="165"/>
      <c r="AHR396" s="165"/>
      <c r="AHS396" s="165"/>
      <c r="AHT396" s="165"/>
      <c r="AHU396" s="165"/>
      <c r="AHV396" s="165"/>
      <c r="AHW396" s="165"/>
      <c r="AHX396" s="165"/>
      <c r="AHY396" s="165"/>
      <c r="AHZ396" s="165"/>
      <c r="AIA396" s="165"/>
      <c r="AIB396" s="165"/>
      <c r="AIC396" s="165"/>
      <c r="AID396" s="165"/>
      <c r="AIE396" s="165"/>
      <c r="AIF396" s="165"/>
      <c r="AIG396" s="165"/>
      <c r="AIH396" s="165"/>
      <c r="AII396" s="165"/>
      <c r="AIJ396" s="165"/>
      <c r="AIK396" s="165"/>
      <c r="AIL396" s="165"/>
      <c r="AIM396" s="165"/>
      <c r="AIN396" s="165"/>
      <c r="AIO396" s="165"/>
      <c r="AIP396" s="165"/>
      <c r="AIQ396" s="165"/>
      <c r="AIR396" s="165"/>
      <c r="AIS396" s="165"/>
      <c r="AIT396" s="165"/>
      <c r="AIU396" s="165"/>
      <c r="AIV396" s="165"/>
      <c r="AIW396" s="165"/>
      <c r="AIX396" s="165"/>
      <c r="AIY396" s="165"/>
      <c r="AIZ396" s="165"/>
      <c r="AJA396" s="165"/>
      <c r="AJB396" s="165"/>
      <c r="AJC396" s="165"/>
      <c r="AJD396" s="165"/>
      <c r="AJE396" s="165"/>
      <c r="AJF396" s="165"/>
      <c r="AJG396" s="165"/>
      <c r="AJH396" s="165"/>
      <c r="AJI396" s="165"/>
      <c r="AJJ396" s="165"/>
      <c r="AJK396" s="165"/>
      <c r="AJL396" s="165"/>
      <c r="AJM396" s="165"/>
      <c r="AJN396" s="165"/>
      <c r="AJO396" s="165"/>
      <c r="AJP396" s="165"/>
      <c r="AJQ396" s="165"/>
      <c r="AJR396" s="165"/>
      <c r="AJS396" s="165"/>
      <c r="AJT396" s="165"/>
      <c r="AJU396" s="165"/>
      <c r="AJV396" s="165"/>
      <c r="AJW396" s="165"/>
      <c r="AJX396" s="165"/>
      <c r="AJY396" s="165"/>
      <c r="AJZ396" s="165"/>
      <c r="AKA396" s="165"/>
      <c r="AKB396" s="165"/>
      <c r="AKC396" s="165"/>
      <c r="AKD396" s="165"/>
      <c r="AKE396" s="165"/>
      <c r="AKF396" s="165"/>
      <c r="AKG396" s="165"/>
      <c r="AKH396" s="165"/>
      <c r="AKI396" s="165"/>
      <c r="AKJ396" s="165"/>
      <c r="AKK396" s="165"/>
      <c r="AKL396" s="165"/>
      <c r="AKM396" s="165"/>
      <c r="AKN396" s="165"/>
      <c r="AKO396" s="165"/>
      <c r="AKP396" s="165"/>
      <c r="AKQ396" s="165"/>
      <c r="AKR396" s="165"/>
      <c r="AKS396" s="165"/>
      <c r="AKT396" s="165"/>
      <c r="AKU396" s="165"/>
      <c r="AKV396" s="165"/>
      <c r="AKW396" s="165"/>
      <c r="AKX396" s="165"/>
      <c r="AKY396" s="165"/>
      <c r="AKZ396" s="165"/>
      <c r="ALA396" s="165"/>
      <c r="ALB396" s="165"/>
      <c r="ALC396" s="165"/>
      <c r="ALD396" s="165"/>
      <c r="ALE396" s="165"/>
      <c r="ALF396" s="165"/>
      <c r="ALG396" s="165"/>
      <c r="ALH396" s="165"/>
      <c r="ALI396" s="165"/>
      <c r="ALJ396" s="165"/>
      <c r="ALK396" s="165"/>
      <c r="ALL396" s="165"/>
      <c r="ALM396" s="165"/>
      <c r="ALN396" s="165"/>
      <c r="ALO396" s="165"/>
      <c r="ALP396" s="165"/>
      <c r="ALQ396" s="165"/>
      <c r="ALR396" s="165"/>
      <c r="ALS396" s="165"/>
      <c r="ALT396" s="165"/>
      <c r="ALU396" s="165"/>
      <c r="ALV396" s="165"/>
      <c r="ALW396" s="165"/>
      <c r="ALX396" s="165"/>
      <c r="ALY396" s="165"/>
      <c r="ALZ396" s="165"/>
      <c r="AMA396" s="165"/>
      <c r="AMB396" s="165"/>
      <c r="AMC396" s="165"/>
      <c r="AMD396" s="165"/>
      <c r="AME396" s="165"/>
      <c r="AMF396" s="165"/>
      <c r="AMG396" s="165"/>
      <c r="AMH396" s="165"/>
      <c r="AMI396" s="165"/>
      <c r="AMJ396" s="165"/>
    </row>
    <row r="397" customFormat="false" ht="12.8" hidden="false" customHeight="false" outlineLevel="0" collapsed="false">
      <c r="A397" s="107" t="s">
        <v>204</v>
      </c>
      <c r="B397" s="108"/>
      <c r="C397" s="108"/>
      <c r="D397" s="38"/>
      <c r="E397" s="109"/>
      <c r="F397" s="121" t="n">
        <f aca="false">+F395</f>
        <v>533.333333333333</v>
      </c>
    </row>
    <row r="399" customFormat="false" ht="12.8" hidden="false" customHeight="false" outlineLevel="0" collapsed="false">
      <c r="A399" s="158" t="s">
        <v>205</v>
      </c>
      <c r="B399" s="65"/>
      <c r="C399" s="65"/>
      <c r="D399" s="25"/>
      <c r="E399" s="25"/>
      <c r="F399" s="84"/>
    </row>
    <row r="401" customFormat="false" ht="12.8" hidden="false" customHeight="false" outlineLevel="0" collapsed="false">
      <c r="A401" s="70" t="s">
        <v>16</v>
      </c>
      <c r="B401" s="71" t="s">
        <v>17</v>
      </c>
      <c r="C401" s="71" t="s">
        <v>9</v>
      </c>
      <c r="D401" s="72" t="s">
        <v>18</v>
      </c>
      <c r="E401" s="72" t="s">
        <v>19</v>
      </c>
      <c r="F401" s="73" t="s">
        <v>20</v>
      </c>
    </row>
    <row r="402" customFormat="false" ht="12.8" hidden="false" customHeight="false" outlineLevel="0" collapsed="false">
      <c r="A402" s="78" t="s">
        <v>206</v>
      </c>
      <c r="B402" s="160" t="s">
        <v>65</v>
      </c>
      <c r="C402" s="116" t="n">
        <f aca="false">'Estimativa Pesagem Ticket'!C4</f>
        <v>105</v>
      </c>
      <c r="D402" s="106" t="n">
        <f aca="false">'VALORES BASE'!B36</f>
        <v>30</v>
      </c>
      <c r="E402" s="81" t="n">
        <f aca="false">+D402*C402</f>
        <v>3150</v>
      </c>
      <c r="F402" s="125"/>
    </row>
    <row r="403" customFormat="false" ht="12.8" hidden="false" customHeight="false" outlineLevel="0" collapsed="false">
      <c r="A403" s="163"/>
      <c r="B403" s="163"/>
      <c r="C403" s="163"/>
      <c r="D403" s="88"/>
      <c r="E403" s="88"/>
      <c r="F403" s="121" t="n">
        <f aca="false">E402</f>
        <v>3150</v>
      </c>
    </row>
    <row r="405" customFormat="false" ht="12.8" hidden="false" customHeight="false" outlineLevel="0" collapsed="false">
      <c r="A405" s="107" t="s">
        <v>207</v>
      </c>
      <c r="B405" s="108"/>
      <c r="C405" s="108"/>
      <c r="D405" s="38"/>
      <c r="E405" s="109"/>
      <c r="F405" s="121" t="n">
        <f aca="false">+F403</f>
        <v>3150</v>
      </c>
    </row>
    <row r="408" customFormat="false" ht="12.8" hidden="false" customHeight="false" outlineLevel="0" collapsed="false">
      <c r="A408" s="107" t="s">
        <v>208</v>
      </c>
      <c r="B408" s="118"/>
      <c r="C408" s="118"/>
      <c r="D408" s="119"/>
      <c r="E408" s="120"/>
      <c r="F408" s="105" t="n">
        <f aca="false">+F148+F195+F373+F386+F397+F405</f>
        <v>156515.407190878</v>
      </c>
    </row>
    <row r="410" customFormat="false" ht="12.8" hidden="false" customHeight="false" outlineLevel="0" collapsed="false">
      <c r="A410" s="26" t="s">
        <v>209</v>
      </c>
    </row>
    <row r="412" customFormat="false" ht="12.8" hidden="false" customHeight="false" outlineLevel="0" collapsed="false">
      <c r="A412" s="70" t="s">
        <v>16</v>
      </c>
      <c r="B412" s="71" t="s">
        <v>17</v>
      </c>
      <c r="C412" s="71" t="s">
        <v>9</v>
      </c>
      <c r="D412" s="72" t="s">
        <v>18</v>
      </c>
      <c r="E412" s="72" t="s">
        <v>19</v>
      </c>
      <c r="F412" s="73" t="s">
        <v>20</v>
      </c>
    </row>
    <row r="413" customFormat="false" ht="12.8" hidden="false" customHeight="false" outlineLevel="0" collapsed="false">
      <c r="A413" s="74" t="s">
        <v>210</v>
      </c>
      <c r="B413" s="75" t="s">
        <v>5</v>
      </c>
      <c r="C413" s="86" t="n">
        <f aca="false">'4.BDI'!C13*100</f>
        <v>27.14</v>
      </c>
      <c r="D413" s="77" t="n">
        <f aca="false">+F408</f>
        <v>156515.407190878</v>
      </c>
      <c r="E413" s="77" t="n">
        <f aca="false">C413*D413/100</f>
        <v>42478.2815116043</v>
      </c>
    </row>
    <row r="414" customFormat="false" ht="12.8" hidden="false" customHeight="false" outlineLevel="0" collapsed="false">
      <c r="F414" s="121" t="n">
        <f aca="false">+E413</f>
        <v>42478.2815116043</v>
      </c>
    </row>
    <row r="415" customFormat="false" ht="11.25" hidden="false" customHeight="true" outlineLevel="0" collapsed="false"/>
    <row r="416" customFormat="false" ht="12.8" hidden="false" customHeight="false" outlineLevel="0" collapsed="false">
      <c r="A416" s="107" t="s">
        <v>211</v>
      </c>
      <c r="B416" s="118"/>
      <c r="C416" s="118"/>
      <c r="D416" s="119"/>
      <c r="E416" s="120"/>
      <c r="F416" s="105" t="n">
        <f aca="false">F414</f>
        <v>42478.2815116043</v>
      </c>
    </row>
    <row r="417" customFormat="false" ht="12.8" hidden="false" customHeight="false" outlineLevel="0" collapsed="false">
      <c r="A417" s="65"/>
      <c r="B417" s="65"/>
      <c r="C417" s="65"/>
      <c r="D417" s="25"/>
      <c r="E417" s="25"/>
      <c r="F417" s="84"/>
    </row>
    <row r="419" customFormat="false" ht="12.8" hidden="false" customHeight="false" outlineLevel="0" collapsed="false">
      <c r="A419" s="107" t="s">
        <v>212</v>
      </c>
      <c r="B419" s="118"/>
      <c r="C419" s="118"/>
      <c r="D419" s="119"/>
      <c r="E419" s="120"/>
      <c r="F419" s="166" t="n">
        <f aca="false">F408+F416</f>
        <v>198993.688702482</v>
      </c>
    </row>
    <row r="420" customFormat="false" ht="15" hidden="false" customHeight="false" outlineLevel="0" collapsed="false">
      <c r="A420" s="167"/>
      <c r="B420" s="167"/>
      <c r="C420" s="167"/>
      <c r="D420" s="168"/>
      <c r="E420" s="168"/>
      <c r="F420" s="168"/>
    </row>
    <row r="421" customFormat="false" ht="12.8" hidden="false" customHeight="false" outlineLevel="0" collapsed="false">
      <c r="A421" s="169" t="s">
        <v>213</v>
      </c>
      <c r="B421" s="170"/>
      <c r="C421" s="170"/>
      <c r="D421" s="171" t="n">
        <f aca="false">'SERIE HISTORICA'!D14</f>
        <v>439.2875</v>
      </c>
      <c r="E421" s="172" t="s">
        <v>214</v>
      </c>
    </row>
    <row r="423" customFormat="false" ht="12.8" hidden="false" customHeight="false" outlineLevel="0" collapsed="false">
      <c r="A423" s="107" t="s">
        <v>215</v>
      </c>
      <c r="B423" s="108"/>
      <c r="C423" s="108"/>
      <c r="D423" s="38"/>
      <c r="E423" s="173" t="s">
        <v>216</v>
      </c>
      <c r="F423" s="174" t="n">
        <f aca="false">IFERROR(F419/D421,"-")</f>
        <v>452.991921469385</v>
      </c>
    </row>
    <row r="433" customFormat="false" ht="12.8" hidden="false" customHeight="true" outlineLevel="0" collapsed="false"/>
    <row r="438" customFormat="false" ht="12.8" hidden="false" customHeight="true" outlineLevel="0" collapsed="false"/>
    <row r="450" customFormat="false" ht="9" hidden="false" customHeight="true" outlineLevel="0" collapsed="false"/>
  </sheetData>
  <mergeCells count="7">
    <mergeCell ref="A2:F2"/>
    <mergeCell ref="A3:F3"/>
    <mergeCell ref="A5:F5"/>
    <mergeCell ref="A16:C16"/>
    <mergeCell ref="A25:E25"/>
    <mergeCell ref="A26:D26"/>
    <mergeCell ref="A34:D34"/>
  </mergeCells>
  <hyperlinks>
    <hyperlink ref="A201" location="AbaDeprec" display="3.1.1. Depreciação"/>
    <hyperlink ref="A217" location="AbaRemun" display="3.1.2. Remuneração do Capital"/>
  </hyperlink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4" manualBreakCount="4">
    <brk id="38" man="true" max="16383" min="0"/>
    <brk id="122" man="true" max="16383" min="0"/>
    <brk id="196" man="true" max="16383" min="0"/>
    <brk id="264" man="true" max="16383" min="0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7"/>
  <sheetViews>
    <sheetView showFormulas="false" showGridLines="true" showRowColHeaders="true" showZeros="true" rightToLeft="false" tabSelected="true" showOutlineSymbols="true" defaultGridColor="true" view="pageBreakPreview" topLeftCell="A1" colorId="64" zoomScale="120" zoomScaleNormal="100" zoomScalePageLayoutView="120" workbookViewId="0">
      <selection pane="topLeft" activeCell="F9" activeCellId="0" sqref="F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10.78"/>
    <col collapsed="false" customWidth="true" hidden="false" outlineLevel="0" max="2" min="2" style="177" width="28.97"/>
    <col collapsed="false" customWidth="true" hidden="false" outlineLevel="0" max="3" min="3" style="3" width="15.16"/>
    <col collapsed="false" customWidth="true" hidden="false" outlineLevel="0" max="4" min="4" style="3" width="18.08"/>
    <col collapsed="false" customWidth="true" hidden="false" outlineLevel="0" max="5" min="5" style="3" width="20.73"/>
    <col collapsed="false" customWidth="true" hidden="false" outlineLevel="0" max="6" min="6" style="3" width="19.91"/>
  </cols>
  <sheetData>
    <row r="1" customFormat="false" ht="34.8" hidden="false" customHeight="true" outlineLevel="0" collapsed="false">
      <c r="A1" s="178" t="s">
        <v>235</v>
      </c>
      <c r="B1" s="178" t="s">
        <v>236</v>
      </c>
      <c r="C1" s="178" t="s">
        <v>237</v>
      </c>
      <c r="D1" s="178" t="s">
        <v>238</v>
      </c>
      <c r="E1" s="179" t="s">
        <v>239</v>
      </c>
      <c r="F1" s="179" t="s">
        <v>240</v>
      </c>
    </row>
    <row r="2" customFormat="false" ht="51.85" hidden="false" customHeight="true" outlineLevel="0" collapsed="false">
      <c r="A2" s="179" t="s">
        <v>241</v>
      </c>
      <c r="B2" s="180" t="s">
        <v>242</v>
      </c>
      <c r="C2" s="181" t="n">
        <f aca="false">ORGÂNICOS!F515</f>
        <v>560.068205026221</v>
      </c>
      <c r="D2" s="182" t="n">
        <f aca="false">'SERIE HISTORICA'!C14</f>
        <v>640.915833333333</v>
      </c>
      <c r="E2" s="183" t="n">
        <f aca="false">ORGÂNICOS!F511</f>
        <v>358956.580347884</v>
      </c>
      <c r="F2" s="181" t="n">
        <f aca="false">E2*12</f>
        <v>4307478.96417461</v>
      </c>
      <c r="G2" s="184"/>
    </row>
    <row r="3" customFormat="false" ht="51.85" hidden="false" customHeight="true" outlineLevel="0" collapsed="false">
      <c r="A3" s="179" t="s">
        <v>243</v>
      </c>
      <c r="B3" s="185" t="s">
        <v>244</v>
      </c>
      <c r="C3" s="181" t="n">
        <f aca="false">RECICLÁVEIS!F423</f>
        <v>452.991921469385</v>
      </c>
      <c r="D3" s="182" t="n">
        <f aca="false">'SERIE HISTORICA'!D14</f>
        <v>439.2875</v>
      </c>
      <c r="E3" s="183" t="n">
        <f aca="false">RECICLÁVEIS!F419</f>
        <v>198993.688702482</v>
      </c>
      <c r="F3" s="181" t="n">
        <f aca="false">E3*12</f>
        <v>2387924.26442979</v>
      </c>
    </row>
    <row r="4" customFormat="false" ht="12.8" hidden="false" customHeight="false" outlineLevel="0" collapsed="false">
      <c r="A4" s="186" t="s">
        <v>245</v>
      </c>
      <c r="B4" s="186"/>
      <c r="C4" s="186"/>
      <c r="D4" s="186"/>
      <c r="E4" s="187" t="n">
        <f aca="false">SUM(E3,E2)</f>
        <v>557950.269050366</v>
      </c>
      <c r="F4" s="187" t="n">
        <f aca="false">SUM(F3,F2)</f>
        <v>6695403.2286044</v>
      </c>
    </row>
    <row r="6" customFormat="false" ht="12.8" hidden="false" customHeight="false" outlineLevel="0" collapsed="false">
      <c r="E6" s="184"/>
    </row>
    <row r="7" customFormat="false" ht="12.8" hidden="false" customHeight="false" outlineLevel="0" collapsed="false">
      <c r="B7" s="188"/>
    </row>
    <row r="8" customFormat="false" ht="12.8" hidden="false" customHeight="false" outlineLevel="0" collapsed="false">
      <c r="B8" s="188"/>
    </row>
    <row r="10" customFormat="false" ht="12.8" hidden="false" customHeight="false" outlineLevel="0" collapsed="false">
      <c r="B10" s="189"/>
    </row>
    <row r="17" customFormat="false" ht="12.8" hidden="false" customHeight="false" outlineLevel="0" collapsed="false">
      <c r="B17" s="190"/>
    </row>
  </sheetData>
  <mergeCells count="1">
    <mergeCell ref="A4:D4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4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D22" activeCellId="0" sqref="D22"/>
    </sheetView>
  </sheetViews>
  <sheetFormatPr defaultColWidth="11.53515625" defaultRowHeight="12.8" customHeight="false" zeroHeight="false" outlineLevelRow="0" outlineLevelCol="0"/>
  <sheetData>
    <row r="1" customFormat="false" ht="12.8" hidden="false" customHeight="false" outlineLevel="0" collapsed="false">
      <c r="A1" s="191" t="s">
        <v>22</v>
      </c>
      <c r="B1" s="191" t="s">
        <v>246</v>
      </c>
      <c r="C1" s="191" t="s">
        <v>247</v>
      </c>
      <c r="D1" s="191" t="s">
        <v>248</v>
      </c>
      <c r="E1" s="191" t="s">
        <v>245</v>
      </c>
    </row>
    <row r="2" customFormat="false" ht="12.8" hidden="false" customHeight="false" outlineLevel="0" collapsed="false">
      <c r="A2" s="191" t="s">
        <v>249</v>
      </c>
      <c r="B2" s="191" t="n">
        <v>2025</v>
      </c>
      <c r="C2" s="191" t="n">
        <v>611.57</v>
      </c>
      <c r="D2" s="191" t="n">
        <v>455.01</v>
      </c>
      <c r="E2" s="191" t="n">
        <f aca="false">SUM(C2,D2)</f>
        <v>1066.58</v>
      </c>
    </row>
    <row r="3" customFormat="false" ht="12.8" hidden="false" customHeight="false" outlineLevel="0" collapsed="false">
      <c r="A3" s="191" t="s">
        <v>250</v>
      </c>
      <c r="B3" s="191" t="n">
        <v>2025</v>
      </c>
      <c r="C3" s="191" t="n">
        <v>651.42</v>
      </c>
      <c r="D3" s="191" t="n">
        <v>493.79</v>
      </c>
      <c r="E3" s="191" t="n">
        <f aca="false">SUM(C3,D3)</f>
        <v>1145.21</v>
      </c>
    </row>
    <row r="4" customFormat="false" ht="12.8" hidden="false" customHeight="false" outlineLevel="0" collapsed="false">
      <c r="A4" s="191" t="s">
        <v>251</v>
      </c>
      <c r="B4" s="191" t="n">
        <v>2025</v>
      </c>
      <c r="C4" s="191" t="n">
        <v>620.12</v>
      </c>
      <c r="D4" s="191" t="n">
        <v>420.99</v>
      </c>
      <c r="E4" s="191" t="n">
        <f aca="false">SUM(C4,D4)</f>
        <v>1041.11</v>
      </c>
    </row>
    <row r="5" customFormat="false" ht="12.8" hidden="false" customHeight="false" outlineLevel="0" collapsed="false">
      <c r="A5" s="191" t="s">
        <v>252</v>
      </c>
      <c r="B5" s="191" t="n">
        <v>2025</v>
      </c>
      <c r="C5" s="191" t="n">
        <v>624.25</v>
      </c>
      <c r="D5" s="191" t="n">
        <v>420.75</v>
      </c>
      <c r="E5" s="191" t="n">
        <f aca="false">SUM(C5,D5)</f>
        <v>1045</v>
      </c>
    </row>
    <row r="6" customFormat="false" ht="12.8" hidden="false" customHeight="false" outlineLevel="0" collapsed="false">
      <c r="A6" s="191" t="s">
        <v>253</v>
      </c>
      <c r="B6" s="191" t="n">
        <v>2025</v>
      </c>
      <c r="C6" s="191" t="n">
        <v>636.4</v>
      </c>
      <c r="D6" s="191" t="n">
        <v>439.86</v>
      </c>
      <c r="E6" s="191" t="n">
        <f aca="false">SUM(C6,D6)</f>
        <v>1076.26</v>
      </c>
    </row>
    <row r="7" customFormat="false" ht="12.8" hidden="false" customHeight="false" outlineLevel="0" collapsed="false">
      <c r="A7" s="191" t="s">
        <v>254</v>
      </c>
      <c r="B7" s="191" t="n">
        <v>2025</v>
      </c>
      <c r="C7" s="191" t="n">
        <v>632.53</v>
      </c>
      <c r="D7" s="191" t="n">
        <v>441.96</v>
      </c>
      <c r="E7" s="191" t="n">
        <f aca="false">SUM(C7,D7)</f>
        <v>1074.49</v>
      </c>
    </row>
    <row r="8" customFormat="false" ht="12.8" hidden="false" customHeight="false" outlineLevel="0" collapsed="false">
      <c r="A8" s="191" t="s">
        <v>255</v>
      </c>
      <c r="B8" s="191" t="n">
        <v>2025</v>
      </c>
      <c r="C8" s="191" t="n">
        <v>795.78</v>
      </c>
      <c r="D8" s="191" t="n">
        <v>505.51</v>
      </c>
      <c r="E8" s="191" t="n">
        <f aca="false">SUM(C8,D8)</f>
        <v>1301.29</v>
      </c>
    </row>
    <row r="9" customFormat="false" ht="12.8" hidden="false" customHeight="false" outlineLevel="0" collapsed="false">
      <c r="A9" s="191" t="s">
        <v>256</v>
      </c>
      <c r="B9" s="191" t="n">
        <v>2026</v>
      </c>
      <c r="C9" s="191" t="n">
        <v>587.93</v>
      </c>
      <c r="D9" s="191" t="n">
        <v>510.41</v>
      </c>
      <c r="E9" s="191" t="n">
        <f aca="false">SUM(C9,D9)</f>
        <v>1098.34</v>
      </c>
    </row>
    <row r="10" customFormat="false" ht="12.8" hidden="false" customHeight="false" outlineLevel="0" collapsed="false">
      <c r="A10" s="191" t="s">
        <v>257</v>
      </c>
      <c r="B10" s="191" t="n">
        <v>2026</v>
      </c>
      <c r="C10" s="191" t="n">
        <v>550.43</v>
      </c>
      <c r="D10" s="191" t="n">
        <v>376.53</v>
      </c>
      <c r="E10" s="191" t="n">
        <f aca="false">SUM(C10,D10)</f>
        <v>926.96</v>
      </c>
    </row>
    <row r="11" customFormat="false" ht="12.8" hidden="false" customHeight="false" outlineLevel="0" collapsed="false">
      <c r="A11" s="191" t="s">
        <v>258</v>
      </c>
      <c r="B11" s="191" t="n">
        <v>2026</v>
      </c>
      <c r="C11" s="191" t="n">
        <v>690.76</v>
      </c>
      <c r="D11" s="191" t="n">
        <v>413.82</v>
      </c>
      <c r="E11" s="191" t="n">
        <f aca="false">SUM(C11,D11)</f>
        <v>1104.58</v>
      </c>
    </row>
    <row r="12" customFormat="false" ht="12.8" hidden="false" customHeight="false" outlineLevel="0" collapsed="false">
      <c r="A12" s="191" t="s">
        <v>259</v>
      </c>
      <c r="B12" s="191" t="n">
        <v>2026</v>
      </c>
      <c r="C12" s="191" t="n">
        <v>666.12</v>
      </c>
      <c r="D12" s="191" t="n">
        <v>422.48</v>
      </c>
      <c r="E12" s="191" t="n">
        <f aca="false">SUM(C12,D12)</f>
        <v>1088.6</v>
      </c>
    </row>
    <row r="13" customFormat="false" ht="12.8" hidden="false" customHeight="false" outlineLevel="0" collapsed="false">
      <c r="A13" s="191" t="s">
        <v>260</v>
      </c>
      <c r="B13" s="191" t="n">
        <v>2026</v>
      </c>
      <c r="C13" s="191" t="n">
        <v>623.68</v>
      </c>
      <c r="D13" s="191" t="n">
        <v>370.34</v>
      </c>
      <c r="E13" s="191" t="n">
        <f aca="false">SUM(C13,D13)</f>
        <v>994.02</v>
      </c>
    </row>
    <row r="14" customFormat="false" ht="12.8" hidden="false" customHeight="false" outlineLevel="0" collapsed="false">
      <c r="B14" s="191" t="s">
        <v>261</v>
      </c>
      <c r="C14" s="192" t="n">
        <f aca="false">AVERAGE(C2:C13)</f>
        <v>640.915833333333</v>
      </c>
      <c r="D14" s="192" t="n">
        <f aca="false">AVERAGE(D2:D13)</f>
        <v>439.2875</v>
      </c>
      <c r="E14" s="192" t="n">
        <f aca="false">AVERAGE(E2:E13)</f>
        <v>1080.20333333333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4"/>
  <sheetViews>
    <sheetView showFormulas="false" showGridLines="true" showRowColHeaders="true" showZeros="true" rightToLeft="false" tabSelected="false" showOutlineSymbols="true" defaultGridColor="true" view="pageBreakPreview" topLeftCell="A22" colorId="64" zoomScale="120" zoomScaleNormal="100" zoomScalePageLayoutView="120" workbookViewId="0">
      <selection pane="topLeft" activeCell="B30" activeCellId="0" sqref="B3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69.58"/>
    <col collapsed="false" customWidth="true" hidden="false" outlineLevel="0" max="2" min="2" style="3" width="20.35"/>
    <col collapsed="false" customWidth="true" hidden="false" outlineLevel="0" max="3" min="3" style="3" width="22.25"/>
  </cols>
  <sheetData>
    <row r="1" customFormat="false" ht="12.8" hidden="false" customHeight="false" outlineLevel="0" collapsed="false">
      <c r="A1" s="193" t="s">
        <v>262</v>
      </c>
      <c r="B1" s="194" t="n">
        <v>2082.31</v>
      </c>
      <c r="C1" s="193" t="s">
        <v>263</v>
      </c>
    </row>
    <row r="2" customFormat="false" ht="12.8" hidden="false" customHeight="false" outlineLevel="0" collapsed="false">
      <c r="A2" s="193" t="s">
        <v>264</v>
      </c>
      <c r="B2" s="194" t="n">
        <v>2827</v>
      </c>
      <c r="C2" s="193"/>
    </row>
    <row r="3" customFormat="false" ht="12.8" hidden="false" customHeight="false" outlineLevel="0" collapsed="false">
      <c r="A3" s="193" t="s">
        <v>265</v>
      </c>
      <c r="B3" s="194" t="n">
        <f aca="false">'CAMINHOES FIPE'!B13</f>
        <v>545875</v>
      </c>
      <c r="C3" s="193" t="s">
        <v>266</v>
      </c>
    </row>
    <row r="4" customFormat="false" ht="12.8" hidden="false" customHeight="false" outlineLevel="0" collapsed="false">
      <c r="A4" s="193" t="s">
        <v>267</v>
      </c>
      <c r="B4" s="195" t="n">
        <v>110623</v>
      </c>
      <c r="C4" s="196" t="s">
        <v>268</v>
      </c>
    </row>
    <row r="5" customFormat="false" ht="12.8" hidden="false" customHeight="false" outlineLevel="0" collapsed="false">
      <c r="A5" s="197" t="s">
        <v>75</v>
      </c>
      <c r="B5" s="194" t="n">
        <v>150</v>
      </c>
      <c r="C5" s="193"/>
    </row>
    <row r="6" customFormat="false" ht="12.8" hidden="false" customHeight="false" outlineLevel="0" collapsed="false">
      <c r="A6" s="197" t="s">
        <v>76</v>
      </c>
      <c r="B6" s="194" t="n">
        <v>64.66</v>
      </c>
      <c r="C6" s="193"/>
    </row>
    <row r="7" customFormat="false" ht="12.8" hidden="false" customHeight="false" outlineLevel="0" collapsed="false">
      <c r="A7" s="197" t="s">
        <v>77</v>
      </c>
      <c r="B7" s="194" t="n">
        <v>41.89</v>
      </c>
      <c r="C7" s="193"/>
    </row>
    <row r="8" customFormat="false" ht="12.8" hidden="false" customHeight="false" outlineLevel="0" collapsed="false">
      <c r="A8" s="197" t="s">
        <v>78</v>
      </c>
      <c r="B8" s="194" t="n">
        <v>165</v>
      </c>
      <c r="C8" s="193"/>
    </row>
    <row r="9" customFormat="false" ht="12.8" hidden="false" customHeight="false" outlineLevel="0" collapsed="false">
      <c r="A9" s="197" t="s">
        <v>80</v>
      </c>
      <c r="B9" s="194" t="n">
        <v>119.95</v>
      </c>
      <c r="C9" s="193"/>
    </row>
    <row r="10" customFormat="false" ht="12.8" hidden="false" customHeight="false" outlineLevel="0" collapsed="false">
      <c r="A10" s="197" t="s">
        <v>82</v>
      </c>
      <c r="B10" s="194" t="n">
        <v>7.2</v>
      </c>
      <c r="C10" s="193"/>
    </row>
    <row r="11" customFormat="false" ht="12.8" hidden="false" customHeight="false" outlineLevel="0" collapsed="false">
      <c r="A11" s="197" t="s">
        <v>83</v>
      </c>
      <c r="B11" s="194" t="n">
        <v>43.19</v>
      </c>
      <c r="C11" s="193"/>
    </row>
    <row r="12" customFormat="false" ht="12.8" hidden="false" customHeight="false" outlineLevel="0" collapsed="false">
      <c r="A12" s="196" t="s">
        <v>84</v>
      </c>
      <c r="B12" s="194" t="n">
        <v>19.13</v>
      </c>
      <c r="C12" s="193"/>
    </row>
    <row r="13" customFormat="false" ht="12.8" hidden="false" customHeight="false" outlineLevel="0" collapsed="false">
      <c r="A13" s="197" t="s">
        <v>85</v>
      </c>
      <c r="B13" s="194" t="n">
        <v>28.39</v>
      </c>
      <c r="C13" s="193"/>
    </row>
    <row r="14" customFormat="false" ht="12.8" hidden="false" customHeight="false" outlineLevel="0" collapsed="false">
      <c r="A14" s="197" t="s">
        <v>86</v>
      </c>
      <c r="B14" s="194" t="n">
        <v>13.99</v>
      </c>
      <c r="C14" s="193"/>
    </row>
    <row r="15" customFormat="false" ht="12.8" hidden="false" customHeight="false" outlineLevel="0" collapsed="false">
      <c r="A15" s="197" t="s">
        <v>88</v>
      </c>
      <c r="B15" s="194" t="n">
        <v>100</v>
      </c>
      <c r="C15" s="193"/>
    </row>
    <row r="16" customFormat="false" ht="12.8" hidden="false" customHeight="false" outlineLevel="0" collapsed="false">
      <c r="A16" s="197" t="s">
        <v>148</v>
      </c>
      <c r="B16" s="194" t="n">
        <v>1823.73</v>
      </c>
      <c r="C16" s="193"/>
    </row>
    <row r="17" customFormat="false" ht="12.8" hidden="false" customHeight="false" outlineLevel="0" collapsed="false">
      <c r="A17" s="193" t="s">
        <v>269</v>
      </c>
      <c r="B17" s="194" t="n">
        <v>647</v>
      </c>
      <c r="C17" s="193"/>
    </row>
    <row r="18" customFormat="false" ht="12.8" hidden="false" customHeight="false" outlineLevel="0" collapsed="false">
      <c r="A18" s="193" t="s">
        <v>57</v>
      </c>
      <c r="B18" s="194" t="n">
        <v>6.4</v>
      </c>
      <c r="C18" s="193"/>
    </row>
    <row r="19" customFormat="false" ht="12.8" hidden="false" customHeight="false" outlineLevel="0" collapsed="false">
      <c r="A19" s="193" t="s">
        <v>270</v>
      </c>
      <c r="B19" s="194" t="n">
        <v>27.15</v>
      </c>
      <c r="C19" s="193"/>
    </row>
    <row r="20" customFormat="false" ht="12.8" hidden="false" customHeight="false" outlineLevel="0" collapsed="false">
      <c r="A20" s="193" t="s">
        <v>271</v>
      </c>
      <c r="B20" s="194" t="n">
        <v>34</v>
      </c>
      <c r="C20" s="193"/>
    </row>
    <row r="21" customFormat="false" ht="12.8" hidden="false" customHeight="false" outlineLevel="0" collapsed="false">
      <c r="A21" s="193" t="s">
        <v>272</v>
      </c>
      <c r="B21" s="194" t="n">
        <v>300</v>
      </c>
      <c r="C21" s="193"/>
    </row>
    <row r="22" customFormat="false" ht="12.8" hidden="false" customHeight="false" outlineLevel="0" collapsed="false">
      <c r="A22" s="193" t="s">
        <v>273</v>
      </c>
      <c r="B22" s="194" t="n">
        <v>300</v>
      </c>
      <c r="C22" s="193"/>
    </row>
    <row r="23" customFormat="false" ht="12.8" hidden="false" customHeight="false" outlineLevel="0" collapsed="false">
      <c r="A23" s="197" t="s">
        <v>190</v>
      </c>
      <c r="B23" s="194" t="n">
        <v>41.22</v>
      </c>
      <c r="C23" s="193"/>
    </row>
    <row r="24" customFormat="false" ht="12.8" hidden="false" customHeight="false" outlineLevel="0" collapsed="false">
      <c r="A24" s="197" t="s">
        <v>191</v>
      </c>
      <c r="B24" s="194" t="n">
        <v>45.9</v>
      </c>
      <c r="C24" s="193"/>
    </row>
    <row r="25" customFormat="false" ht="12.8" hidden="false" customHeight="false" outlineLevel="0" collapsed="false">
      <c r="A25" s="197" t="s">
        <v>192</v>
      </c>
      <c r="B25" s="194" t="n">
        <v>51.29</v>
      </c>
      <c r="C25" s="193"/>
    </row>
    <row r="26" customFormat="false" ht="12.8" hidden="false" customHeight="false" outlineLevel="0" collapsed="false">
      <c r="A26" s="197" t="s">
        <v>193</v>
      </c>
      <c r="B26" s="194" t="n">
        <v>20</v>
      </c>
      <c r="C26" s="193"/>
    </row>
    <row r="27" customFormat="false" ht="12.8" hidden="false" customHeight="false" outlineLevel="0" collapsed="false">
      <c r="A27" s="197" t="s">
        <v>195</v>
      </c>
      <c r="B27" s="194" t="n">
        <v>260</v>
      </c>
      <c r="C27" s="193"/>
    </row>
    <row r="28" customFormat="false" ht="12.8" hidden="false" customHeight="false" outlineLevel="0" collapsed="false">
      <c r="A28" s="196" t="s">
        <v>200</v>
      </c>
      <c r="B28" s="194" t="n">
        <v>2100</v>
      </c>
      <c r="C28" s="193"/>
    </row>
    <row r="29" customFormat="false" ht="12.8" hidden="false" customHeight="false" outlineLevel="0" collapsed="false">
      <c r="A29" s="196" t="s">
        <v>202</v>
      </c>
      <c r="B29" s="194" t="n">
        <v>92</v>
      </c>
      <c r="C29" s="193"/>
    </row>
    <row r="30" customFormat="false" ht="12.8" hidden="false" customHeight="false" outlineLevel="0" collapsed="false">
      <c r="A30" s="196" t="s">
        <v>102</v>
      </c>
      <c r="B30" s="194" t="n">
        <v>247760</v>
      </c>
      <c r="C30" s="193"/>
    </row>
    <row r="31" customFormat="false" ht="12.8" hidden="false" customHeight="false" outlineLevel="0" collapsed="false">
      <c r="A31" s="193" t="s">
        <v>274</v>
      </c>
      <c r="B31" s="194" t="n">
        <v>8</v>
      </c>
      <c r="C31" s="193"/>
    </row>
    <row r="32" customFormat="false" ht="12.8" hidden="false" customHeight="false" outlineLevel="0" collapsed="false">
      <c r="A32" s="193" t="s">
        <v>275</v>
      </c>
      <c r="B32" s="196" t="n">
        <v>14.5</v>
      </c>
      <c r="C32" s="193"/>
    </row>
    <row r="33" customFormat="false" ht="12.8" hidden="false" customHeight="false" outlineLevel="0" collapsed="false">
      <c r="A33" s="3" t="s">
        <v>276</v>
      </c>
      <c r="B33" s="184" t="n">
        <v>5</v>
      </c>
    </row>
    <row r="34" customFormat="false" ht="12.8" hidden="false" customHeight="false" outlineLevel="0" collapsed="false">
      <c r="A34" s="3" t="s">
        <v>277</v>
      </c>
      <c r="B34" s="3" t="n">
        <v>2140</v>
      </c>
    </row>
    <row r="35" customFormat="false" ht="12.8" hidden="false" customHeight="false" outlineLevel="0" collapsed="false">
      <c r="A35" s="3" t="s">
        <v>278</v>
      </c>
      <c r="B35" s="3" t="n">
        <v>400</v>
      </c>
    </row>
    <row r="36" customFormat="false" ht="12.8" hidden="false" customHeight="false" outlineLevel="0" collapsed="false">
      <c r="A36" s="3" t="s">
        <v>279</v>
      </c>
      <c r="B36" s="184" t="n">
        <v>30</v>
      </c>
    </row>
    <row r="37" customFormat="false" ht="12.8" hidden="false" customHeight="false" outlineLevel="0" collapsed="false">
      <c r="A37" s="3" t="s">
        <v>280</v>
      </c>
      <c r="B37" s="3" t="n">
        <v>6.44</v>
      </c>
    </row>
    <row r="38" customFormat="false" ht="12.8" hidden="false" customHeight="false" outlineLevel="0" collapsed="false">
      <c r="A38" s="3" t="s">
        <v>281</v>
      </c>
      <c r="B38" s="3" t="n">
        <v>7.03</v>
      </c>
    </row>
    <row r="39" customFormat="false" ht="12.8" hidden="false" customHeight="false" outlineLevel="0" collapsed="false">
      <c r="A39" s="3" t="s">
        <v>282</v>
      </c>
      <c r="B39" s="115" t="n">
        <v>109.27</v>
      </c>
    </row>
    <row r="40" customFormat="false" ht="12.8" hidden="false" customHeight="false" outlineLevel="0" collapsed="false">
      <c r="A40" s="3" t="s">
        <v>283</v>
      </c>
      <c r="B40" s="3" t="n">
        <v>1621</v>
      </c>
    </row>
    <row r="41" customFormat="false" ht="12.8" hidden="false" customHeight="false" outlineLevel="0" collapsed="false">
      <c r="A41" s="3" t="s">
        <v>284</v>
      </c>
      <c r="B41" s="3" t="n">
        <v>3500</v>
      </c>
    </row>
    <row r="42" customFormat="false" ht="12.8" hidden="false" customHeight="false" outlineLevel="0" collapsed="false">
      <c r="A42" s="3" t="s">
        <v>285</v>
      </c>
      <c r="B42" s="3" t="n">
        <v>36.3</v>
      </c>
    </row>
    <row r="43" customFormat="false" ht="12.8" hidden="false" customHeight="false" outlineLevel="0" collapsed="false">
      <c r="A43" s="3" t="s">
        <v>286</v>
      </c>
      <c r="B43" s="3" t="n">
        <v>54.12</v>
      </c>
    </row>
    <row r="44" customFormat="false" ht="12.8" hidden="false" customHeight="false" outlineLevel="0" collapsed="false">
      <c r="A44" s="3" t="s">
        <v>287</v>
      </c>
      <c r="B44" s="3" t="n">
        <v>47.4</v>
      </c>
    </row>
    <row r="45" customFormat="false" ht="12.8" hidden="false" customHeight="false" outlineLevel="0" collapsed="false">
      <c r="A45" s="3" t="s">
        <v>288</v>
      </c>
      <c r="B45" s="3" t="n">
        <v>36</v>
      </c>
    </row>
    <row r="46" customFormat="false" ht="12.8" hidden="false" customHeight="false" outlineLevel="0" collapsed="false">
      <c r="A46" s="3" t="s">
        <v>289</v>
      </c>
      <c r="B46" s="3" t="n">
        <v>1.32</v>
      </c>
    </row>
    <row r="47" customFormat="false" ht="12.8" hidden="false" customHeight="false" outlineLevel="0" collapsed="false">
      <c r="A47" s="3" t="s">
        <v>290</v>
      </c>
      <c r="B47" s="3" t="n">
        <v>650</v>
      </c>
    </row>
    <row r="48" customFormat="false" ht="12.8" hidden="false" customHeight="false" outlineLevel="0" collapsed="false">
      <c r="A48" s="3" t="s">
        <v>291</v>
      </c>
      <c r="B48" s="3" t="n">
        <v>159.9</v>
      </c>
    </row>
    <row r="49" customFormat="false" ht="12.8" hidden="false" customHeight="false" outlineLevel="0" collapsed="false">
      <c r="A49" s="3" t="s">
        <v>292</v>
      </c>
      <c r="B49" s="3" t="n">
        <v>2194</v>
      </c>
    </row>
    <row r="50" customFormat="false" ht="12.8" hidden="false" customHeight="false" outlineLevel="0" collapsed="false">
      <c r="A50" s="3" t="s">
        <v>293</v>
      </c>
      <c r="B50" s="3" t="n">
        <v>349.9</v>
      </c>
    </row>
    <row r="51" customFormat="false" ht="12.8" hidden="false" customHeight="false" outlineLevel="0" collapsed="false">
      <c r="A51" s="3" t="s">
        <v>294</v>
      </c>
      <c r="B51" s="3" t="n">
        <v>0.5</v>
      </c>
    </row>
    <row r="52" customFormat="false" ht="12.8" hidden="false" customHeight="false" outlineLevel="0" collapsed="false">
      <c r="A52" s="3" t="s">
        <v>295</v>
      </c>
      <c r="B52" s="3" t="n">
        <v>5000</v>
      </c>
    </row>
    <row r="53" customFormat="false" ht="12.8" hidden="false" customHeight="false" outlineLevel="0" collapsed="false">
      <c r="A53" s="3" t="s">
        <v>296</v>
      </c>
      <c r="B53" s="3" t="n">
        <v>150</v>
      </c>
    </row>
    <row r="54" customFormat="false" ht="12.8" hidden="false" customHeight="false" outlineLevel="0" collapsed="false">
      <c r="A54" s="3" t="s">
        <v>297</v>
      </c>
      <c r="B54" s="115" t="n">
        <v>2229</v>
      </c>
    </row>
    <row r="55" customFormat="false" ht="12.8" hidden="false" customHeight="false" outlineLevel="0" collapsed="false">
      <c r="A55" s="3" t="s">
        <v>298</v>
      </c>
      <c r="B55" s="198" t="n">
        <v>256579</v>
      </c>
    </row>
    <row r="56" customFormat="false" ht="12.8" hidden="false" customHeight="false" outlineLevel="0" collapsed="false">
      <c r="A56" s="3" t="s">
        <v>299</v>
      </c>
      <c r="B56" s="184" t="n">
        <v>10000</v>
      </c>
    </row>
    <row r="57" customFormat="false" ht="12.8" hidden="false" customHeight="false" outlineLevel="0" collapsed="false">
      <c r="A57" s="3" t="s">
        <v>300</v>
      </c>
      <c r="B57" s="3" t="n">
        <v>650</v>
      </c>
    </row>
    <row r="58" customFormat="false" ht="12.8" hidden="false" customHeight="false" outlineLevel="0" collapsed="false">
      <c r="A58" s="3" t="s">
        <v>301</v>
      </c>
      <c r="B58" s="3" t="n">
        <v>7.92</v>
      </c>
    </row>
    <row r="59" customFormat="false" ht="12.8" hidden="false" customHeight="false" outlineLevel="0" collapsed="false">
      <c r="A59" s="3" t="s">
        <v>302</v>
      </c>
      <c r="B59" s="3" t="n">
        <f aca="false">(478.55+4*109.29)/5</f>
        <v>183.142</v>
      </c>
    </row>
    <row r="60" customFormat="false" ht="12.8" hidden="false" customHeight="false" outlineLevel="0" collapsed="false">
      <c r="A60" s="3" t="s">
        <v>303</v>
      </c>
      <c r="B60" s="3" t="n">
        <v>2.1</v>
      </c>
    </row>
    <row r="61" customFormat="false" ht="12.8" hidden="false" customHeight="false" outlineLevel="0" collapsed="false">
      <c r="A61" s="3" t="s">
        <v>304</v>
      </c>
      <c r="B61" s="3" t="n">
        <v>16.47</v>
      </c>
    </row>
    <row r="62" customFormat="false" ht="12.8" hidden="false" customHeight="false" outlineLevel="0" collapsed="false">
      <c r="A62" s="3" t="s">
        <v>305</v>
      </c>
      <c r="B62" s="3" t="n">
        <v>12.8</v>
      </c>
    </row>
    <row r="63" customFormat="false" ht="12.8" hidden="false" customHeight="false" outlineLevel="0" collapsed="false">
      <c r="A63" s="3" t="s">
        <v>306</v>
      </c>
      <c r="B63" s="3" t="n">
        <v>65000</v>
      </c>
    </row>
    <row r="64" customFormat="false" ht="12.8" hidden="false" customHeight="false" outlineLevel="0" collapsed="false">
      <c r="A64" s="3" t="s">
        <v>307</v>
      </c>
      <c r="B64" s="3" t="n">
        <f aca="false">1.08*7.33</f>
        <v>7.9164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3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C22" activeCellId="0" sqref="C22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17.69"/>
    <col collapsed="false" customWidth="true" hidden="false" outlineLevel="0" max="2" min="2" style="3" width="36.34"/>
    <col collapsed="false" customWidth="true" hidden="false" outlineLevel="0" max="3" min="3" style="3" width="19.74"/>
    <col collapsed="false" customWidth="true" hidden="false" outlineLevel="0" max="4" min="4" style="3" width="17.13"/>
  </cols>
  <sheetData>
    <row r="1" customFormat="false" ht="12.8" hidden="false" customHeight="false" outlineLevel="0" collapsed="false">
      <c r="A1" s="193" t="s">
        <v>308</v>
      </c>
      <c r="B1" s="193" t="s">
        <v>309</v>
      </c>
      <c r="C1" s="193" t="s">
        <v>310</v>
      </c>
      <c r="D1" s="193" t="s">
        <v>311</v>
      </c>
    </row>
    <row r="2" customFormat="false" ht="12.8" hidden="false" customHeight="false" outlineLevel="0" collapsed="false">
      <c r="A2" s="193" t="s">
        <v>312</v>
      </c>
      <c r="B2" s="193" t="s">
        <v>313</v>
      </c>
      <c r="C2" s="193" t="s">
        <v>314</v>
      </c>
      <c r="D2" s="195" t="n">
        <v>545875</v>
      </c>
    </row>
    <row r="3" customFormat="false" ht="12.8" hidden="false" customHeight="false" outlineLevel="0" collapsed="false">
      <c r="A3" s="193" t="s">
        <v>312</v>
      </c>
      <c r="B3" s="193" t="s">
        <v>315</v>
      </c>
      <c r="C3" s="193" t="s">
        <v>316</v>
      </c>
      <c r="D3" s="195" t="n">
        <v>578293</v>
      </c>
    </row>
    <row r="4" customFormat="false" ht="12.8" hidden="false" customHeight="false" outlineLevel="0" collapsed="false">
      <c r="A4" s="193" t="s">
        <v>312</v>
      </c>
      <c r="B4" s="193" t="s">
        <v>317</v>
      </c>
      <c r="C4" s="193" t="s">
        <v>318</v>
      </c>
      <c r="D4" s="195" t="n">
        <v>629451</v>
      </c>
    </row>
    <row r="5" customFormat="false" ht="12.8" hidden="false" customHeight="false" outlineLevel="0" collapsed="false">
      <c r="A5" s="193" t="s">
        <v>319</v>
      </c>
      <c r="B5" s="193" t="s">
        <v>320</v>
      </c>
      <c r="C5" s="193" t="s">
        <v>321</v>
      </c>
      <c r="D5" s="195" t="n">
        <v>553750</v>
      </c>
    </row>
    <row r="6" customFormat="false" ht="12.8" hidden="false" customHeight="false" outlineLevel="0" collapsed="false">
      <c r="A6" s="193" t="s">
        <v>319</v>
      </c>
      <c r="B6" s="193" t="s">
        <v>322</v>
      </c>
      <c r="C6" s="193" t="s">
        <v>323</v>
      </c>
      <c r="D6" s="195" t="n">
        <v>513800</v>
      </c>
    </row>
    <row r="7" customFormat="false" ht="12.8" hidden="false" customHeight="false" outlineLevel="0" collapsed="false">
      <c r="A7" s="193" t="s">
        <v>324</v>
      </c>
      <c r="B7" s="193" t="s">
        <v>325</v>
      </c>
      <c r="C7" s="193" t="s">
        <v>326</v>
      </c>
      <c r="D7" s="195" t="n">
        <v>454500</v>
      </c>
    </row>
    <row r="8" customFormat="false" ht="12.8" hidden="false" customHeight="false" outlineLevel="0" collapsed="false">
      <c r="A8" s="193" t="s">
        <v>327</v>
      </c>
      <c r="B8" s="193" t="s">
        <v>328</v>
      </c>
      <c r="C8" s="193" t="s">
        <v>329</v>
      </c>
      <c r="D8" s="195" t="n">
        <v>444375</v>
      </c>
    </row>
    <row r="9" customFormat="false" ht="12.8" hidden="false" customHeight="false" outlineLevel="0" collapsed="false">
      <c r="A9" s="193" t="s">
        <v>327</v>
      </c>
      <c r="B9" s="193" t="s">
        <v>330</v>
      </c>
      <c r="C9" s="193" t="s">
        <v>331</v>
      </c>
      <c r="D9" s="195" t="n">
        <v>483750</v>
      </c>
    </row>
    <row r="10" customFormat="false" ht="12.8" hidden="false" customHeight="false" outlineLevel="0" collapsed="false">
      <c r="A10" s="193" t="s">
        <v>332</v>
      </c>
      <c r="B10" s="193" t="s">
        <v>333</v>
      </c>
      <c r="C10" s="193" t="s">
        <v>334</v>
      </c>
      <c r="D10" s="195" t="n">
        <v>627840</v>
      </c>
    </row>
    <row r="12" customFormat="false" ht="12.8" hidden="false" customHeight="false" outlineLevel="0" collapsed="false">
      <c r="A12" s="193" t="s">
        <v>335</v>
      </c>
      <c r="B12" s="199" t="n">
        <f aca="false">AVERAGE(D2:D10)</f>
        <v>536848.222222222</v>
      </c>
    </row>
    <row r="13" customFormat="false" ht="12.8" hidden="false" customHeight="false" outlineLevel="0" collapsed="false">
      <c r="A13" s="193" t="s">
        <v>336</v>
      </c>
      <c r="B13" s="200" t="n">
        <f aca="false">MEDIAN(D2:D10)</f>
        <v>545875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4"/>
  <sheetViews>
    <sheetView showFormulas="false" showGridLines="true" showRowColHeaders="true" showZeros="true" rightToLeft="false" tabSelected="false" showOutlineSymbols="true" defaultGridColor="true" view="pageBreakPreview" topLeftCell="A7" colorId="64" zoomScale="120" zoomScaleNormal="100" zoomScalePageLayoutView="120" workbookViewId="0">
      <selection pane="topLeft" activeCell="N10" activeCellId="0" sqref="N1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9.58"/>
    <col collapsed="false" customWidth="true" hidden="false" outlineLevel="0" max="2" min="2" style="3" width="5.56"/>
    <col collapsed="false" customWidth="true" hidden="false" outlineLevel="0" max="3" min="3" style="3" width="7.26"/>
    <col collapsed="false" customWidth="true" hidden="false" outlineLevel="0" max="4" min="4" style="3" width="7.88"/>
    <col collapsed="false" customWidth="true" hidden="false" outlineLevel="0" max="5" min="5" style="3" width="17.96"/>
    <col collapsed="false" customWidth="true" hidden="false" outlineLevel="0" max="6" min="6" style="177" width="30.95"/>
    <col collapsed="false" customWidth="true" hidden="false" outlineLevel="0" max="7" min="7" style="3" width="4.31"/>
    <col collapsed="false" customWidth="true" hidden="false" outlineLevel="0" max="8" min="8" style="3" width="9.04"/>
    <col collapsed="false" customWidth="true" hidden="false" outlineLevel="0" max="9" min="9" style="3" width="7.65"/>
    <col collapsed="false" customWidth="true" hidden="false" outlineLevel="0" max="10" min="10" style="3" width="9.15"/>
    <col collapsed="false" customWidth="true" hidden="false" outlineLevel="0" max="11" min="11" style="177" width="29.06"/>
    <col collapsed="false" customWidth="true" hidden="false" outlineLevel="0" max="12" min="12" style="3" width="16.69"/>
    <col collapsed="false" customWidth="true" hidden="false" outlineLevel="0" max="13" min="13" style="3" width="17.99"/>
    <col collapsed="false" customWidth="true" hidden="false" outlineLevel="0" max="14" min="14" style="3" width="19.48"/>
  </cols>
  <sheetData>
    <row r="1" customFormat="false" ht="39.35" hidden="false" customHeight="true" outlineLevel="0" collapsed="false">
      <c r="A1" s="201" t="s">
        <v>337</v>
      </c>
      <c r="B1" s="201"/>
      <c r="C1" s="201" t="s">
        <v>338</v>
      </c>
      <c r="D1" s="201"/>
      <c r="E1" s="201"/>
      <c r="F1" s="201"/>
      <c r="H1" s="201" t="s">
        <v>339</v>
      </c>
      <c r="I1" s="201"/>
      <c r="J1" s="201"/>
      <c r="K1" s="201"/>
      <c r="L1" s="201" t="s">
        <v>340</v>
      </c>
      <c r="M1" s="201" t="s">
        <v>341</v>
      </c>
      <c r="N1" s="201" t="s">
        <v>342</v>
      </c>
    </row>
    <row r="2" customFormat="false" ht="30.9" hidden="false" customHeight="true" outlineLevel="0" collapsed="false">
      <c r="A2" s="202" t="s">
        <v>343</v>
      </c>
      <c r="B2" s="202"/>
      <c r="C2" s="202"/>
      <c r="D2" s="202" t="s">
        <v>344</v>
      </c>
      <c r="E2" s="202" t="s">
        <v>345</v>
      </c>
      <c r="F2" s="203" t="s">
        <v>346</v>
      </c>
      <c r="G2" s="204"/>
      <c r="H2" s="202" t="s">
        <v>343</v>
      </c>
      <c r="I2" s="202" t="s">
        <v>344</v>
      </c>
      <c r="J2" s="202" t="s">
        <v>345</v>
      </c>
      <c r="K2" s="205" t="s">
        <v>346</v>
      </c>
      <c r="L2" s="201"/>
      <c r="M2" s="201"/>
      <c r="N2" s="201"/>
    </row>
    <row r="3" customFormat="false" ht="70.3" hidden="false" customHeight="true" outlineLevel="0" collapsed="false">
      <c r="A3" s="206" t="n">
        <v>1</v>
      </c>
      <c r="B3" s="206"/>
      <c r="C3" s="206"/>
      <c r="D3" s="207" t="s">
        <v>347</v>
      </c>
      <c r="E3" s="207" t="s">
        <v>348</v>
      </c>
      <c r="F3" s="208" t="s">
        <v>349</v>
      </c>
      <c r="G3" s="209"/>
      <c r="H3" s="206" t="n">
        <v>1</v>
      </c>
      <c r="I3" s="207" t="s">
        <v>347</v>
      </c>
      <c r="J3" s="207" t="s">
        <v>350</v>
      </c>
      <c r="K3" s="210" t="s">
        <v>349</v>
      </c>
      <c r="L3" s="211" t="n">
        <v>40.11</v>
      </c>
      <c r="M3" s="211" t="n">
        <f aca="false">L3*3*B13</f>
        <v>522.8625</v>
      </c>
      <c r="N3" s="211" t="n">
        <f aca="false">L3*2*$B$13</f>
        <v>348.575</v>
      </c>
    </row>
    <row r="4" customFormat="false" ht="62.8" hidden="false" customHeight="true" outlineLevel="0" collapsed="false">
      <c r="A4" s="206" t="n">
        <v>2</v>
      </c>
      <c r="B4" s="206"/>
      <c r="C4" s="206"/>
      <c r="D4" s="207" t="s">
        <v>347</v>
      </c>
      <c r="E4" s="207" t="s">
        <v>348</v>
      </c>
      <c r="F4" s="208" t="s">
        <v>351</v>
      </c>
      <c r="G4" s="209"/>
      <c r="H4" s="206" t="n">
        <v>2</v>
      </c>
      <c r="I4" s="207" t="s">
        <v>347</v>
      </c>
      <c r="J4" s="207" t="s">
        <v>350</v>
      </c>
      <c r="K4" s="210" t="s">
        <v>351</v>
      </c>
      <c r="L4" s="211" t="n">
        <v>29.05</v>
      </c>
      <c r="M4" s="211" t="n">
        <f aca="false">L4*3*B13</f>
        <v>378.6875</v>
      </c>
      <c r="N4" s="211" t="n">
        <f aca="false">L4*2*$B$13</f>
        <v>252.458333333333</v>
      </c>
    </row>
    <row r="5" customFormat="false" ht="59.05" hidden="false" customHeight="true" outlineLevel="0" collapsed="false">
      <c r="A5" s="206" t="n">
        <v>3</v>
      </c>
      <c r="B5" s="206"/>
      <c r="C5" s="206"/>
      <c r="D5" s="207" t="s">
        <v>347</v>
      </c>
      <c r="E5" s="207" t="s">
        <v>348</v>
      </c>
      <c r="F5" s="208" t="s">
        <v>352</v>
      </c>
      <c r="G5" s="209"/>
      <c r="H5" s="206" t="n">
        <v>3</v>
      </c>
      <c r="I5" s="207" t="s">
        <v>353</v>
      </c>
      <c r="J5" s="207" t="s">
        <v>350</v>
      </c>
      <c r="K5" s="210" t="s">
        <v>352</v>
      </c>
      <c r="L5" s="211" t="n">
        <v>41.64</v>
      </c>
      <c r="M5" s="211" t="n">
        <f aca="false">L5*3*B13</f>
        <v>542.807142857143</v>
      </c>
      <c r="N5" s="211" t="n">
        <f aca="false">L5*2*$B$13</f>
        <v>361.871428571429</v>
      </c>
    </row>
    <row r="6" customFormat="false" ht="48.75" hidden="false" customHeight="true" outlineLevel="0" collapsed="false">
      <c r="A6" s="206" t="n">
        <v>4</v>
      </c>
      <c r="B6" s="206"/>
      <c r="C6" s="206"/>
      <c r="D6" s="207" t="s">
        <v>347</v>
      </c>
      <c r="E6" s="207" t="s">
        <v>348</v>
      </c>
      <c r="F6" s="208" t="s">
        <v>354</v>
      </c>
      <c r="G6" s="209"/>
      <c r="H6" s="206" t="n">
        <v>4</v>
      </c>
      <c r="I6" s="207" t="s">
        <v>347</v>
      </c>
      <c r="J6" s="207" t="s">
        <v>350</v>
      </c>
      <c r="K6" s="210" t="s">
        <v>354</v>
      </c>
      <c r="L6" s="211" t="n">
        <v>50.97</v>
      </c>
      <c r="M6" s="211" t="n">
        <f aca="false">L6*3*B13</f>
        <v>664.430357142857</v>
      </c>
      <c r="N6" s="211" t="n">
        <f aca="false">L6*2*$B$13</f>
        <v>442.953571428572</v>
      </c>
    </row>
    <row r="7" customFormat="false" ht="56.85" hidden="false" customHeight="true" outlineLevel="0" collapsed="false">
      <c r="A7" s="206" t="n">
        <v>5</v>
      </c>
      <c r="B7" s="206"/>
      <c r="C7" s="206"/>
      <c r="D7" s="207" t="s">
        <v>347</v>
      </c>
      <c r="E7" s="207" t="s">
        <v>355</v>
      </c>
      <c r="F7" s="208" t="s">
        <v>356</v>
      </c>
      <c r="G7" s="209"/>
      <c r="H7" s="206" t="n">
        <v>5</v>
      </c>
      <c r="I7" s="207" t="s">
        <v>347</v>
      </c>
      <c r="J7" s="207" t="s">
        <v>357</v>
      </c>
      <c r="K7" s="210" t="s">
        <v>356</v>
      </c>
      <c r="L7" s="211" t="n">
        <v>23.36</v>
      </c>
      <c r="M7" s="211" t="n">
        <f aca="false">L7*3*B13</f>
        <v>304.514285714286</v>
      </c>
      <c r="N7" s="211" t="n">
        <f aca="false">L7*2*$B$13</f>
        <v>203.009523809524</v>
      </c>
    </row>
    <row r="8" customFormat="false" ht="59.35" hidden="false" customHeight="true" outlineLevel="0" collapsed="false">
      <c r="A8" s="206" t="n">
        <v>6</v>
      </c>
      <c r="B8" s="206"/>
      <c r="C8" s="206"/>
      <c r="D8" s="207" t="s">
        <v>347</v>
      </c>
      <c r="E8" s="207" t="s">
        <v>355</v>
      </c>
      <c r="F8" s="208" t="s">
        <v>358</v>
      </c>
      <c r="G8" s="209"/>
      <c r="H8" s="206" t="n">
        <v>6</v>
      </c>
      <c r="I8" s="207" t="s">
        <v>353</v>
      </c>
      <c r="J8" s="207" t="s">
        <v>357</v>
      </c>
      <c r="K8" s="210" t="s">
        <v>358</v>
      </c>
      <c r="L8" s="211" t="n">
        <v>43.73</v>
      </c>
      <c r="M8" s="211" t="n">
        <f aca="false">L8*3*B13</f>
        <v>570.051785714286</v>
      </c>
      <c r="N8" s="211" t="n">
        <f aca="false">L8*2*$B$13</f>
        <v>380.034523809524</v>
      </c>
    </row>
    <row r="9" customFormat="false" ht="74.35" hidden="false" customHeight="true" outlineLevel="0" collapsed="false">
      <c r="A9" s="206" t="n">
        <v>7</v>
      </c>
      <c r="B9" s="206"/>
      <c r="C9" s="206"/>
      <c r="D9" s="207" t="s">
        <v>347</v>
      </c>
      <c r="E9" s="207" t="s">
        <v>355</v>
      </c>
      <c r="F9" s="208" t="s">
        <v>359</v>
      </c>
      <c r="G9" s="212"/>
      <c r="H9" s="206" t="n">
        <v>7</v>
      </c>
      <c r="I9" s="207" t="s">
        <v>347</v>
      </c>
      <c r="J9" s="207" t="s">
        <v>357</v>
      </c>
      <c r="K9" s="213" t="s">
        <v>360</v>
      </c>
      <c r="L9" s="211" t="n">
        <v>60.1</v>
      </c>
      <c r="M9" s="211" t="n">
        <f aca="false">L9*3*B13</f>
        <v>783.446428571429</v>
      </c>
      <c r="N9" s="211" t="n">
        <f aca="false">L9*2*$B$13</f>
        <v>522.297619047619</v>
      </c>
    </row>
    <row r="10" customFormat="false" ht="26.85" hidden="false" customHeight="true" outlineLevel="0" collapsed="false">
      <c r="A10" s="201" t="s">
        <v>245</v>
      </c>
      <c r="B10" s="201"/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11" t="n">
        <f aca="false">SUM(M3:M9)</f>
        <v>3766.8</v>
      </c>
      <c r="N10" s="211" t="n">
        <f aca="false">SUM(N3:N9)</f>
        <v>2511.2</v>
      </c>
    </row>
    <row r="11" customFormat="false" ht="6.25" hidden="false" customHeight="true" outlineLevel="0" collapsed="false">
      <c r="A11" s="201"/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11"/>
      <c r="N11" s="211"/>
    </row>
    <row r="13" customFormat="false" ht="35.05" hidden="false" customHeight="false" outlineLevel="0" collapsed="false">
      <c r="A13" s="177" t="s">
        <v>361</v>
      </c>
      <c r="B13" s="3" t="n">
        <f aca="false">365/12/7</f>
        <v>4.3452380952381</v>
      </c>
    </row>
    <row r="14" customFormat="false" ht="12.8" hidden="false" customHeight="false" outlineLevel="0" collapsed="false">
      <c r="C14" s="214"/>
    </row>
  </sheetData>
  <mergeCells count="16">
    <mergeCell ref="A1:F1"/>
    <mergeCell ref="H1:K1"/>
    <mergeCell ref="L1:L2"/>
    <mergeCell ref="M1:M2"/>
    <mergeCell ref="N1:N2"/>
    <mergeCell ref="A2:C2"/>
    <mergeCell ref="A3:C3"/>
    <mergeCell ref="A4:C4"/>
    <mergeCell ref="A5:C5"/>
    <mergeCell ref="A6:C6"/>
    <mergeCell ref="A7:C7"/>
    <mergeCell ref="A8:C8"/>
    <mergeCell ref="A9:C9"/>
    <mergeCell ref="A10:L11"/>
    <mergeCell ref="M10:M11"/>
    <mergeCell ref="N10:N1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colBreaks count="1" manualBreakCount="1">
    <brk id="7" man="true" max="65535" min="0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E6" activeCellId="0" sqref="E6"/>
    </sheetView>
  </sheetViews>
  <sheetFormatPr defaultColWidth="11.53515625" defaultRowHeight="12.8" customHeight="false" zeroHeight="false" outlineLevelRow="0" outlineLevelCol="0"/>
  <cols>
    <col collapsed="false" customWidth="false" hidden="false" outlineLevel="0" max="1" min="1" style="215" width="11.53"/>
    <col collapsed="false" customWidth="true" hidden="false" outlineLevel="0" max="2" min="2" style="215" width="41.03"/>
    <col collapsed="false" customWidth="true" hidden="false" outlineLevel="0" max="3" min="3" style="216" width="43.03"/>
    <col collapsed="false" customWidth="true" hidden="false" outlineLevel="0" max="4" min="4" style="216" width="37.55"/>
    <col collapsed="false" customWidth="true" hidden="false" outlineLevel="0" max="5" min="5" style="3" width="37.55"/>
    <col collapsed="false" customWidth="false" hidden="false" outlineLevel="0" max="64" min="6" style="215" width="11.53"/>
  </cols>
  <sheetData>
    <row r="1" customFormat="false" ht="26.25" hidden="false" customHeight="true" outlineLevel="0" collapsed="false">
      <c r="A1" s="217" t="s">
        <v>362</v>
      </c>
      <c r="B1" s="217"/>
      <c r="C1" s="217"/>
      <c r="D1" s="217"/>
      <c r="E1" s="201" t="s">
        <v>340</v>
      </c>
    </row>
    <row r="2" customFormat="false" ht="30.9" hidden="false" customHeight="true" outlineLevel="0" collapsed="false">
      <c r="A2" s="218" t="s">
        <v>343</v>
      </c>
      <c r="B2" s="218" t="s">
        <v>345</v>
      </c>
      <c r="C2" s="219" t="s">
        <v>363</v>
      </c>
      <c r="D2" s="219" t="s">
        <v>346</v>
      </c>
      <c r="E2" s="201"/>
    </row>
    <row r="3" customFormat="false" ht="46.85" hidden="false" customHeight="true" outlineLevel="0" collapsed="false">
      <c r="A3" s="206" t="n">
        <v>1</v>
      </c>
      <c r="B3" s="207" t="s">
        <v>364</v>
      </c>
      <c r="C3" s="210" t="s">
        <v>365</v>
      </c>
      <c r="D3" s="210" t="s">
        <v>366</v>
      </c>
      <c r="E3" s="206" t="n">
        <v>43.78</v>
      </c>
    </row>
    <row r="4" customFormat="false" ht="67.5" hidden="false" customHeight="true" outlineLevel="0" collapsed="false">
      <c r="A4" s="206" t="n">
        <v>2</v>
      </c>
      <c r="B4" s="207" t="s">
        <v>367</v>
      </c>
      <c r="C4" s="210" t="s">
        <v>368</v>
      </c>
      <c r="D4" s="210" t="s">
        <v>369</v>
      </c>
      <c r="E4" s="206" t="n">
        <v>64.52</v>
      </c>
    </row>
    <row r="5" customFormat="false" ht="71.25" hidden="false" customHeight="true" outlineLevel="0" collapsed="false">
      <c r="A5" s="206" t="n">
        <v>3</v>
      </c>
      <c r="B5" s="207" t="s">
        <v>370</v>
      </c>
      <c r="C5" s="210" t="s">
        <v>371</v>
      </c>
      <c r="D5" s="210" t="s">
        <v>372</v>
      </c>
      <c r="E5" s="206" t="n">
        <v>52.24</v>
      </c>
    </row>
    <row r="6" customFormat="false" ht="18.75" hidden="false" customHeight="true" outlineLevel="0" collapsed="false">
      <c r="B6" s="207" t="s">
        <v>373</v>
      </c>
      <c r="C6" s="207"/>
      <c r="D6" s="207"/>
      <c r="E6" s="206" t="n">
        <f aca="false">SUM(E3:E5)</f>
        <v>160.54</v>
      </c>
    </row>
  </sheetData>
  <mergeCells count="2">
    <mergeCell ref="A1:D1"/>
    <mergeCell ref="E1:E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1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B11" activeCellId="0" sqref="B1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4" min="4" style="3" width="13.29"/>
    <col collapsed="false" customWidth="true" hidden="false" outlineLevel="0" max="5" min="5" style="3" width="18.93"/>
    <col collapsed="false" customWidth="true" hidden="false" outlineLevel="0" max="6" min="6" style="3" width="22.68"/>
  </cols>
  <sheetData>
    <row r="1" customFormat="false" ht="12.8" hidden="false" customHeight="false" outlineLevel="0" collapsed="false">
      <c r="A1" s="193" t="s">
        <v>374</v>
      </c>
      <c r="B1" s="193" t="s">
        <v>375</v>
      </c>
      <c r="C1" s="193" t="s">
        <v>376</v>
      </c>
      <c r="D1" s="193" t="s">
        <v>377</v>
      </c>
      <c r="E1" s="193" t="s">
        <v>378</v>
      </c>
      <c r="F1" s="193" t="s">
        <v>379</v>
      </c>
    </row>
    <row r="2" customFormat="false" ht="12.8" hidden="false" customHeight="false" outlineLevel="0" collapsed="false">
      <c r="A2" s="193" t="n">
        <v>5.9</v>
      </c>
      <c r="B2" s="193" t="n">
        <v>1</v>
      </c>
      <c r="C2" s="193" t="n">
        <v>3</v>
      </c>
      <c r="D2" s="193" t="n">
        <v>2</v>
      </c>
      <c r="E2" s="220" t="n">
        <f aca="false">A2*C2*$B$11</f>
        <v>76.9107142857143</v>
      </c>
      <c r="F2" s="220" t="n">
        <f aca="false">A2*D2*$B$11</f>
        <v>51.2738095238095</v>
      </c>
    </row>
    <row r="3" customFormat="false" ht="12.8" hidden="false" customHeight="false" outlineLevel="0" collapsed="false">
      <c r="A3" s="193" t="n">
        <v>2.1</v>
      </c>
      <c r="B3" s="193" t="n">
        <v>2</v>
      </c>
      <c r="C3" s="193" t="n">
        <v>3</v>
      </c>
      <c r="D3" s="193" t="n">
        <v>2</v>
      </c>
      <c r="E3" s="220" t="n">
        <f aca="false">A3*C3*$B$11</f>
        <v>27.375</v>
      </c>
      <c r="F3" s="220" t="n">
        <f aca="false">A3*D3*$B$11</f>
        <v>18.25</v>
      </c>
    </row>
    <row r="4" customFormat="false" ht="12.8" hidden="false" customHeight="false" outlineLevel="0" collapsed="false">
      <c r="A4" s="193" t="n">
        <v>1.6</v>
      </c>
      <c r="B4" s="193" t="n">
        <v>4</v>
      </c>
      <c r="C4" s="193" t="n">
        <v>3</v>
      </c>
      <c r="D4" s="193" t="n">
        <v>2</v>
      </c>
      <c r="E4" s="220" t="n">
        <f aca="false">A4*C4*$B$11</f>
        <v>20.8571428571429</v>
      </c>
      <c r="F4" s="220" t="n">
        <f aca="false">A4*D4*$B$11</f>
        <v>13.9047619047619</v>
      </c>
    </row>
    <row r="5" customFormat="false" ht="12.8" hidden="false" customHeight="false" outlineLevel="0" collapsed="false">
      <c r="A5" s="193" t="n">
        <v>2.9</v>
      </c>
      <c r="B5" s="193" t="n">
        <v>5</v>
      </c>
      <c r="C5" s="193" t="n">
        <v>3</v>
      </c>
      <c r="D5" s="193" t="n">
        <v>2</v>
      </c>
      <c r="E5" s="220" t="n">
        <f aca="false">A5*C5*$B$11</f>
        <v>37.8035714285714</v>
      </c>
      <c r="F5" s="220" t="n">
        <f aca="false">A5*D5*$B$11</f>
        <v>25.202380952381</v>
      </c>
    </row>
    <row r="6" customFormat="false" ht="12.8" hidden="false" customHeight="false" outlineLevel="0" collapsed="false">
      <c r="A6" s="193" t="n">
        <v>10.2</v>
      </c>
      <c r="B6" s="193" t="n">
        <v>6</v>
      </c>
      <c r="C6" s="193" t="n">
        <v>3</v>
      </c>
      <c r="D6" s="193" t="n">
        <v>2</v>
      </c>
      <c r="E6" s="220" t="n">
        <f aca="false">A6*C6*$B$11</f>
        <v>132.964285714286</v>
      </c>
      <c r="F6" s="220" t="n">
        <f aca="false">A6*D6*$B$11</f>
        <v>88.6428571428572</v>
      </c>
    </row>
    <row r="7" customFormat="false" ht="12.8" hidden="false" customHeight="false" outlineLevel="0" collapsed="false">
      <c r="A7" s="193" t="n">
        <v>1.8</v>
      </c>
      <c r="B7" s="193" t="n">
        <v>7</v>
      </c>
      <c r="C7" s="193" t="n">
        <v>3</v>
      </c>
      <c r="D7" s="193" t="n">
        <v>2</v>
      </c>
      <c r="E7" s="220" t="n">
        <f aca="false">A7*C7*$B$11</f>
        <v>23.4642857142857</v>
      </c>
      <c r="F7" s="220" t="n">
        <f aca="false">A7*D7*$B$11</f>
        <v>15.6428571428571</v>
      </c>
    </row>
    <row r="8" customFormat="false" ht="12.8" hidden="false" customHeight="false" outlineLevel="0" collapsed="false">
      <c r="A8" s="221" t="n">
        <f aca="false">SUM(A2:A7)</f>
        <v>24.5</v>
      </c>
      <c r="B8" s="193"/>
      <c r="C8" s="193"/>
      <c r="D8" s="193"/>
      <c r="E8" s="220" t="n">
        <f aca="false">SUM(E2:E7)</f>
        <v>319.375</v>
      </c>
      <c r="F8" s="220" t="n">
        <f aca="false">SUM(F2:F7)</f>
        <v>212.916666666667</v>
      </c>
    </row>
    <row r="9" customFormat="false" ht="12.8" hidden="false" customHeight="false" outlineLevel="0" collapsed="false">
      <c r="D9" s="193" t="s">
        <v>380</v>
      </c>
      <c r="E9" s="220" t="n">
        <f aca="false">1.2*E8</f>
        <v>383.25</v>
      </c>
      <c r="F9" s="220" t="n">
        <f aca="false">1.2*F8</f>
        <v>255.5</v>
      </c>
    </row>
    <row r="10" customFormat="false" ht="12.8" hidden="false" customHeight="false" outlineLevel="0" collapsed="false">
      <c r="D10" s="193" t="s">
        <v>373</v>
      </c>
      <c r="E10" s="220" t="n">
        <f aca="false">E9+E8</f>
        <v>702.625</v>
      </c>
      <c r="F10" s="220" t="n">
        <f aca="false">F9+F8</f>
        <v>468.416666666667</v>
      </c>
    </row>
    <row r="11" customFormat="false" ht="35.05" hidden="false" customHeight="false" outlineLevel="0" collapsed="false">
      <c r="A11" s="177" t="s">
        <v>381</v>
      </c>
      <c r="B11" s="214" t="n">
        <f aca="false">365/12/7</f>
        <v>4.3452380952381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F4" activeCellId="0" sqref="F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2" min="2" style="3" width="14.76"/>
    <col collapsed="false" customWidth="true" hidden="false" outlineLevel="0" max="3" min="3" style="3" width="15.3"/>
    <col collapsed="false" customWidth="true" hidden="false" outlineLevel="0" max="4" min="4" style="177" width="35.2"/>
    <col collapsed="false" customWidth="true" hidden="false" outlineLevel="0" max="5" min="5" style="3" width="23.33"/>
    <col collapsed="false" customWidth="true" hidden="false" outlineLevel="0" max="6" min="6" style="3" width="21.4"/>
  </cols>
  <sheetData>
    <row r="1" customFormat="false" ht="39.35" hidden="false" customHeight="true" outlineLevel="0" collapsed="false">
      <c r="A1" s="201" t="s">
        <v>339</v>
      </c>
      <c r="B1" s="201"/>
      <c r="C1" s="201"/>
      <c r="D1" s="201"/>
      <c r="E1" s="201" t="s">
        <v>340</v>
      </c>
      <c r="F1" s="201" t="s">
        <v>342</v>
      </c>
    </row>
    <row r="2" customFormat="false" ht="30.9" hidden="false" customHeight="true" outlineLevel="0" collapsed="false">
      <c r="A2" s="202" t="s">
        <v>343</v>
      </c>
      <c r="B2" s="202" t="s">
        <v>344</v>
      </c>
      <c r="C2" s="202" t="s">
        <v>345</v>
      </c>
      <c r="D2" s="205" t="s">
        <v>346</v>
      </c>
      <c r="E2" s="201"/>
      <c r="F2" s="201"/>
    </row>
    <row r="3" customFormat="false" ht="70.3" hidden="false" customHeight="true" outlineLevel="0" collapsed="false">
      <c r="A3" s="206" t="s">
        <v>382</v>
      </c>
      <c r="B3" s="207" t="s">
        <v>347</v>
      </c>
      <c r="C3" s="207" t="s">
        <v>383</v>
      </c>
      <c r="D3" s="210" t="s">
        <v>384</v>
      </c>
      <c r="E3" s="211" t="n">
        <v>29</v>
      </c>
      <c r="F3" s="211" t="n">
        <f aca="false">E3*'COLETAS BECOS'!B11</f>
        <v>126.011904761905</v>
      </c>
    </row>
    <row r="4" customFormat="false" ht="26.85" hidden="false" customHeight="true" outlineLevel="0" collapsed="false">
      <c r="A4" s="222" t="s">
        <v>385</v>
      </c>
      <c r="B4" s="222"/>
      <c r="C4" s="222"/>
      <c r="D4" s="222"/>
      <c r="E4" s="201"/>
      <c r="F4" s="211" t="n">
        <f aca="false">SUM(F3)</f>
        <v>126.011904761905</v>
      </c>
    </row>
    <row r="5" customFormat="false" ht="6.25" hidden="false" customHeight="true" outlineLevel="0" collapsed="false">
      <c r="A5" s="222"/>
      <c r="B5" s="222"/>
      <c r="C5" s="222"/>
      <c r="D5" s="222"/>
      <c r="F5" s="211"/>
    </row>
  </sheetData>
  <mergeCells count="5">
    <mergeCell ref="A1:D1"/>
    <mergeCell ref="E1:E2"/>
    <mergeCell ref="F1:F2"/>
    <mergeCell ref="A4:D5"/>
    <mergeCell ref="F4:F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3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F13" activeCellId="0" sqref="F1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41.91"/>
    <col collapsed="false" customWidth="true" hidden="false" outlineLevel="0" max="2" min="2" style="3" width="5.58"/>
    <col collapsed="false" customWidth="true" hidden="false" outlineLevel="0" max="3" min="3" style="3" width="10.25"/>
    <col collapsed="false" customWidth="true" hidden="false" outlineLevel="0" max="4" min="4" style="3" width="9.72"/>
    <col collapsed="false" customWidth="true" hidden="false" outlineLevel="0" max="5" min="5" style="223" width="19.21"/>
    <col collapsed="false" customWidth="true" hidden="false" outlineLevel="0" max="6" min="6" style="3" width="11.38"/>
    <col collapsed="false" customWidth="true" hidden="false" outlineLevel="0" max="64" min="7" style="3" width="8.68"/>
  </cols>
  <sheetData>
    <row r="1" customFormat="false" ht="15" hidden="false" customHeight="false" outlineLevel="0" collapsed="false">
      <c r="A1" s="224" t="s">
        <v>386</v>
      </c>
      <c r="B1" s="224"/>
      <c r="C1" s="224"/>
      <c r="D1" s="224"/>
      <c r="E1" s="224"/>
      <c r="F1" s="224"/>
    </row>
    <row r="2" customFormat="false" ht="15" hidden="false" customHeight="false" outlineLevel="0" collapsed="false">
      <c r="A2" s="225"/>
      <c r="B2" s="226"/>
      <c r="C2" s="226"/>
      <c r="D2" s="226"/>
      <c r="E2" s="226"/>
      <c r="F2" s="227"/>
    </row>
    <row r="3" customFormat="false" ht="13.8" hidden="false" customHeight="false" outlineLevel="0" collapsed="false">
      <c r="A3" s="228"/>
      <c r="B3" s="229"/>
      <c r="C3" s="229"/>
      <c r="D3" s="230" t="s">
        <v>387</v>
      </c>
      <c r="E3" s="230"/>
      <c r="F3" s="230"/>
      <c r="G3" s="231"/>
      <c r="H3" s="231"/>
    </row>
    <row r="4" customFormat="false" ht="13.8" hidden="false" customHeight="false" outlineLevel="0" collapsed="false">
      <c r="A4" s="232"/>
      <c r="B4" s="233"/>
      <c r="C4" s="233"/>
      <c r="D4" s="234" t="s">
        <v>388</v>
      </c>
      <c r="E4" s="235" t="s">
        <v>389</v>
      </c>
      <c r="F4" s="236" t="s">
        <v>390</v>
      </c>
      <c r="G4" s="231"/>
      <c r="H4" s="231"/>
    </row>
    <row r="5" customFormat="false" ht="13.8" hidden="false" customHeight="false" outlineLevel="0" collapsed="false">
      <c r="A5" s="237" t="s">
        <v>391</v>
      </c>
      <c r="B5" s="238" t="s">
        <v>392</v>
      </c>
      <c r="C5" s="239" t="n">
        <v>0.0508</v>
      </c>
      <c r="D5" s="240" t="n">
        <v>0.0297</v>
      </c>
      <c r="E5" s="241" t="n">
        <v>0.0508</v>
      </c>
      <c r="F5" s="242" t="n">
        <v>0.0627</v>
      </c>
      <c r="G5" s="231"/>
      <c r="H5" s="231"/>
    </row>
    <row r="6" customFormat="false" ht="13.8" hidden="false" customHeight="false" outlineLevel="0" collapsed="false">
      <c r="A6" s="243" t="s">
        <v>393</v>
      </c>
      <c r="B6" s="244" t="s">
        <v>394</v>
      </c>
      <c r="C6" s="245" t="n">
        <v>0.0133</v>
      </c>
      <c r="D6" s="240" t="n">
        <f aca="false">0.3%+0.56%</f>
        <v>0.0086</v>
      </c>
      <c r="E6" s="241" t="n">
        <f aca="false">0.48%+0.85%</f>
        <v>0.0133</v>
      </c>
      <c r="F6" s="242" t="n">
        <f aca="false">0.82%+0.89%</f>
        <v>0.0171</v>
      </c>
      <c r="G6" s="231"/>
      <c r="H6" s="231"/>
    </row>
    <row r="7" customFormat="false" ht="13.8" hidden="false" customHeight="false" outlineLevel="0" collapsed="false">
      <c r="A7" s="243" t="s">
        <v>395</v>
      </c>
      <c r="B7" s="244" t="s">
        <v>396</v>
      </c>
      <c r="C7" s="245" t="n">
        <v>0.1064</v>
      </c>
      <c r="D7" s="240" t="n">
        <v>0.0778</v>
      </c>
      <c r="E7" s="241" t="n">
        <v>0.1085</v>
      </c>
      <c r="F7" s="242" t="n">
        <v>0.1355</v>
      </c>
      <c r="G7" s="231"/>
      <c r="H7" s="231"/>
    </row>
    <row r="8" customFormat="false" ht="13.8" hidden="false" customHeight="false" outlineLevel="0" collapsed="false">
      <c r="A8" s="243" t="s">
        <v>397</v>
      </c>
      <c r="B8" s="244" t="s">
        <v>398</v>
      </c>
      <c r="C8" s="246" t="n">
        <f aca="false">(1+E8/100)^(E9/252)-1</f>
        <v>0.00809236744575981</v>
      </c>
      <c r="D8" s="240" t="s">
        <v>399</v>
      </c>
      <c r="E8" s="247" t="n">
        <f aca="false">'VALORES BASE'!B32</f>
        <v>14.5</v>
      </c>
      <c r="F8" s="248"/>
      <c r="G8" s="231"/>
      <c r="H8" s="231"/>
    </row>
    <row r="9" customFormat="false" ht="13.8" hidden="false" customHeight="false" outlineLevel="0" collapsed="false">
      <c r="A9" s="243" t="s">
        <v>400</v>
      </c>
      <c r="B9" s="249" t="s">
        <v>353</v>
      </c>
      <c r="C9" s="245" t="n">
        <v>0.03</v>
      </c>
      <c r="D9" s="250" t="s">
        <v>401</v>
      </c>
      <c r="E9" s="251" t="n">
        <v>15</v>
      </c>
      <c r="F9" s="252"/>
      <c r="G9" s="231"/>
      <c r="H9" s="231"/>
    </row>
    <row r="10" customFormat="false" ht="13.8" hidden="false" customHeight="false" outlineLevel="0" collapsed="false">
      <c r="A10" s="253" t="s">
        <v>402</v>
      </c>
      <c r="B10" s="249"/>
      <c r="C10" s="254" t="n">
        <v>0.0365</v>
      </c>
      <c r="D10" s="255"/>
      <c r="E10" s="256"/>
      <c r="F10" s="252"/>
      <c r="G10" s="231"/>
      <c r="H10" s="231"/>
    </row>
    <row r="11" customFormat="false" ht="13.8" hidden="false" customHeight="false" outlineLevel="0" collapsed="false">
      <c r="A11" s="257" t="s">
        <v>403</v>
      </c>
      <c r="B11" s="258"/>
      <c r="C11" s="259"/>
      <c r="D11" s="255"/>
      <c r="E11" s="256"/>
      <c r="F11" s="252"/>
      <c r="G11" s="231"/>
      <c r="H11" s="231"/>
    </row>
    <row r="12" customFormat="false" ht="13.8" hidden="false" customHeight="false" outlineLevel="0" collapsed="false">
      <c r="A12" s="260" t="s">
        <v>404</v>
      </c>
      <c r="B12" s="261"/>
      <c r="C12" s="262"/>
      <c r="D12" s="255"/>
      <c r="E12" s="256"/>
      <c r="F12" s="252"/>
      <c r="G12" s="231"/>
      <c r="H12" s="231"/>
    </row>
    <row r="13" customFormat="false" ht="14.15" hidden="false" customHeight="false" outlineLevel="0" collapsed="false">
      <c r="A13" s="263" t="s">
        <v>405</v>
      </c>
      <c r="B13" s="264"/>
      <c r="C13" s="265" t="n">
        <f aca="false">ROUND((((1+C5+C6)*(1+C7)*(1+C8))/(1-(C9+C10))-1),4)</f>
        <v>0.2714</v>
      </c>
      <c r="D13" s="266" t="n">
        <v>0.2143</v>
      </c>
      <c r="E13" s="267" t="n">
        <v>0.2717</v>
      </c>
      <c r="F13" s="268" t="n">
        <v>0.3362</v>
      </c>
      <c r="G13" s="231"/>
      <c r="H13" s="231"/>
    </row>
  </sheetData>
  <mergeCells count="3">
    <mergeCell ref="A1:F1"/>
    <mergeCell ref="D3:F3"/>
    <mergeCell ref="B9:B10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3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F9" activeCellId="0" sqref="F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77" width="18.2"/>
    <col collapsed="false" customWidth="true" hidden="false" outlineLevel="0" max="2" min="2" style="3" width="14.14"/>
    <col collapsed="false" customWidth="true" hidden="false" outlineLevel="0" max="3" min="3" style="3" width="16.3"/>
    <col collapsed="false" customWidth="true" hidden="false" outlineLevel="0" max="4" min="4" style="3" width="17.04"/>
    <col collapsed="false" customWidth="true" hidden="false" outlineLevel="0" max="5" min="5" style="3" width="14.48"/>
    <col collapsed="false" customWidth="true" hidden="false" outlineLevel="0" max="6" min="6" style="3" width="15.3"/>
  </cols>
  <sheetData>
    <row r="1" customFormat="false" ht="12.8" hidden="false" customHeight="true" outlineLevel="0" collapsed="false">
      <c r="A1" s="269" t="s">
        <v>406</v>
      </c>
      <c r="B1" s="269"/>
      <c r="C1" s="269"/>
      <c r="D1" s="269"/>
      <c r="E1" s="269"/>
      <c r="F1" s="269"/>
    </row>
    <row r="2" customFormat="false" ht="36.95" hidden="false" customHeight="true" outlineLevel="0" collapsed="false">
      <c r="A2" s="269" t="s">
        <v>407</v>
      </c>
      <c r="B2" s="270" t="s">
        <v>408</v>
      </c>
      <c r="C2" s="270" t="s">
        <v>409</v>
      </c>
      <c r="D2" s="186" t="s">
        <v>410</v>
      </c>
      <c r="E2" s="269" t="s">
        <v>411</v>
      </c>
      <c r="F2" s="186" t="s">
        <v>412</v>
      </c>
    </row>
    <row r="3" customFormat="false" ht="12.9" hidden="false" customHeight="true" outlineLevel="0" collapsed="false">
      <c r="A3" s="178" t="s">
        <v>413</v>
      </c>
      <c r="B3" s="271" t="n">
        <v>4</v>
      </c>
      <c r="C3" s="271" t="n">
        <v>4</v>
      </c>
      <c r="D3" s="193" t="n">
        <v>3</v>
      </c>
      <c r="E3" s="220" t="n">
        <f aca="false">44/6</f>
        <v>7.33333333333333</v>
      </c>
      <c r="F3" s="272" t="n">
        <f aca="false">(C3/B3)*((D3*E3)/44)</f>
        <v>0.5</v>
      </c>
    </row>
    <row r="4" customFormat="false" ht="12.8" hidden="false" customHeight="false" outlineLevel="0" collapsed="false">
      <c r="A4" s="178" t="s">
        <v>414</v>
      </c>
      <c r="B4" s="271" t="n">
        <v>4</v>
      </c>
      <c r="C4" s="271" t="n">
        <v>3</v>
      </c>
      <c r="D4" s="193" t="n">
        <v>3</v>
      </c>
      <c r="E4" s="220" t="n">
        <f aca="false">44/6</f>
        <v>7.33333333333333</v>
      </c>
      <c r="F4" s="272" t="n">
        <f aca="false">(C4/B4)*((D4*E4)/44)</f>
        <v>0.375</v>
      </c>
    </row>
    <row r="5" customFormat="false" ht="12.8" hidden="false" customHeight="false" outlineLevel="0" collapsed="false">
      <c r="A5" s="178"/>
      <c r="B5" s="271"/>
      <c r="C5" s="271"/>
      <c r="D5" s="193"/>
      <c r="E5" s="193"/>
      <c r="F5" s="273" t="n">
        <v>1</v>
      </c>
      <c r="G5" s="3"/>
    </row>
    <row r="6" customFormat="false" ht="12.8" hidden="false" customHeight="true" outlineLevel="0" collapsed="false">
      <c r="A6" s="274" t="s">
        <v>415</v>
      </c>
      <c r="B6" s="274"/>
      <c r="C6" s="274"/>
      <c r="D6" s="274"/>
      <c r="E6" s="274"/>
      <c r="F6" s="274"/>
    </row>
    <row r="7" customFormat="false" ht="23.85" hidden="false" customHeight="false" outlineLevel="0" collapsed="false">
      <c r="A7" s="269" t="s">
        <v>407</v>
      </c>
      <c r="B7" s="270" t="s">
        <v>416</v>
      </c>
      <c r="C7" s="270" t="s">
        <v>417</v>
      </c>
      <c r="D7" s="186" t="s">
        <v>410</v>
      </c>
      <c r="E7" s="269" t="s">
        <v>411</v>
      </c>
      <c r="F7" s="186" t="s">
        <v>412</v>
      </c>
    </row>
    <row r="8" customFormat="false" ht="12.8" hidden="false" customHeight="false" outlineLevel="0" collapsed="false">
      <c r="A8" s="178" t="s">
        <v>418</v>
      </c>
      <c r="B8" s="271" t="n">
        <v>1</v>
      </c>
      <c r="C8" s="271" t="n">
        <v>1</v>
      </c>
      <c r="D8" s="193" t="n">
        <v>6</v>
      </c>
      <c r="E8" s="220" t="n">
        <f aca="false">44/6</f>
        <v>7.33333333333333</v>
      </c>
      <c r="F8" s="272" t="n">
        <f aca="false">(C8/B8)*((D8*E8)/44)</f>
        <v>1</v>
      </c>
    </row>
    <row r="9" customFormat="false" ht="12.8" hidden="false" customHeight="false" outlineLevel="0" collapsed="false">
      <c r="A9" s="193"/>
      <c r="B9" s="193"/>
      <c r="C9" s="193"/>
      <c r="D9" s="193"/>
      <c r="E9" s="193"/>
      <c r="F9" s="273" t="n">
        <f aca="false">SUM(F8)</f>
        <v>1</v>
      </c>
    </row>
    <row r="10" customFormat="false" ht="12.8" hidden="true" customHeight="false" outlineLevel="0" collapsed="false">
      <c r="A10" s="275"/>
      <c r="B10" s="193"/>
      <c r="C10" s="193"/>
      <c r="D10" s="193"/>
      <c r="E10" s="193"/>
      <c r="F10" s="193"/>
    </row>
    <row r="11" customFormat="false" ht="8.55" hidden="false" customHeight="true" outlineLevel="0" collapsed="false">
      <c r="A11" s="276"/>
      <c r="B11" s="277"/>
      <c r="C11" s="277"/>
      <c r="D11" s="277"/>
      <c r="E11" s="277"/>
      <c r="F11" s="277"/>
    </row>
    <row r="12" customFormat="false" ht="12.8" hidden="false" customHeight="true" outlineLevel="0" collapsed="false">
      <c r="A12" s="274" t="s">
        <v>419</v>
      </c>
      <c r="B12" s="274"/>
      <c r="C12" s="274"/>
      <c r="D12" s="274"/>
      <c r="E12" s="274"/>
      <c r="F12" s="274"/>
    </row>
    <row r="13" customFormat="false" ht="35.05" hidden="false" customHeight="false" outlineLevel="0" collapsed="false">
      <c r="A13" s="269" t="s">
        <v>407</v>
      </c>
      <c r="B13" s="270" t="s">
        <v>408</v>
      </c>
      <c r="C13" s="270" t="s">
        <v>409</v>
      </c>
      <c r="D13" s="186" t="s">
        <v>410</v>
      </c>
      <c r="E13" s="269" t="s">
        <v>411</v>
      </c>
      <c r="F13" s="186" t="s">
        <v>412</v>
      </c>
    </row>
    <row r="14" customFormat="false" ht="12.8" hidden="false" customHeight="false" outlineLevel="0" collapsed="false">
      <c r="A14" s="278" t="s">
        <v>420</v>
      </c>
      <c r="B14" s="271" t="n">
        <v>3</v>
      </c>
      <c r="C14" s="271" t="n">
        <v>3</v>
      </c>
      <c r="D14" s="193" t="n">
        <v>2</v>
      </c>
      <c r="E14" s="220" t="n">
        <f aca="false">44/6</f>
        <v>7.33333333333333</v>
      </c>
      <c r="F14" s="272" t="n">
        <f aca="false">(C14/B14)*((D14*E14)/44)</f>
        <v>0.333333333333333</v>
      </c>
    </row>
    <row r="15" customFormat="false" ht="12.8" hidden="false" customHeight="false" outlineLevel="0" collapsed="false">
      <c r="A15" s="279" t="n">
        <v>4</v>
      </c>
      <c r="B15" s="271" t="n">
        <v>3</v>
      </c>
      <c r="C15" s="271" t="n">
        <v>1</v>
      </c>
      <c r="D15" s="193" t="n">
        <v>2</v>
      </c>
      <c r="E15" s="220" t="n">
        <f aca="false">44/6</f>
        <v>7.33333333333333</v>
      </c>
      <c r="F15" s="272" t="n">
        <f aca="false">(C15/B15)*((D15*E15)/44)</f>
        <v>0.111111111111111</v>
      </c>
    </row>
    <row r="16" customFormat="false" ht="12.8" hidden="false" customHeight="false" outlineLevel="0" collapsed="false">
      <c r="A16" s="278" t="s">
        <v>414</v>
      </c>
      <c r="B16" s="271" t="n">
        <v>3</v>
      </c>
      <c r="C16" s="271" t="n">
        <v>3</v>
      </c>
      <c r="D16" s="193" t="n">
        <v>2</v>
      </c>
      <c r="E16" s="220" t="n">
        <f aca="false">44/6</f>
        <v>7.33333333333333</v>
      </c>
      <c r="F16" s="272" t="n">
        <f aca="false">(C16/B16)*((D16*E16)/44)</f>
        <v>0.333333333333333</v>
      </c>
    </row>
    <row r="17" customFormat="false" ht="12.8" hidden="false" customHeight="false" outlineLevel="0" collapsed="false">
      <c r="A17" s="278" t="s">
        <v>421</v>
      </c>
      <c r="B17" s="271" t="n">
        <v>3</v>
      </c>
      <c r="C17" s="271" t="n">
        <v>1</v>
      </c>
      <c r="D17" s="193" t="n">
        <v>0.75</v>
      </c>
      <c r="E17" s="220" t="n">
        <f aca="false">44/6</f>
        <v>7.33333333333333</v>
      </c>
      <c r="F17" s="272" t="n">
        <f aca="false">(C17/B17)*((D17*E17)/44)</f>
        <v>0.0416666666666667</v>
      </c>
    </row>
    <row r="18" customFormat="false" ht="12.8" hidden="false" customHeight="false" outlineLevel="0" collapsed="false">
      <c r="A18" s="278" t="s">
        <v>422</v>
      </c>
      <c r="B18" s="271" t="n">
        <v>3</v>
      </c>
      <c r="C18" s="271" t="n">
        <v>1</v>
      </c>
      <c r="D18" s="193" t="n">
        <v>1</v>
      </c>
      <c r="E18" s="193" t="n">
        <v>3</v>
      </c>
      <c r="F18" s="272" t="n">
        <f aca="false">(C18/B18)*((D18*E18)/44)</f>
        <v>0.0227272727272727</v>
      </c>
    </row>
    <row r="19" customFormat="false" ht="12.8" hidden="false" customHeight="false" outlineLevel="0" collapsed="false">
      <c r="A19" s="178"/>
      <c r="B19" s="271"/>
      <c r="C19" s="271"/>
      <c r="D19" s="193"/>
      <c r="E19" s="193"/>
      <c r="F19" s="273" t="n">
        <v>1</v>
      </c>
    </row>
    <row r="20" customFormat="false" ht="12.8" hidden="false" customHeight="true" outlineLevel="0" collapsed="false">
      <c r="A20" s="274" t="s">
        <v>423</v>
      </c>
      <c r="B20" s="274"/>
      <c r="C20" s="274"/>
      <c r="D20" s="274"/>
      <c r="E20" s="274"/>
      <c r="F20" s="274"/>
    </row>
    <row r="21" customFormat="false" ht="23.85" hidden="false" customHeight="false" outlineLevel="0" collapsed="false">
      <c r="A21" s="269" t="s">
        <v>407</v>
      </c>
      <c r="B21" s="270" t="s">
        <v>416</v>
      </c>
      <c r="C21" s="270" t="s">
        <v>417</v>
      </c>
      <c r="D21" s="186" t="s">
        <v>410</v>
      </c>
      <c r="E21" s="269" t="s">
        <v>411</v>
      </c>
      <c r="F21" s="186" t="s">
        <v>412</v>
      </c>
    </row>
    <row r="22" customFormat="false" ht="12.8" hidden="false" customHeight="false" outlineLevel="0" collapsed="false">
      <c r="A22" s="178" t="s">
        <v>418</v>
      </c>
      <c r="B22" s="271" t="n">
        <v>1</v>
      </c>
      <c r="C22" s="271" t="n">
        <v>1</v>
      </c>
      <c r="D22" s="193" t="n">
        <v>6</v>
      </c>
      <c r="E22" s="220" t="n">
        <f aca="false">44/6</f>
        <v>7.33333333333333</v>
      </c>
      <c r="F22" s="272" t="n">
        <f aca="false">(C22/B22)*((D22*E22)/44)</f>
        <v>1</v>
      </c>
    </row>
    <row r="23" customFormat="false" ht="12.8" hidden="false" customHeight="false" outlineLevel="0" collapsed="false">
      <c r="A23" s="178"/>
      <c r="B23" s="178"/>
      <c r="C23" s="178"/>
      <c r="D23" s="193"/>
      <c r="E23" s="193"/>
      <c r="F23" s="273" t="n">
        <f aca="false">SUM(F22)</f>
        <v>1</v>
      </c>
    </row>
  </sheetData>
  <mergeCells count="4">
    <mergeCell ref="A1:F1"/>
    <mergeCell ref="A6:F6"/>
    <mergeCell ref="A12:F12"/>
    <mergeCell ref="A20:F20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5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H26" activeCellId="0" sqref="H26"/>
    </sheetView>
  </sheetViews>
  <sheetFormatPr defaultColWidth="11.53515625" defaultRowHeight="12.8" customHeight="false" zeroHeight="false" outlineLevelRow="0" outlineLevelCol="0"/>
  <cols>
    <col collapsed="false" customWidth="false" hidden="false" outlineLevel="0" max="1" min="1" style="215" width="11.53"/>
    <col collapsed="false" customWidth="true" hidden="false" outlineLevel="0" max="2" min="2" style="215" width="49.6"/>
    <col collapsed="false" customWidth="true" hidden="false" outlineLevel="0" max="3" min="3" style="216" width="59.11"/>
    <col collapsed="false" customWidth="false" hidden="false" outlineLevel="0" max="63" min="4" style="215" width="11.53"/>
  </cols>
  <sheetData>
    <row r="1" customFormat="false" ht="26.25" hidden="false" customHeight="true" outlineLevel="0" collapsed="false">
      <c r="A1" s="217" t="s">
        <v>362</v>
      </c>
      <c r="B1" s="217"/>
      <c r="C1" s="217"/>
    </row>
    <row r="2" customFormat="false" ht="30.9" hidden="false" customHeight="true" outlineLevel="0" collapsed="false">
      <c r="A2" s="218" t="s">
        <v>343</v>
      </c>
      <c r="B2" s="218" t="s">
        <v>345</v>
      </c>
      <c r="C2" s="219" t="s">
        <v>424</v>
      </c>
    </row>
    <row r="3" customFormat="false" ht="46.85" hidden="false" customHeight="true" outlineLevel="0" collapsed="false">
      <c r="A3" s="206" t="n">
        <v>1</v>
      </c>
      <c r="B3" s="207" t="s">
        <v>425</v>
      </c>
      <c r="C3" s="210" t="n">
        <v>127</v>
      </c>
    </row>
    <row r="4" customFormat="false" ht="67.5" hidden="false" customHeight="true" outlineLevel="0" collapsed="false">
      <c r="A4" s="206" t="n">
        <v>2</v>
      </c>
      <c r="B4" s="207" t="s">
        <v>426</v>
      </c>
      <c r="C4" s="210" t="n">
        <v>105</v>
      </c>
    </row>
    <row r="5" customFormat="false" ht="18.75" hidden="false" customHeight="true" outlineLevel="0" collapsed="false">
      <c r="B5" s="207" t="s">
        <v>373</v>
      </c>
      <c r="C5" s="207"/>
    </row>
  </sheetData>
  <mergeCells count="1">
    <mergeCell ref="A1:C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74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C14" activeCellId="0" sqref="C1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280" width="18.79"/>
    <col collapsed="false" customWidth="true" hidden="false" outlineLevel="0" max="2" min="2" style="280" width="8.34"/>
    <col collapsed="false" customWidth="true" hidden="false" outlineLevel="0" max="3" min="3" style="280" width="24.57"/>
    <col collapsed="false" customWidth="true" hidden="false" outlineLevel="0" max="4" min="4" style="281" width="13.11"/>
    <col collapsed="false" customWidth="true" hidden="false" outlineLevel="0" max="5" min="5" style="280" width="9.15"/>
    <col collapsed="false" customWidth="true" hidden="false" outlineLevel="0" max="6" min="6" style="280" width="21.44"/>
    <col collapsed="false" customWidth="true" hidden="false" outlineLevel="0" max="7" min="7" style="281" width="12.16"/>
    <col collapsed="false" customWidth="false" hidden="false" outlineLevel="0" max="8" min="8" style="280" width="11.53"/>
    <col collapsed="false" customWidth="true" hidden="false" outlineLevel="0" max="9" min="9" style="280" width="22.95"/>
    <col collapsed="false" customWidth="true" hidden="false" outlineLevel="0" max="10" min="10" style="282" width="10.66"/>
    <col collapsed="false" customWidth="false" hidden="false" outlineLevel="0" max="11" min="11" style="184" width="11.53"/>
  </cols>
  <sheetData>
    <row r="1" customFormat="false" ht="22.35" hidden="false" customHeight="true" outlineLevel="0" collapsed="false">
      <c r="A1" s="283" t="s">
        <v>427</v>
      </c>
      <c r="B1" s="283" t="s">
        <v>428</v>
      </c>
      <c r="C1" s="283"/>
      <c r="D1" s="283"/>
      <c r="E1" s="283" t="s">
        <v>429</v>
      </c>
      <c r="F1" s="283"/>
      <c r="G1" s="283"/>
      <c r="H1" s="283" t="s">
        <v>430</v>
      </c>
      <c r="I1" s="283"/>
      <c r="J1" s="283"/>
      <c r="K1" s="284"/>
    </row>
    <row r="2" customFormat="false" ht="26.85" hidden="false" customHeight="true" outlineLevel="0" collapsed="false">
      <c r="A2" s="283"/>
      <c r="B2" s="285" t="s">
        <v>431</v>
      </c>
      <c r="C2" s="285" t="s">
        <v>432</v>
      </c>
      <c r="D2" s="286" t="s">
        <v>433</v>
      </c>
      <c r="E2" s="285" t="s">
        <v>431</v>
      </c>
      <c r="F2" s="285" t="s">
        <v>432</v>
      </c>
      <c r="G2" s="286" t="s">
        <v>433</v>
      </c>
      <c r="H2" s="285" t="s">
        <v>431</v>
      </c>
      <c r="I2" s="285" t="s">
        <v>432</v>
      </c>
      <c r="J2" s="284" t="s">
        <v>433</v>
      </c>
      <c r="K2" s="284" t="s">
        <v>434</v>
      </c>
    </row>
    <row r="3" customFormat="false" ht="48.75" hidden="false" customHeight="true" outlineLevel="0" collapsed="false">
      <c r="A3" s="280" t="s">
        <v>75</v>
      </c>
      <c r="B3" s="287" t="n">
        <v>45748</v>
      </c>
      <c r="C3" s="288" t="s">
        <v>435</v>
      </c>
      <c r="D3" s="281" t="n">
        <v>190</v>
      </c>
      <c r="E3" s="287" t="n">
        <v>45748</v>
      </c>
      <c r="F3" s="289" t="s">
        <v>436</v>
      </c>
      <c r="G3" s="281" t="n">
        <v>150</v>
      </c>
      <c r="H3" s="287" t="n">
        <v>45748</v>
      </c>
      <c r="I3" s="289" t="s">
        <v>437</v>
      </c>
      <c r="J3" s="282" t="n">
        <v>150</v>
      </c>
      <c r="K3" s="184" t="n">
        <f aca="false">MEDIAN(J3,G3,D3)</f>
        <v>150</v>
      </c>
    </row>
    <row r="4" customFormat="false" ht="25.5" hidden="false" customHeight="true" outlineLevel="0" collapsed="false">
      <c r="A4" s="280" t="s">
        <v>76</v>
      </c>
      <c r="B4" s="287" t="n">
        <v>45748</v>
      </c>
      <c r="C4" s="289" t="s">
        <v>438</v>
      </c>
      <c r="D4" s="281" t="n">
        <v>66.9</v>
      </c>
      <c r="E4" s="287" t="n">
        <v>45748</v>
      </c>
      <c r="F4" s="290" t="s">
        <v>436</v>
      </c>
      <c r="G4" s="281" t="n">
        <v>64.66</v>
      </c>
      <c r="H4" s="287" t="n">
        <v>45748</v>
      </c>
      <c r="I4" s="289" t="s">
        <v>439</v>
      </c>
      <c r="J4" s="282" t="n">
        <v>50</v>
      </c>
      <c r="K4" s="184" t="n">
        <f aca="false">MEDIAN(J4,G4,D4)</f>
        <v>64.66</v>
      </c>
    </row>
    <row r="5" customFormat="false" ht="25.5" hidden="false" customHeight="true" outlineLevel="0" collapsed="false">
      <c r="A5" s="280" t="s">
        <v>77</v>
      </c>
      <c r="B5" s="287" t="n">
        <v>45748</v>
      </c>
      <c r="C5" s="289" t="s">
        <v>440</v>
      </c>
      <c r="D5" s="281" t="n">
        <v>36.5</v>
      </c>
      <c r="E5" s="287" t="n">
        <v>45748</v>
      </c>
      <c r="F5" s="290" t="s">
        <v>436</v>
      </c>
      <c r="G5" s="281" t="n">
        <v>41.89</v>
      </c>
      <c r="H5" s="287" t="n">
        <v>45748</v>
      </c>
      <c r="I5" s="289" t="s">
        <v>441</v>
      </c>
      <c r="J5" s="282" t="n">
        <v>43.9</v>
      </c>
      <c r="K5" s="184" t="n">
        <f aca="false">MEDIAN(J5,G5,D5)</f>
        <v>41.89</v>
      </c>
    </row>
    <row r="6" customFormat="false" ht="25.5" hidden="false" customHeight="true" outlineLevel="0" collapsed="false">
      <c r="A6" s="280" t="s">
        <v>442</v>
      </c>
      <c r="B6" s="287" t="n">
        <v>45799</v>
      </c>
      <c r="C6" s="289" t="s">
        <v>443</v>
      </c>
      <c r="D6" s="281" t="n">
        <v>169.9</v>
      </c>
      <c r="E6" s="287" t="n">
        <v>45799</v>
      </c>
      <c r="F6" s="290" t="s">
        <v>444</v>
      </c>
      <c r="G6" s="281" t="n">
        <v>139.9</v>
      </c>
      <c r="H6" s="287" t="n">
        <v>45799</v>
      </c>
      <c r="I6" s="289" t="s">
        <v>445</v>
      </c>
      <c r="J6" s="282" t="n">
        <v>165</v>
      </c>
      <c r="K6" s="184" t="n">
        <f aca="false">MEDIAN(J6,G6,D6)</f>
        <v>165</v>
      </c>
    </row>
    <row r="7" customFormat="false" ht="25.5" hidden="false" customHeight="true" outlineLevel="0" collapsed="false">
      <c r="A7" s="280" t="s">
        <v>80</v>
      </c>
      <c r="B7" s="287" t="n">
        <v>45748</v>
      </c>
      <c r="C7" s="289" t="s">
        <v>436</v>
      </c>
      <c r="D7" s="281" t="n">
        <v>126.32</v>
      </c>
      <c r="E7" s="287" t="n">
        <v>45748</v>
      </c>
      <c r="F7" s="290" t="s">
        <v>446</v>
      </c>
      <c r="G7" s="281" t="n">
        <v>119.95</v>
      </c>
      <c r="H7" s="287" t="n">
        <v>45748</v>
      </c>
      <c r="I7" s="289" t="s">
        <v>437</v>
      </c>
      <c r="J7" s="282" t="n">
        <v>97.55</v>
      </c>
      <c r="K7" s="184" t="n">
        <f aca="false">MEDIAN(J7,G7,D7)</f>
        <v>119.95</v>
      </c>
    </row>
    <row r="8" customFormat="false" ht="25.5" hidden="false" customHeight="true" outlineLevel="0" collapsed="false">
      <c r="A8" s="280" t="s">
        <v>82</v>
      </c>
      <c r="B8" s="287" t="n">
        <v>45748</v>
      </c>
      <c r="C8" s="289" t="s">
        <v>447</v>
      </c>
      <c r="D8" s="281" t="n">
        <v>9.86</v>
      </c>
      <c r="E8" s="287" t="n">
        <v>45748</v>
      </c>
      <c r="F8" s="290" t="s">
        <v>448</v>
      </c>
      <c r="G8" s="281" t="n">
        <v>7.2</v>
      </c>
      <c r="H8" s="287" t="n">
        <v>45748</v>
      </c>
      <c r="I8" s="289" t="s">
        <v>446</v>
      </c>
      <c r="J8" s="282" t="n">
        <v>6.15</v>
      </c>
      <c r="K8" s="184" t="n">
        <f aca="false">MEDIAN(J8,G8,D8)</f>
        <v>7.2</v>
      </c>
    </row>
    <row r="9" customFormat="false" ht="35" hidden="false" customHeight="true" outlineLevel="0" collapsed="false">
      <c r="A9" s="280" t="s">
        <v>83</v>
      </c>
      <c r="B9" s="287" t="n">
        <v>45748</v>
      </c>
      <c r="C9" s="289" t="s">
        <v>446</v>
      </c>
      <c r="D9" s="281" t="n">
        <v>47.38</v>
      </c>
      <c r="E9" s="287" t="n">
        <v>45748</v>
      </c>
      <c r="F9" s="290" t="s">
        <v>436</v>
      </c>
      <c r="G9" s="281" t="n">
        <v>43.19</v>
      </c>
      <c r="H9" s="287" t="n">
        <v>45748</v>
      </c>
      <c r="I9" s="289" t="s">
        <v>449</v>
      </c>
      <c r="J9" s="282" t="n">
        <v>21.56</v>
      </c>
      <c r="K9" s="184" t="n">
        <f aca="false">MEDIAN(J9,G9,D9)</f>
        <v>43.19</v>
      </c>
    </row>
    <row r="10" customFormat="false" ht="25.5" hidden="false" customHeight="true" outlineLevel="0" collapsed="false">
      <c r="A10" s="280" t="s">
        <v>84</v>
      </c>
      <c r="B10" s="287" t="n">
        <v>45748</v>
      </c>
      <c r="C10" s="289" t="s">
        <v>446</v>
      </c>
      <c r="D10" s="281" t="n">
        <v>19.13</v>
      </c>
      <c r="E10" s="287" t="n">
        <v>45748</v>
      </c>
      <c r="F10" s="290" t="s">
        <v>450</v>
      </c>
      <c r="G10" s="281" t="n">
        <v>17.7</v>
      </c>
      <c r="H10" s="287" t="n">
        <v>45748</v>
      </c>
      <c r="I10" s="289" t="s">
        <v>451</v>
      </c>
      <c r="J10" s="282" t="n">
        <v>19.9</v>
      </c>
      <c r="K10" s="184" t="n">
        <f aca="false">MEDIAN(J10,G10,D10)</f>
        <v>19.13</v>
      </c>
    </row>
    <row r="11" customFormat="false" ht="25.5" hidden="false" customHeight="true" outlineLevel="0" collapsed="false">
      <c r="A11" s="280" t="s">
        <v>85</v>
      </c>
      <c r="B11" s="287" t="n">
        <v>45748</v>
      </c>
      <c r="C11" s="289" t="s">
        <v>450</v>
      </c>
      <c r="D11" s="281" t="n">
        <v>28.39</v>
      </c>
      <c r="E11" s="287" t="n">
        <v>45748</v>
      </c>
      <c r="F11" s="290" t="s">
        <v>446</v>
      </c>
      <c r="G11" s="281" t="n">
        <v>27.04</v>
      </c>
      <c r="H11" s="287" t="n">
        <v>45748</v>
      </c>
      <c r="I11" s="289" t="s">
        <v>452</v>
      </c>
      <c r="J11" s="282" t="n">
        <v>29.9</v>
      </c>
      <c r="K11" s="184" t="n">
        <f aca="false">MEDIAN(J11,G11,D11)</f>
        <v>28.39</v>
      </c>
    </row>
    <row r="12" customFormat="false" ht="25.5" hidden="false" customHeight="true" outlineLevel="0" collapsed="false">
      <c r="A12" s="280" t="s">
        <v>86</v>
      </c>
      <c r="B12" s="287" t="n">
        <v>45748</v>
      </c>
      <c r="C12" s="289" t="s">
        <v>453</v>
      </c>
      <c r="D12" s="281" t="n">
        <v>13.9</v>
      </c>
      <c r="E12" s="287" t="n">
        <v>45748</v>
      </c>
      <c r="F12" s="290" t="s">
        <v>446</v>
      </c>
      <c r="G12" s="281" t="n">
        <v>15.5</v>
      </c>
      <c r="H12" s="287" t="n">
        <v>45748</v>
      </c>
      <c r="I12" s="289" t="s">
        <v>454</v>
      </c>
      <c r="J12" s="282" t="n">
        <v>13.99</v>
      </c>
      <c r="K12" s="184" t="n">
        <f aca="false">MEDIAN(J12,G12,D12)</f>
        <v>13.99</v>
      </c>
    </row>
    <row r="13" customFormat="false" ht="25.5" hidden="false" customHeight="true" outlineLevel="0" collapsed="false">
      <c r="A13" s="291" t="s">
        <v>190</v>
      </c>
      <c r="B13" s="287" t="n">
        <v>45748</v>
      </c>
      <c r="C13" s="289" t="s">
        <v>455</v>
      </c>
      <c r="D13" s="281" t="n">
        <v>40.18</v>
      </c>
      <c r="E13" s="287" t="n">
        <v>45748</v>
      </c>
      <c r="F13" s="290" t="s">
        <v>456</v>
      </c>
      <c r="G13" s="281" t="n">
        <v>56</v>
      </c>
      <c r="H13" s="287" t="n">
        <v>45748</v>
      </c>
      <c r="I13" s="289" t="s">
        <v>437</v>
      </c>
      <c r="J13" s="282" t="n">
        <v>41.22</v>
      </c>
      <c r="K13" s="184" t="n">
        <f aca="false">MEDIAN(J13,G13,D13)</f>
        <v>41.22</v>
      </c>
    </row>
    <row r="14" customFormat="false" ht="25.5" hidden="false" customHeight="true" outlineLevel="0" collapsed="false">
      <c r="A14" s="291" t="s">
        <v>191</v>
      </c>
      <c r="B14" s="287" t="n">
        <v>45748</v>
      </c>
      <c r="C14" s="289" t="s">
        <v>457</v>
      </c>
      <c r="D14" s="281" t="n">
        <v>41.99</v>
      </c>
      <c r="E14" s="287" t="n">
        <v>45748</v>
      </c>
      <c r="F14" s="290" t="s">
        <v>454</v>
      </c>
      <c r="G14" s="281" t="n">
        <v>45.9</v>
      </c>
      <c r="H14" s="287" t="n">
        <v>45748</v>
      </c>
      <c r="I14" s="289" t="s">
        <v>458</v>
      </c>
      <c r="J14" s="282" t="n">
        <v>60.82</v>
      </c>
      <c r="K14" s="184" t="n">
        <f aca="false">MEDIAN(J14,G14,D14)</f>
        <v>45.9</v>
      </c>
    </row>
    <row r="15" customFormat="false" ht="25.5" hidden="false" customHeight="true" outlineLevel="0" collapsed="false">
      <c r="A15" s="291" t="s">
        <v>192</v>
      </c>
      <c r="B15" s="287" t="n">
        <v>45748</v>
      </c>
      <c r="C15" s="289" t="s">
        <v>436</v>
      </c>
      <c r="D15" s="281" t="n">
        <v>51.29</v>
      </c>
      <c r="E15" s="287" t="n">
        <v>45748</v>
      </c>
      <c r="F15" s="290" t="s">
        <v>459</v>
      </c>
      <c r="G15" s="281" t="n">
        <v>52.79</v>
      </c>
      <c r="H15" s="287" t="n">
        <v>45748</v>
      </c>
      <c r="I15" s="289" t="s">
        <v>460</v>
      </c>
      <c r="J15" s="282" t="n">
        <v>43.2</v>
      </c>
      <c r="K15" s="184" t="n">
        <f aca="false">MEDIAN(J15,G15,D15)</f>
        <v>51.29</v>
      </c>
    </row>
    <row r="16" customFormat="false" ht="25.5" hidden="false" customHeight="true" outlineLevel="0" collapsed="false">
      <c r="A16" s="280" t="s">
        <v>461</v>
      </c>
      <c r="B16" s="287" t="n">
        <v>45748</v>
      </c>
      <c r="C16" s="289" t="s">
        <v>462</v>
      </c>
      <c r="D16" s="281" t="n">
        <v>1955.44</v>
      </c>
      <c r="E16" s="287" t="n">
        <v>45748</v>
      </c>
      <c r="F16" s="290" t="s">
        <v>463</v>
      </c>
      <c r="G16" s="281" t="n">
        <v>1823.73</v>
      </c>
      <c r="H16" s="287" t="n">
        <v>45748</v>
      </c>
      <c r="I16" s="289" t="s">
        <v>464</v>
      </c>
      <c r="J16" s="282" t="n">
        <v>1695</v>
      </c>
      <c r="K16" s="184" t="n">
        <f aca="false">MEDIAN(J16,G16,D16)</f>
        <v>1823.73</v>
      </c>
    </row>
    <row r="17" customFormat="false" ht="25.5" hidden="false" customHeight="true" outlineLevel="0" collapsed="false">
      <c r="A17" s="280" t="s">
        <v>465</v>
      </c>
      <c r="B17" s="287" t="n">
        <v>45796</v>
      </c>
      <c r="C17" s="289" t="s">
        <v>437</v>
      </c>
      <c r="D17" s="281" t="n">
        <v>389.9</v>
      </c>
      <c r="E17" s="287" t="n">
        <v>45796</v>
      </c>
      <c r="F17" s="290" t="s">
        <v>466</v>
      </c>
      <c r="G17" s="281" t="n">
        <v>349.9</v>
      </c>
      <c r="H17" s="287" t="n">
        <v>45796</v>
      </c>
      <c r="I17" s="289" t="s">
        <v>462</v>
      </c>
      <c r="J17" s="282" t="n">
        <v>329.9</v>
      </c>
      <c r="K17" s="184" t="n">
        <f aca="false">MEDIAN(J17,G17,D17)</f>
        <v>349.9</v>
      </c>
    </row>
    <row r="18" customFormat="false" ht="25.5" hidden="false" customHeight="true" outlineLevel="0" collapsed="false">
      <c r="A18" s="280" t="s">
        <v>467</v>
      </c>
      <c r="B18" s="287" t="n">
        <v>45751</v>
      </c>
      <c r="C18" s="289" t="s">
        <v>468</v>
      </c>
      <c r="D18" s="281" t="n">
        <v>6.44</v>
      </c>
      <c r="E18" s="287" t="n">
        <v>45751</v>
      </c>
      <c r="F18" s="292" t="s">
        <v>469</v>
      </c>
      <c r="G18" s="281" t="n">
        <v>6.16</v>
      </c>
      <c r="H18" s="287"/>
      <c r="K18" s="184" t="n">
        <v>6.44</v>
      </c>
    </row>
    <row r="19" customFormat="false" ht="25.5" hidden="false" customHeight="true" outlineLevel="0" collapsed="false">
      <c r="A19" s="280" t="s">
        <v>470</v>
      </c>
      <c r="B19" s="287" t="n">
        <v>45751</v>
      </c>
      <c r="C19" s="289" t="s">
        <v>471</v>
      </c>
      <c r="D19" s="281" t="n">
        <v>34.5</v>
      </c>
      <c r="E19" s="287" t="n">
        <v>45751</v>
      </c>
      <c r="F19" s="290" t="s">
        <v>472</v>
      </c>
      <c r="G19" s="281" t="n">
        <v>36.3</v>
      </c>
      <c r="H19" s="287" t="n">
        <v>45751</v>
      </c>
      <c r="I19" s="289" t="s">
        <v>473</v>
      </c>
      <c r="J19" s="282" t="n">
        <v>36.75</v>
      </c>
      <c r="K19" s="184" t="n">
        <f aca="false">MEDIAN(J19,G19,D19)</f>
        <v>36.3</v>
      </c>
    </row>
    <row r="20" customFormat="false" ht="25.5" hidden="false" customHeight="true" outlineLevel="0" collapsed="false">
      <c r="A20" s="280" t="s">
        <v>474</v>
      </c>
      <c r="B20" s="287" t="n">
        <v>45751</v>
      </c>
      <c r="C20" s="289" t="s">
        <v>436</v>
      </c>
      <c r="D20" s="281" t="n">
        <v>42</v>
      </c>
      <c r="E20" s="287" t="n">
        <v>45751</v>
      </c>
      <c r="F20" s="290" t="s">
        <v>475</v>
      </c>
      <c r="G20" s="281" t="n">
        <v>54.12</v>
      </c>
      <c r="H20" s="287" t="n">
        <v>45751</v>
      </c>
      <c r="I20" s="289" t="s">
        <v>476</v>
      </c>
      <c r="J20" s="282" t="n">
        <v>72.06</v>
      </c>
      <c r="K20" s="184" t="n">
        <f aca="false">MEDIAN(J20,G20,D20)</f>
        <v>54.12</v>
      </c>
    </row>
    <row r="21" customFormat="false" ht="25.5" hidden="false" customHeight="true" outlineLevel="0" collapsed="false">
      <c r="A21" s="280" t="s">
        <v>477</v>
      </c>
      <c r="B21" s="287" t="n">
        <v>45751</v>
      </c>
      <c r="C21" s="289" t="s">
        <v>475</v>
      </c>
      <c r="D21" s="281" t="n">
        <v>53.89</v>
      </c>
      <c r="E21" s="287" t="n">
        <v>45751</v>
      </c>
      <c r="F21" s="290" t="s">
        <v>478</v>
      </c>
      <c r="G21" s="281" t="n">
        <v>44.91</v>
      </c>
      <c r="H21" s="287" t="n">
        <v>45751</v>
      </c>
      <c r="I21" s="289" t="s">
        <v>479</v>
      </c>
      <c r="J21" s="282" t="n">
        <v>47.4</v>
      </c>
      <c r="K21" s="184" t="n">
        <f aca="false">MEDIAN(J21,G21,D21)</f>
        <v>47.4</v>
      </c>
    </row>
    <row r="22" customFormat="false" ht="25.5" hidden="false" customHeight="true" outlineLevel="0" collapsed="false">
      <c r="A22" s="280" t="s">
        <v>480</v>
      </c>
      <c r="B22" s="287" t="n">
        <v>45751</v>
      </c>
      <c r="C22" s="289" t="s">
        <v>479</v>
      </c>
      <c r="D22" s="281" t="n">
        <v>36</v>
      </c>
      <c r="E22" s="287" t="n">
        <v>45751</v>
      </c>
      <c r="F22" s="290" t="s">
        <v>481</v>
      </c>
      <c r="G22" s="281" t="n">
        <v>28.74</v>
      </c>
      <c r="H22" s="287" t="n">
        <v>45751</v>
      </c>
      <c r="I22" s="289" t="s">
        <v>482</v>
      </c>
      <c r="J22" s="282" t="n">
        <v>40</v>
      </c>
      <c r="K22" s="184" t="n">
        <f aca="false">MEDIAN(J22,G22,D22)</f>
        <v>36</v>
      </c>
    </row>
    <row r="23" customFormat="false" ht="25.5" hidden="false" customHeight="true" outlineLevel="0" collapsed="false">
      <c r="A23" s="280" t="s">
        <v>483</v>
      </c>
      <c r="B23" s="287" t="n">
        <v>45799</v>
      </c>
      <c r="C23" s="289" t="s">
        <v>484</v>
      </c>
      <c r="D23" s="281" t="n">
        <v>880</v>
      </c>
      <c r="E23" s="287" t="n">
        <v>45799</v>
      </c>
      <c r="F23" s="289" t="s">
        <v>436</v>
      </c>
      <c r="G23" s="281" t="n">
        <v>647</v>
      </c>
      <c r="H23" s="287" t="n">
        <v>45799</v>
      </c>
      <c r="I23" s="289" t="s">
        <v>485</v>
      </c>
      <c r="J23" s="282" t="n">
        <v>529.46</v>
      </c>
      <c r="K23" s="184" t="n">
        <f aca="false">MEDIAN(J23,G23,D23)</f>
        <v>647</v>
      </c>
    </row>
    <row r="24" customFormat="false" ht="25.5" hidden="false" customHeight="true" outlineLevel="0" collapsed="false"/>
    <row r="25" customFormat="false" ht="25.5" hidden="false" customHeight="true" outlineLevel="0" collapsed="false"/>
    <row r="26" customFormat="false" ht="25.5" hidden="false" customHeight="true" outlineLevel="0" collapsed="false"/>
    <row r="27" customFormat="false" ht="25.5" hidden="false" customHeight="true" outlineLevel="0" collapsed="false"/>
    <row r="28" customFormat="false" ht="25.5" hidden="false" customHeight="true" outlineLevel="0" collapsed="false"/>
    <row r="29" customFormat="false" ht="25.5" hidden="false" customHeight="true" outlineLevel="0" collapsed="false"/>
    <row r="30" customFormat="false" ht="25.5" hidden="false" customHeight="true" outlineLevel="0" collapsed="false"/>
    <row r="31" customFormat="false" ht="25.5" hidden="false" customHeight="true" outlineLevel="0" collapsed="false"/>
    <row r="32" customFormat="false" ht="25.5" hidden="false" customHeight="true" outlineLevel="0" collapsed="false"/>
    <row r="33" customFormat="false" ht="25.5" hidden="false" customHeight="true" outlineLevel="0" collapsed="false"/>
    <row r="34" customFormat="false" ht="25.5" hidden="false" customHeight="true" outlineLevel="0" collapsed="false"/>
    <row r="35" customFormat="false" ht="25.5" hidden="false" customHeight="true" outlineLevel="0" collapsed="false"/>
    <row r="36" customFormat="false" ht="25.5" hidden="false" customHeight="true" outlineLevel="0" collapsed="false"/>
    <row r="37" customFormat="false" ht="25.5" hidden="false" customHeight="true" outlineLevel="0" collapsed="false"/>
    <row r="38" customFormat="false" ht="25.5" hidden="false" customHeight="true" outlineLevel="0" collapsed="false"/>
    <row r="39" customFormat="false" ht="25.5" hidden="false" customHeight="true" outlineLevel="0" collapsed="false"/>
    <row r="40" customFormat="false" ht="25.5" hidden="false" customHeight="true" outlineLevel="0" collapsed="false"/>
    <row r="41" customFormat="false" ht="25.5" hidden="false" customHeight="true" outlineLevel="0" collapsed="false"/>
    <row r="42" customFormat="false" ht="25.5" hidden="false" customHeight="true" outlineLevel="0" collapsed="false"/>
    <row r="43" customFormat="false" ht="25.5" hidden="false" customHeight="true" outlineLevel="0" collapsed="false"/>
    <row r="44" customFormat="false" ht="25.5" hidden="false" customHeight="true" outlineLevel="0" collapsed="false"/>
    <row r="45" customFormat="false" ht="25.5" hidden="false" customHeight="true" outlineLevel="0" collapsed="false"/>
    <row r="46" customFormat="false" ht="25.5" hidden="false" customHeight="true" outlineLevel="0" collapsed="false"/>
    <row r="47" customFormat="false" ht="25.5" hidden="false" customHeight="true" outlineLevel="0" collapsed="false"/>
    <row r="48" customFormat="false" ht="25.5" hidden="false" customHeight="true" outlineLevel="0" collapsed="false"/>
    <row r="49" customFormat="false" ht="25.5" hidden="false" customHeight="true" outlineLevel="0" collapsed="false"/>
    <row r="50" customFormat="false" ht="25.5" hidden="false" customHeight="true" outlineLevel="0" collapsed="false"/>
    <row r="51" customFormat="false" ht="25.5" hidden="false" customHeight="true" outlineLevel="0" collapsed="false"/>
    <row r="52" customFormat="false" ht="25.5" hidden="false" customHeight="true" outlineLevel="0" collapsed="false"/>
    <row r="53" customFormat="false" ht="25.5" hidden="false" customHeight="true" outlineLevel="0" collapsed="false"/>
    <row r="54" customFormat="false" ht="25.5" hidden="false" customHeight="true" outlineLevel="0" collapsed="false"/>
    <row r="55" customFormat="false" ht="25.5" hidden="false" customHeight="true" outlineLevel="0" collapsed="false"/>
    <row r="56" customFormat="false" ht="25.5" hidden="false" customHeight="true" outlineLevel="0" collapsed="false"/>
    <row r="57" customFormat="false" ht="25.5" hidden="false" customHeight="true" outlineLevel="0" collapsed="false"/>
    <row r="58" customFormat="false" ht="25.5" hidden="false" customHeight="true" outlineLevel="0" collapsed="false"/>
    <row r="59" customFormat="false" ht="25.5" hidden="false" customHeight="true" outlineLevel="0" collapsed="false"/>
    <row r="60" customFormat="false" ht="25.5" hidden="false" customHeight="true" outlineLevel="0" collapsed="false"/>
    <row r="61" customFormat="false" ht="25.5" hidden="false" customHeight="true" outlineLevel="0" collapsed="false"/>
    <row r="62" customFormat="false" ht="25.5" hidden="false" customHeight="true" outlineLevel="0" collapsed="false"/>
    <row r="63" customFormat="false" ht="25.5" hidden="false" customHeight="true" outlineLevel="0" collapsed="false"/>
    <row r="64" customFormat="false" ht="25.5" hidden="false" customHeight="true" outlineLevel="0" collapsed="false"/>
    <row r="65" customFormat="false" ht="25.5" hidden="false" customHeight="true" outlineLevel="0" collapsed="false"/>
    <row r="66" customFormat="false" ht="25.5" hidden="false" customHeight="true" outlineLevel="0" collapsed="false"/>
    <row r="67" customFormat="false" ht="25.5" hidden="false" customHeight="true" outlineLevel="0" collapsed="false"/>
    <row r="68" customFormat="false" ht="25.5" hidden="false" customHeight="true" outlineLevel="0" collapsed="false"/>
    <row r="69" customFormat="false" ht="25.5" hidden="false" customHeight="true" outlineLevel="0" collapsed="false"/>
    <row r="70" customFormat="false" ht="25.5" hidden="false" customHeight="true" outlineLevel="0" collapsed="false"/>
    <row r="71" customFormat="false" ht="25.5" hidden="false" customHeight="true" outlineLevel="0" collapsed="false"/>
    <row r="72" customFormat="false" ht="25.5" hidden="false" customHeight="true" outlineLevel="0" collapsed="false"/>
    <row r="73" customFormat="false" ht="25.5" hidden="false" customHeight="true" outlineLevel="0" collapsed="false"/>
    <row r="74" customFormat="false" ht="25.5" hidden="false" customHeight="true" outlineLevel="0" collapsed="false"/>
  </sheetData>
  <mergeCells count="4">
    <mergeCell ref="A1:A2"/>
    <mergeCell ref="B1:D1"/>
    <mergeCell ref="E1:G1"/>
    <mergeCell ref="H1:J1"/>
  </mergeCells>
  <hyperlinks>
    <hyperlink ref="C3" r:id="rId1" display="https://www.ebconfeccao.com.br"/>
    <hyperlink ref="F3" r:id="rId2" display="https://produto.mercadolivre.com.br"/>
    <hyperlink ref="I3" r:id="rId3" display="https://www.magazineluiza.com.br"/>
    <hyperlink ref="C4" r:id="rId4" display="https://www.jamiluniformes.com.br"/>
    <hyperlink ref="F4" r:id="rId5" display="https://produto.mercadolivre.com.br"/>
    <hyperlink ref="I4" r:id="rId6" display="https://www.fardasexpress.com.br"/>
    <hyperlink ref="C5" r:id="rId7" display="https://tulypauniformes.com.br"/>
    <hyperlink ref="F5" r:id="rId8" display="https://produto.mercadolivre.com.br"/>
    <hyperlink ref="I5" r:id="rId9" display="https://www.j7uniformesprofissionais.com.br"/>
    <hyperlink ref="C6" r:id="rId10" display="https://ellepsun.com.br"/>
    <hyperlink ref="F6" r:id="rId11" display="https://www.uvline.com.br"/>
    <hyperlink ref="I6" r:id="rId12" display="https://loja.suncover.com.br"/>
    <hyperlink ref="C7" r:id="rId13" display="https://produto.mercadolivre.com.br"/>
    <hyperlink ref="F7" r:id="rId14" display="https://www.superepi.com.br"/>
    <hyperlink ref="I7" r:id="rId15" display="https://www.magazineluiza.com.br"/>
    <hyperlink ref="C8" r:id="rId16" display="https://disapar.com.br"/>
    <hyperlink ref="F8" r:id="rId17" display="https://outletdoepi.com"/>
    <hyperlink ref="I8" r:id="rId18" display="https://www.superepi.com.br"/>
    <hyperlink ref="C9" r:id="rId19" display="https://www.superepi.com.br"/>
    <hyperlink ref="F9" r:id="rId20" display="https://produto.mercadolivre.com.br"/>
    <hyperlink ref="I9" r:id="rId21" display="https://www.lojas360.com.br/"/>
    <hyperlink ref="C10" r:id="rId22" display="https://www.superepi.com.br"/>
    <hyperlink ref="F10" r:id="rId23" display="https://www.astrodistribuidora.com"/>
    <hyperlink ref="I10" r:id="rId24" display="https://www.armazemdoepi.com.bR"/>
    <hyperlink ref="C11" r:id="rId25" display="https://www.astrodistribuidora.com"/>
    <hyperlink ref="F11" r:id="rId26" display="https://www.superepi.com.br"/>
    <hyperlink ref="I11" r:id="rId27" display="https://www.multiepis.com.br"/>
    <hyperlink ref="C12" r:id="rId28" display="https://www.oceanob2b.com"/>
    <hyperlink ref="F12" r:id="rId29" display="https://www.superepi.com.br"/>
    <hyperlink ref="I12" r:id="rId30" display="https://www.lojadomecanico.com.br"/>
    <hyperlink ref="C13" r:id="rId31" display="https://www.polodoepi.com.br"/>
    <hyperlink ref="F13" r:id="rId32" display="https://www.zigferramentas.com.br"/>
    <hyperlink ref="I13" r:id="rId33" display="https://www.magazineluiza.com.br"/>
    <hyperlink ref="C14" r:id="rId34" display="https://www.fg.com.br"/>
    <hyperlink ref="F14" r:id="rId35" display="https://www.lojadomecanico.com.br"/>
    <hyperlink ref="I14" r:id="rId36" display="https://www.mabore.com.br"/>
    <hyperlink ref="C15" r:id="rId37" display="https://produto.mercadolivre.com.br"/>
    <hyperlink ref="F15" r:id="rId38" display="https://www.castronaves.com.br"/>
    <hyperlink ref="I15" r:id="rId39" display="https://www.coimbra.ind.br"/>
    <hyperlink ref="C16" r:id="rId40" display="https://www.pneustore.com.br"/>
    <hyperlink ref="F16" r:id="rId41" display="https://www.bellenzier.com.b"/>
    <hyperlink ref="I16" r:id="rId42" display="https://www.pneubest.com.br"/>
    <hyperlink ref="C17" r:id="rId43" display="https://www.magazineluiza.com.br"/>
    <hyperlink ref="F17" r:id="rId44" display="https://www.casasbahia.com.br"/>
    <hyperlink ref="I17" r:id="rId45" display="https://www.pneustore.com.br"/>
    <hyperlink ref="C18" r:id="rId46" display="https://precos.petrobras.com.br"/>
    <hyperlink ref="C19" r:id="rId47" display="https://www.importvans.com"/>
    <hyperlink ref="F19" r:id="rId48" display="https://www.dpaschoal.com.br"/>
    <hyperlink ref="I19" r:id="rId49" display="https://www.unifreiospecas.com.br"/>
    <hyperlink ref="C20" r:id="rId50" display="https://produto.mercadolivre.com.br"/>
    <hyperlink ref="F20" r:id="rId51" display="https://www.loja.aptacaminhoes.com.br"/>
    <hyperlink ref="I20" r:id="rId52" display="https://www.autopecastiete.com.br"/>
    <hyperlink ref="C21" r:id="rId53" display="https://www.loja.aptacaminhoes.com.br"/>
    <hyperlink ref="F21" r:id="rId54" display="https://www.armazemautopecas.com.br"/>
    <hyperlink ref="I21" r:id="rId55" display="https://www.lfmaquinaseferramentas.com.br"/>
    <hyperlink ref="C22" r:id="rId56" display="https://www.lfmaquinaseferramentas.com.br"/>
    <hyperlink ref="F22" r:id="rId57" display="https://www.incorzul.com.br"/>
    <hyperlink ref="I22" r:id="rId58" display="https://loja.dispetral.com.br"/>
    <hyperlink ref="C23" r:id="rId59" display="https://someacessorios.com.br"/>
    <hyperlink ref="F23" r:id="rId60" display="https://produto.mercadolivre.com.br"/>
    <hyperlink ref="I23" r:id="rId61" display="https://www.acessoriosjltudoparaonibus.com.br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6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C5" activeCellId="0" sqref="C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58.35"/>
    <col collapsed="false" customWidth="true" hidden="false" outlineLevel="0" max="2" min="2" style="115" width="11.15"/>
    <col collapsed="false" customWidth="true" hidden="false" outlineLevel="0" max="3" min="3" style="115" width="16.69"/>
    <col collapsed="false" customWidth="true" hidden="false" outlineLevel="0" max="64" min="4" style="115" width="9.14"/>
    <col collapsed="false" customWidth="true" hidden="false" outlineLevel="0" max="1024" min="65" style="3" width="9.14"/>
  </cols>
  <sheetData>
    <row r="1" customFormat="false" ht="17.35" hidden="false" customHeight="false" outlineLevel="0" collapsed="false">
      <c r="A1" s="293" t="s">
        <v>486</v>
      </c>
      <c r="B1" s="293"/>
      <c r="C1" s="293"/>
    </row>
    <row r="2" customFormat="false" ht="17.35" hidden="false" customHeight="false" outlineLevel="0" collapsed="false">
      <c r="A2" s="294"/>
      <c r="B2" s="295"/>
      <c r="C2" s="296"/>
    </row>
    <row r="3" customFormat="false" ht="13.8" hidden="false" customHeight="false" outlineLevel="0" collapsed="false">
      <c r="A3" s="297" t="s">
        <v>487</v>
      </c>
      <c r="B3" s="298" t="s">
        <v>488</v>
      </c>
      <c r="C3" s="299" t="s">
        <v>489</v>
      </c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300"/>
      <c r="AU3" s="300"/>
      <c r="AV3" s="300"/>
      <c r="AW3" s="300"/>
      <c r="AX3" s="300"/>
      <c r="AY3" s="300"/>
      <c r="AZ3" s="300"/>
      <c r="BA3" s="300"/>
      <c r="BB3" s="300"/>
      <c r="BC3" s="300"/>
      <c r="BD3" s="300"/>
      <c r="BE3" s="300"/>
      <c r="BF3" s="300"/>
      <c r="BG3" s="300"/>
      <c r="BH3" s="300"/>
      <c r="BI3" s="300"/>
      <c r="BJ3" s="300"/>
      <c r="BK3" s="300"/>
      <c r="BL3" s="300"/>
      <c r="BM3" s="300"/>
      <c r="BN3" s="300"/>
      <c r="BO3" s="300"/>
      <c r="BP3" s="300"/>
      <c r="BQ3" s="300"/>
      <c r="BR3" s="300"/>
      <c r="BS3" s="300"/>
      <c r="BT3" s="300"/>
      <c r="BU3" s="300"/>
      <c r="BV3" s="300"/>
      <c r="BW3" s="300"/>
      <c r="BX3" s="300"/>
      <c r="BY3" s="300"/>
      <c r="BZ3" s="300"/>
      <c r="CA3" s="300"/>
      <c r="CB3" s="300"/>
      <c r="CC3" s="300"/>
      <c r="CD3" s="300"/>
      <c r="CE3" s="300"/>
      <c r="CF3" s="300"/>
      <c r="CG3" s="300"/>
      <c r="CH3" s="300"/>
      <c r="CI3" s="300"/>
      <c r="CJ3" s="300"/>
      <c r="CK3" s="300"/>
      <c r="CL3" s="300"/>
      <c r="CM3" s="300"/>
      <c r="CN3" s="300"/>
      <c r="CO3" s="300"/>
      <c r="CP3" s="300"/>
      <c r="CQ3" s="300"/>
      <c r="CR3" s="300"/>
      <c r="CS3" s="300"/>
      <c r="CT3" s="300"/>
      <c r="CU3" s="300"/>
      <c r="CV3" s="300"/>
      <c r="CW3" s="300"/>
      <c r="CX3" s="300"/>
      <c r="CY3" s="300"/>
      <c r="CZ3" s="300"/>
      <c r="DA3" s="300"/>
      <c r="DB3" s="300"/>
      <c r="DC3" s="300"/>
      <c r="DD3" s="300"/>
      <c r="DE3" s="300"/>
      <c r="DF3" s="300"/>
      <c r="DG3" s="300"/>
      <c r="DH3" s="300"/>
      <c r="DI3" s="300"/>
      <c r="DJ3" s="300"/>
      <c r="DK3" s="300"/>
      <c r="DL3" s="300"/>
      <c r="DM3" s="300"/>
      <c r="DN3" s="300"/>
      <c r="DO3" s="300"/>
      <c r="DP3" s="300"/>
      <c r="DQ3" s="300"/>
      <c r="DR3" s="300"/>
      <c r="DS3" s="300"/>
      <c r="DT3" s="300"/>
      <c r="DU3" s="300"/>
      <c r="DV3" s="300"/>
      <c r="DW3" s="300"/>
      <c r="DX3" s="300"/>
      <c r="DY3" s="300"/>
      <c r="DZ3" s="300"/>
      <c r="EA3" s="300"/>
      <c r="EB3" s="300"/>
      <c r="EC3" s="300"/>
      <c r="ED3" s="300"/>
      <c r="EE3" s="300"/>
      <c r="EF3" s="300"/>
      <c r="EG3" s="300"/>
      <c r="EH3" s="300"/>
      <c r="EI3" s="300"/>
      <c r="EJ3" s="300"/>
      <c r="EK3" s="300"/>
      <c r="EL3" s="300"/>
      <c r="EM3" s="300"/>
      <c r="EN3" s="300"/>
      <c r="EO3" s="300"/>
      <c r="EP3" s="300"/>
      <c r="EQ3" s="300"/>
      <c r="ER3" s="300"/>
      <c r="ES3" s="300"/>
      <c r="ET3" s="300"/>
      <c r="EU3" s="300"/>
      <c r="EV3" s="300"/>
      <c r="EW3" s="300"/>
      <c r="EX3" s="300"/>
      <c r="EY3" s="300"/>
      <c r="EZ3" s="300"/>
      <c r="FA3" s="300"/>
      <c r="FB3" s="300"/>
      <c r="FC3" s="300"/>
      <c r="FD3" s="300"/>
      <c r="FE3" s="300"/>
      <c r="FF3" s="300"/>
      <c r="FG3" s="300"/>
      <c r="FH3" s="300"/>
      <c r="FI3" s="300"/>
      <c r="FJ3" s="300"/>
      <c r="FK3" s="300"/>
      <c r="FL3" s="300"/>
      <c r="FM3" s="300"/>
      <c r="FN3" s="300"/>
      <c r="FO3" s="300"/>
      <c r="FP3" s="300"/>
      <c r="FQ3" s="300"/>
      <c r="FR3" s="300"/>
      <c r="FS3" s="300"/>
      <c r="FT3" s="300"/>
      <c r="FU3" s="300"/>
      <c r="FV3" s="300"/>
      <c r="FW3" s="300"/>
      <c r="FX3" s="300"/>
      <c r="FY3" s="300"/>
      <c r="FZ3" s="300"/>
      <c r="GA3" s="300"/>
      <c r="GB3" s="300"/>
      <c r="GC3" s="300"/>
      <c r="GD3" s="300"/>
      <c r="GE3" s="300"/>
      <c r="GF3" s="300"/>
      <c r="GG3" s="300"/>
      <c r="GH3" s="300"/>
      <c r="GI3" s="300"/>
      <c r="GJ3" s="300"/>
      <c r="GK3" s="300"/>
      <c r="GL3" s="300"/>
      <c r="GM3" s="300"/>
      <c r="GN3" s="300"/>
      <c r="GO3" s="300"/>
      <c r="GP3" s="300"/>
      <c r="GQ3" s="300"/>
      <c r="GR3" s="300"/>
      <c r="GS3" s="300"/>
      <c r="GT3" s="300"/>
      <c r="GU3" s="300"/>
      <c r="GV3" s="300"/>
      <c r="GW3" s="300"/>
      <c r="GX3" s="300"/>
      <c r="GY3" s="300"/>
      <c r="GZ3" s="300"/>
      <c r="HA3" s="300"/>
      <c r="HB3" s="300"/>
      <c r="HC3" s="300"/>
      <c r="HD3" s="300"/>
      <c r="HE3" s="300"/>
      <c r="HF3" s="300"/>
      <c r="HG3" s="300"/>
      <c r="HH3" s="300"/>
      <c r="HI3" s="300"/>
      <c r="HJ3" s="300"/>
      <c r="HK3" s="300"/>
      <c r="HL3" s="300"/>
      <c r="HM3" s="300"/>
      <c r="HN3" s="300"/>
      <c r="HO3" s="300"/>
      <c r="HP3" s="300"/>
      <c r="HQ3" s="300"/>
      <c r="HR3" s="300"/>
      <c r="HS3" s="300"/>
      <c r="HT3" s="300"/>
      <c r="HU3" s="300"/>
      <c r="HV3" s="300"/>
      <c r="HW3" s="300"/>
      <c r="HX3" s="300"/>
      <c r="HY3" s="300"/>
      <c r="HZ3" s="300"/>
      <c r="IA3" s="300"/>
      <c r="IB3" s="300"/>
      <c r="IC3" s="300"/>
      <c r="ID3" s="300"/>
      <c r="IE3" s="300"/>
      <c r="IF3" s="300"/>
      <c r="IG3" s="300"/>
      <c r="IH3" s="300"/>
      <c r="II3" s="300"/>
      <c r="IJ3" s="300"/>
      <c r="IK3" s="300"/>
      <c r="IL3" s="300"/>
      <c r="IM3" s="300"/>
      <c r="IN3" s="300"/>
      <c r="IO3" s="300"/>
      <c r="IP3" s="300"/>
      <c r="IQ3" s="300"/>
      <c r="IR3" s="300"/>
      <c r="IS3" s="300"/>
      <c r="IT3" s="300"/>
      <c r="IU3" s="300"/>
      <c r="IV3" s="300"/>
      <c r="IW3" s="300"/>
      <c r="IX3" s="300"/>
      <c r="IY3" s="300"/>
      <c r="IZ3" s="300"/>
      <c r="JA3" s="300"/>
      <c r="JB3" s="300"/>
      <c r="JC3" s="300"/>
      <c r="JD3" s="300"/>
      <c r="JE3" s="300"/>
      <c r="JF3" s="300"/>
      <c r="JG3" s="300"/>
      <c r="JH3" s="300"/>
      <c r="JI3" s="300"/>
      <c r="JJ3" s="300"/>
      <c r="JK3" s="300"/>
      <c r="JL3" s="300"/>
      <c r="JM3" s="300"/>
      <c r="JN3" s="300"/>
      <c r="JO3" s="300"/>
      <c r="JP3" s="300"/>
      <c r="JQ3" s="300"/>
      <c r="JR3" s="300"/>
      <c r="JS3" s="300"/>
      <c r="JT3" s="300"/>
      <c r="JU3" s="300"/>
      <c r="JV3" s="300"/>
      <c r="JW3" s="300"/>
      <c r="JX3" s="300"/>
      <c r="JY3" s="300"/>
      <c r="JZ3" s="300"/>
      <c r="KA3" s="300"/>
      <c r="KB3" s="300"/>
      <c r="KC3" s="300"/>
      <c r="KD3" s="300"/>
      <c r="KE3" s="300"/>
      <c r="KF3" s="300"/>
      <c r="KG3" s="300"/>
      <c r="KH3" s="300"/>
      <c r="KI3" s="300"/>
      <c r="KJ3" s="300"/>
      <c r="KK3" s="300"/>
      <c r="KL3" s="300"/>
      <c r="KM3" s="300"/>
      <c r="KN3" s="300"/>
      <c r="KO3" s="300"/>
      <c r="KP3" s="300"/>
      <c r="KQ3" s="300"/>
      <c r="KR3" s="300"/>
      <c r="KS3" s="300"/>
      <c r="KT3" s="300"/>
      <c r="KU3" s="300"/>
      <c r="KV3" s="300"/>
      <c r="KW3" s="300"/>
      <c r="KX3" s="300"/>
      <c r="KY3" s="300"/>
      <c r="KZ3" s="300"/>
      <c r="LA3" s="300"/>
      <c r="LB3" s="300"/>
      <c r="LC3" s="300"/>
      <c r="LD3" s="300"/>
      <c r="LE3" s="300"/>
      <c r="LF3" s="300"/>
      <c r="LG3" s="300"/>
      <c r="LH3" s="300"/>
      <c r="LI3" s="300"/>
      <c r="LJ3" s="300"/>
      <c r="LK3" s="300"/>
      <c r="LL3" s="300"/>
      <c r="LM3" s="300"/>
      <c r="LN3" s="300"/>
      <c r="LO3" s="300"/>
      <c r="LP3" s="300"/>
      <c r="LQ3" s="300"/>
      <c r="LR3" s="300"/>
      <c r="LS3" s="300"/>
      <c r="LT3" s="300"/>
      <c r="LU3" s="300"/>
      <c r="LV3" s="300"/>
      <c r="LW3" s="300"/>
      <c r="LX3" s="300"/>
      <c r="LY3" s="300"/>
      <c r="LZ3" s="300"/>
      <c r="MA3" s="300"/>
      <c r="MB3" s="300"/>
      <c r="MC3" s="300"/>
      <c r="MD3" s="300"/>
      <c r="ME3" s="300"/>
      <c r="MF3" s="300"/>
      <c r="MG3" s="300"/>
      <c r="MH3" s="300"/>
      <c r="MI3" s="300"/>
      <c r="MJ3" s="300"/>
      <c r="MK3" s="300"/>
      <c r="ML3" s="300"/>
      <c r="MM3" s="300"/>
      <c r="MN3" s="300"/>
      <c r="MO3" s="300"/>
      <c r="MP3" s="300"/>
      <c r="MQ3" s="300"/>
      <c r="MR3" s="300"/>
      <c r="MS3" s="300"/>
      <c r="MT3" s="300"/>
      <c r="MU3" s="300"/>
      <c r="MV3" s="300"/>
      <c r="MW3" s="300"/>
      <c r="MX3" s="300"/>
      <c r="MY3" s="300"/>
      <c r="MZ3" s="300"/>
      <c r="NA3" s="300"/>
      <c r="NB3" s="300"/>
      <c r="NC3" s="300"/>
      <c r="ND3" s="300"/>
      <c r="NE3" s="300"/>
      <c r="NF3" s="300"/>
      <c r="NG3" s="300"/>
      <c r="NH3" s="300"/>
      <c r="NI3" s="300"/>
      <c r="NJ3" s="300"/>
      <c r="NK3" s="300"/>
      <c r="NL3" s="300"/>
      <c r="NM3" s="300"/>
      <c r="NN3" s="300"/>
      <c r="NO3" s="300"/>
      <c r="NP3" s="300"/>
      <c r="NQ3" s="300"/>
      <c r="NR3" s="300"/>
      <c r="NS3" s="300"/>
      <c r="NT3" s="300"/>
      <c r="NU3" s="300"/>
      <c r="NV3" s="300"/>
      <c r="NW3" s="300"/>
      <c r="NX3" s="300"/>
      <c r="NY3" s="300"/>
      <c r="NZ3" s="300"/>
      <c r="OA3" s="300"/>
      <c r="OB3" s="300"/>
      <c r="OC3" s="300"/>
      <c r="OD3" s="300"/>
      <c r="OE3" s="300"/>
      <c r="OF3" s="300"/>
      <c r="OG3" s="300"/>
      <c r="OH3" s="300"/>
      <c r="OI3" s="300"/>
      <c r="OJ3" s="300"/>
      <c r="OK3" s="300"/>
      <c r="OL3" s="300"/>
      <c r="OM3" s="300"/>
      <c r="ON3" s="300"/>
      <c r="OO3" s="300"/>
      <c r="OP3" s="300"/>
      <c r="OQ3" s="300"/>
      <c r="OR3" s="300"/>
      <c r="OS3" s="300"/>
      <c r="OT3" s="300"/>
      <c r="OU3" s="300"/>
      <c r="OV3" s="300"/>
      <c r="OW3" s="300"/>
      <c r="OX3" s="300"/>
      <c r="OY3" s="300"/>
      <c r="OZ3" s="300"/>
      <c r="PA3" s="300"/>
      <c r="PB3" s="300"/>
      <c r="PC3" s="300"/>
      <c r="PD3" s="300"/>
      <c r="PE3" s="300"/>
      <c r="PF3" s="300"/>
      <c r="PG3" s="300"/>
      <c r="PH3" s="300"/>
      <c r="PI3" s="300"/>
      <c r="PJ3" s="300"/>
      <c r="PK3" s="300"/>
      <c r="PL3" s="300"/>
      <c r="PM3" s="300"/>
      <c r="PN3" s="300"/>
      <c r="PO3" s="300"/>
      <c r="PP3" s="300"/>
      <c r="PQ3" s="300"/>
      <c r="PR3" s="300"/>
      <c r="PS3" s="300"/>
      <c r="PT3" s="300"/>
      <c r="PU3" s="300"/>
      <c r="PV3" s="300"/>
      <c r="PW3" s="300"/>
      <c r="PX3" s="300"/>
      <c r="PY3" s="300"/>
      <c r="PZ3" s="300"/>
      <c r="QA3" s="300"/>
      <c r="QB3" s="300"/>
      <c r="QC3" s="300"/>
      <c r="QD3" s="300"/>
      <c r="QE3" s="300"/>
      <c r="QF3" s="300"/>
      <c r="QG3" s="300"/>
      <c r="QH3" s="300"/>
      <c r="QI3" s="300"/>
      <c r="QJ3" s="300"/>
      <c r="QK3" s="300"/>
      <c r="QL3" s="300"/>
      <c r="QM3" s="300"/>
      <c r="QN3" s="300"/>
      <c r="QO3" s="300"/>
      <c r="QP3" s="300"/>
      <c r="QQ3" s="300"/>
      <c r="QR3" s="300"/>
      <c r="QS3" s="300"/>
      <c r="QT3" s="300"/>
      <c r="QU3" s="300"/>
      <c r="QV3" s="300"/>
      <c r="QW3" s="300"/>
      <c r="QX3" s="300"/>
      <c r="QY3" s="300"/>
      <c r="QZ3" s="300"/>
      <c r="RA3" s="300"/>
      <c r="RB3" s="300"/>
      <c r="RC3" s="300"/>
      <c r="RD3" s="300"/>
      <c r="RE3" s="300"/>
      <c r="RF3" s="300"/>
      <c r="RG3" s="300"/>
      <c r="RH3" s="300"/>
      <c r="RI3" s="300"/>
      <c r="RJ3" s="300"/>
      <c r="RK3" s="300"/>
      <c r="RL3" s="300"/>
      <c r="RM3" s="300"/>
      <c r="RN3" s="300"/>
      <c r="RO3" s="300"/>
      <c r="RP3" s="300"/>
      <c r="RQ3" s="300"/>
      <c r="RR3" s="300"/>
      <c r="RS3" s="300"/>
      <c r="RT3" s="300"/>
      <c r="RU3" s="300"/>
      <c r="RV3" s="300"/>
      <c r="RW3" s="300"/>
      <c r="RX3" s="300"/>
      <c r="RY3" s="300"/>
      <c r="RZ3" s="300"/>
      <c r="SA3" s="300"/>
      <c r="SB3" s="300"/>
      <c r="SC3" s="300"/>
      <c r="SD3" s="300"/>
      <c r="SE3" s="300"/>
      <c r="SF3" s="300"/>
      <c r="SG3" s="300"/>
      <c r="SH3" s="300"/>
      <c r="SI3" s="300"/>
      <c r="SJ3" s="300"/>
      <c r="SK3" s="300"/>
      <c r="SL3" s="300"/>
      <c r="SM3" s="300"/>
      <c r="SN3" s="300"/>
      <c r="SO3" s="300"/>
      <c r="SP3" s="300"/>
      <c r="SQ3" s="300"/>
      <c r="SR3" s="300"/>
      <c r="SS3" s="300"/>
      <c r="ST3" s="300"/>
      <c r="SU3" s="300"/>
      <c r="SV3" s="300"/>
      <c r="SW3" s="300"/>
      <c r="SX3" s="300"/>
      <c r="SY3" s="300"/>
      <c r="SZ3" s="300"/>
      <c r="TA3" s="300"/>
      <c r="TB3" s="300"/>
      <c r="TC3" s="300"/>
      <c r="TD3" s="300"/>
      <c r="TE3" s="300"/>
      <c r="TF3" s="300"/>
      <c r="TG3" s="300"/>
      <c r="TH3" s="300"/>
      <c r="TI3" s="300"/>
      <c r="TJ3" s="300"/>
      <c r="TK3" s="300"/>
      <c r="TL3" s="300"/>
      <c r="TM3" s="300"/>
      <c r="TN3" s="300"/>
      <c r="TO3" s="300"/>
      <c r="TP3" s="300"/>
      <c r="TQ3" s="300"/>
      <c r="TR3" s="300"/>
      <c r="TS3" s="300"/>
      <c r="TT3" s="300"/>
      <c r="TU3" s="300"/>
      <c r="TV3" s="300"/>
      <c r="TW3" s="300"/>
      <c r="TX3" s="300"/>
      <c r="TY3" s="300"/>
      <c r="TZ3" s="300"/>
      <c r="UA3" s="300"/>
      <c r="UB3" s="300"/>
      <c r="UC3" s="300"/>
      <c r="UD3" s="300"/>
      <c r="UE3" s="300"/>
      <c r="UF3" s="300"/>
      <c r="UG3" s="300"/>
      <c r="UH3" s="300"/>
      <c r="UI3" s="300"/>
      <c r="UJ3" s="300"/>
      <c r="UK3" s="300"/>
      <c r="UL3" s="300"/>
      <c r="UM3" s="300"/>
      <c r="UN3" s="300"/>
      <c r="UO3" s="300"/>
      <c r="UP3" s="300"/>
      <c r="UQ3" s="300"/>
      <c r="UR3" s="300"/>
      <c r="US3" s="300"/>
      <c r="UT3" s="300"/>
      <c r="UU3" s="300"/>
      <c r="UV3" s="300"/>
      <c r="UW3" s="300"/>
      <c r="UX3" s="300"/>
      <c r="UY3" s="300"/>
      <c r="UZ3" s="300"/>
      <c r="VA3" s="300"/>
      <c r="VB3" s="300"/>
      <c r="VC3" s="300"/>
      <c r="VD3" s="300"/>
      <c r="VE3" s="300"/>
      <c r="VF3" s="300"/>
      <c r="VG3" s="300"/>
      <c r="VH3" s="300"/>
      <c r="VI3" s="300"/>
      <c r="VJ3" s="300"/>
      <c r="VK3" s="300"/>
      <c r="VL3" s="300"/>
      <c r="VM3" s="300"/>
      <c r="VN3" s="300"/>
      <c r="VO3" s="300"/>
      <c r="VP3" s="300"/>
      <c r="VQ3" s="300"/>
      <c r="VR3" s="300"/>
      <c r="VS3" s="300"/>
      <c r="VT3" s="300"/>
      <c r="VU3" s="300"/>
      <c r="VV3" s="300"/>
      <c r="VW3" s="300"/>
      <c r="VX3" s="300"/>
      <c r="VY3" s="300"/>
      <c r="VZ3" s="300"/>
      <c r="WA3" s="300"/>
      <c r="WB3" s="300"/>
      <c r="WC3" s="300"/>
      <c r="WD3" s="300"/>
      <c r="WE3" s="300"/>
      <c r="WF3" s="300"/>
      <c r="WG3" s="300"/>
      <c r="WH3" s="300"/>
      <c r="WI3" s="300"/>
      <c r="WJ3" s="300"/>
      <c r="WK3" s="300"/>
      <c r="WL3" s="300"/>
      <c r="WM3" s="300"/>
      <c r="WN3" s="300"/>
      <c r="WO3" s="300"/>
      <c r="WP3" s="300"/>
      <c r="WQ3" s="300"/>
      <c r="WR3" s="300"/>
      <c r="WS3" s="300"/>
      <c r="WT3" s="300"/>
      <c r="WU3" s="300"/>
      <c r="WV3" s="300"/>
      <c r="WW3" s="300"/>
      <c r="WX3" s="300"/>
      <c r="WY3" s="300"/>
      <c r="WZ3" s="300"/>
      <c r="XA3" s="300"/>
      <c r="XB3" s="300"/>
      <c r="XC3" s="300"/>
      <c r="XD3" s="300"/>
      <c r="XE3" s="300"/>
      <c r="XF3" s="300"/>
      <c r="XG3" s="300"/>
      <c r="XH3" s="300"/>
      <c r="XI3" s="300"/>
      <c r="XJ3" s="300"/>
      <c r="XK3" s="300"/>
      <c r="XL3" s="300"/>
      <c r="XM3" s="300"/>
      <c r="XN3" s="300"/>
      <c r="XO3" s="300"/>
      <c r="XP3" s="300"/>
      <c r="XQ3" s="300"/>
      <c r="XR3" s="300"/>
      <c r="XS3" s="300"/>
      <c r="XT3" s="300"/>
      <c r="XU3" s="300"/>
      <c r="XV3" s="300"/>
      <c r="XW3" s="300"/>
      <c r="XX3" s="300"/>
      <c r="XY3" s="300"/>
      <c r="XZ3" s="300"/>
      <c r="YA3" s="300"/>
      <c r="YB3" s="300"/>
      <c r="YC3" s="300"/>
      <c r="YD3" s="300"/>
      <c r="YE3" s="300"/>
      <c r="YF3" s="300"/>
      <c r="YG3" s="300"/>
      <c r="YH3" s="300"/>
      <c r="YI3" s="300"/>
      <c r="YJ3" s="300"/>
      <c r="YK3" s="300"/>
      <c r="YL3" s="300"/>
      <c r="YM3" s="300"/>
      <c r="YN3" s="300"/>
      <c r="YO3" s="300"/>
      <c r="YP3" s="300"/>
      <c r="YQ3" s="300"/>
      <c r="YR3" s="300"/>
      <c r="YS3" s="300"/>
      <c r="YT3" s="300"/>
      <c r="YU3" s="300"/>
      <c r="YV3" s="300"/>
      <c r="YW3" s="300"/>
      <c r="YX3" s="300"/>
      <c r="YY3" s="300"/>
      <c r="YZ3" s="300"/>
      <c r="ZA3" s="300"/>
      <c r="ZB3" s="300"/>
      <c r="ZC3" s="300"/>
      <c r="ZD3" s="300"/>
      <c r="ZE3" s="300"/>
      <c r="ZF3" s="300"/>
      <c r="ZG3" s="300"/>
      <c r="ZH3" s="300"/>
      <c r="ZI3" s="300"/>
      <c r="ZJ3" s="300"/>
      <c r="ZK3" s="300"/>
      <c r="ZL3" s="300"/>
      <c r="ZM3" s="300"/>
      <c r="ZN3" s="300"/>
      <c r="ZO3" s="300"/>
      <c r="ZP3" s="300"/>
      <c r="ZQ3" s="300"/>
      <c r="ZR3" s="300"/>
      <c r="ZS3" s="300"/>
      <c r="ZT3" s="300"/>
      <c r="ZU3" s="300"/>
      <c r="ZV3" s="300"/>
      <c r="ZW3" s="300"/>
      <c r="ZX3" s="300"/>
      <c r="ZY3" s="300"/>
      <c r="ZZ3" s="300"/>
      <c r="AAA3" s="300"/>
      <c r="AAB3" s="300"/>
      <c r="AAC3" s="300"/>
      <c r="AAD3" s="300"/>
      <c r="AAE3" s="300"/>
      <c r="AAF3" s="300"/>
      <c r="AAG3" s="300"/>
      <c r="AAH3" s="300"/>
      <c r="AAI3" s="300"/>
      <c r="AAJ3" s="300"/>
      <c r="AAK3" s="300"/>
      <c r="AAL3" s="300"/>
      <c r="AAM3" s="300"/>
      <c r="AAN3" s="300"/>
      <c r="AAO3" s="300"/>
      <c r="AAP3" s="300"/>
      <c r="AAQ3" s="300"/>
      <c r="AAR3" s="300"/>
      <c r="AAS3" s="300"/>
      <c r="AAT3" s="300"/>
      <c r="AAU3" s="300"/>
      <c r="AAV3" s="300"/>
      <c r="AAW3" s="300"/>
      <c r="AAX3" s="300"/>
      <c r="AAY3" s="300"/>
      <c r="AAZ3" s="300"/>
      <c r="ABA3" s="300"/>
      <c r="ABB3" s="300"/>
      <c r="ABC3" s="300"/>
      <c r="ABD3" s="300"/>
      <c r="ABE3" s="300"/>
      <c r="ABF3" s="300"/>
      <c r="ABG3" s="300"/>
      <c r="ABH3" s="300"/>
      <c r="ABI3" s="300"/>
      <c r="ABJ3" s="300"/>
      <c r="ABK3" s="300"/>
      <c r="ABL3" s="300"/>
      <c r="ABM3" s="300"/>
      <c r="ABN3" s="300"/>
      <c r="ABO3" s="300"/>
      <c r="ABP3" s="300"/>
      <c r="ABQ3" s="300"/>
      <c r="ABR3" s="300"/>
      <c r="ABS3" s="300"/>
      <c r="ABT3" s="300"/>
      <c r="ABU3" s="300"/>
      <c r="ABV3" s="300"/>
      <c r="ABW3" s="300"/>
      <c r="ABX3" s="300"/>
      <c r="ABY3" s="300"/>
      <c r="ABZ3" s="300"/>
      <c r="ACA3" s="300"/>
      <c r="ACB3" s="300"/>
      <c r="ACC3" s="300"/>
      <c r="ACD3" s="300"/>
      <c r="ACE3" s="300"/>
      <c r="ACF3" s="300"/>
      <c r="ACG3" s="300"/>
      <c r="ACH3" s="300"/>
      <c r="ACI3" s="300"/>
      <c r="ACJ3" s="300"/>
      <c r="ACK3" s="300"/>
      <c r="ACL3" s="300"/>
      <c r="ACM3" s="300"/>
      <c r="ACN3" s="300"/>
      <c r="ACO3" s="300"/>
      <c r="ACP3" s="300"/>
      <c r="ACQ3" s="300"/>
      <c r="ACR3" s="300"/>
      <c r="ACS3" s="300"/>
      <c r="ACT3" s="300"/>
      <c r="ACU3" s="300"/>
      <c r="ACV3" s="300"/>
      <c r="ACW3" s="300"/>
      <c r="ACX3" s="300"/>
      <c r="ACY3" s="300"/>
      <c r="ACZ3" s="300"/>
      <c r="ADA3" s="300"/>
      <c r="ADB3" s="300"/>
      <c r="ADC3" s="300"/>
      <c r="ADD3" s="300"/>
      <c r="ADE3" s="300"/>
      <c r="ADF3" s="300"/>
      <c r="ADG3" s="300"/>
      <c r="ADH3" s="300"/>
      <c r="ADI3" s="300"/>
      <c r="ADJ3" s="300"/>
      <c r="ADK3" s="300"/>
      <c r="ADL3" s="300"/>
      <c r="ADM3" s="300"/>
      <c r="ADN3" s="300"/>
      <c r="ADO3" s="300"/>
      <c r="ADP3" s="300"/>
      <c r="ADQ3" s="300"/>
      <c r="ADR3" s="300"/>
      <c r="ADS3" s="300"/>
      <c r="ADT3" s="300"/>
      <c r="ADU3" s="300"/>
      <c r="ADV3" s="300"/>
      <c r="ADW3" s="300"/>
      <c r="ADX3" s="300"/>
      <c r="ADY3" s="300"/>
      <c r="ADZ3" s="300"/>
      <c r="AEA3" s="300"/>
      <c r="AEB3" s="300"/>
      <c r="AEC3" s="300"/>
      <c r="AED3" s="300"/>
      <c r="AEE3" s="300"/>
      <c r="AEF3" s="300"/>
      <c r="AEG3" s="300"/>
      <c r="AEH3" s="300"/>
      <c r="AEI3" s="300"/>
      <c r="AEJ3" s="300"/>
      <c r="AEK3" s="300"/>
      <c r="AEL3" s="300"/>
      <c r="AEM3" s="300"/>
      <c r="AEN3" s="300"/>
      <c r="AEO3" s="300"/>
      <c r="AEP3" s="300"/>
      <c r="AEQ3" s="300"/>
      <c r="AER3" s="300"/>
      <c r="AES3" s="300"/>
      <c r="AET3" s="300"/>
      <c r="AEU3" s="300"/>
      <c r="AEV3" s="300"/>
      <c r="AEW3" s="300"/>
      <c r="AEX3" s="300"/>
      <c r="AEY3" s="300"/>
      <c r="AEZ3" s="300"/>
      <c r="AFA3" s="300"/>
      <c r="AFB3" s="300"/>
      <c r="AFC3" s="300"/>
      <c r="AFD3" s="300"/>
      <c r="AFE3" s="300"/>
      <c r="AFF3" s="300"/>
      <c r="AFG3" s="300"/>
      <c r="AFH3" s="300"/>
      <c r="AFI3" s="300"/>
      <c r="AFJ3" s="300"/>
      <c r="AFK3" s="300"/>
      <c r="AFL3" s="300"/>
      <c r="AFM3" s="300"/>
      <c r="AFN3" s="300"/>
      <c r="AFO3" s="300"/>
      <c r="AFP3" s="300"/>
      <c r="AFQ3" s="300"/>
      <c r="AFR3" s="300"/>
      <c r="AFS3" s="300"/>
      <c r="AFT3" s="300"/>
      <c r="AFU3" s="300"/>
      <c r="AFV3" s="300"/>
      <c r="AFW3" s="300"/>
      <c r="AFX3" s="300"/>
      <c r="AFY3" s="300"/>
      <c r="AFZ3" s="300"/>
      <c r="AGA3" s="300"/>
      <c r="AGB3" s="300"/>
      <c r="AGC3" s="300"/>
      <c r="AGD3" s="300"/>
      <c r="AGE3" s="300"/>
      <c r="AGF3" s="300"/>
      <c r="AGG3" s="300"/>
      <c r="AGH3" s="300"/>
      <c r="AGI3" s="300"/>
      <c r="AGJ3" s="300"/>
      <c r="AGK3" s="300"/>
      <c r="AGL3" s="300"/>
      <c r="AGM3" s="300"/>
      <c r="AGN3" s="300"/>
      <c r="AGO3" s="300"/>
      <c r="AGP3" s="300"/>
      <c r="AGQ3" s="300"/>
      <c r="AGR3" s="300"/>
      <c r="AGS3" s="300"/>
      <c r="AGT3" s="300"/>
      <c r="AGU3" s="300"/>
      <c r="AGV3" s="300"/>
      <c r="AGW3" s="300"/>
      <c r="AGX3" s="300"/>
      <c r="AGY3" s="300"/>
      <c r="AGZ3" s="300"/>
      <c r="AHA3" s="300"/>
      <c r="AHB3" s="300"/>
      <c r="AHC3" s="300"/>
      <c r="AHD3" s="300"/>
      <c r="AHE3" s="300"/>
      <c r="AHF3" s="300"/>
      <c r="AHG3" s="300"/>
      <c r="AHH3" s="300"/>
      <c r="AHI3" s="300"/>
      <c r="AHJ3" s="300"/>
      <c r="AHK3" s="300"/>
      <c r="AHL3" s="300"/>
      <c r="AHM3" s="300"/>
      <c r="AHN3" s="300"/>
      <c r="AHO3" s="300"/>
      <c r="AHP3" s="300"/>
      <c r="AHQ3" s="300"/>
      <c r="AHR3" s="300"/>
      <c r="AHS3" s="300"/>
      <c r="AHT3" s="300"/>
      <c r="AHU3" s="300"/>
      <c r="AHV3" s="300"/>
      <c r="AHW3" s="300"/>
      <c r="AHX3" s="300"/>
      <c r="AHY3" s="300"/>
      <c r="AHZ3" s="300"/>
      <c r="AIA3" s="300"/>
      <c r="AIB3" s="300"/>
      <c r="AIC3" s="300"/>
      <c r="AID3" s="300"/>
      <c r="AIE3" s="300"/>
      <c r="AIF3" s="300"/>
      <c r="AIG3" s="300"/>
      <c r="AIH3" s="300"/>
      <c r="AII3" s="300"/>
      <c r="AIJ3" s="300"/>
      <c r="AIK3" s="300"/>
      <c r="AIL3" s="300"/>
      <c r="AIM3" s="300"/>
      <c r="AIN3" s="300"/>
      <c r="AIO3" s="300"/>
      <c r="AIP3" s="300"/>
      <c r="AIQ3" s="300"/>
      <c r="AIR3" s="300"/>
      <c r="AIS3" s="300"/>
      <c r="AIT3" s="300"/>
      <c r="AIU3" s="300"/>
      <c r="AIV3" s="300"/>
      <c r="AIW3" s="300"/>
      <c r="AIX3" s="300"/>
      <c r="AIY3" s="300"/>
      <c r="AIZ3" s="300"/>
      <c r="AJA3" s="300"/>
      <c r="AJB3" s="300"/>
      <c r="AJC3" s="300"/>
      <c r="AJD3" s="300"/>
      <c r="AJE3" s="300"/>
      <c r="AJF3" s="300"/>
      <c r="AJG3" s="300"/>
      <c r="AJH3" s="300"/>
      <c r="AJI3" s="300"/>
      <c r="AJJ3" s="300"/>
      <c r="AJK3" s="300"/>
      <c r="AJL3" s="300"/>
      <c r="AJM3" s="300"/>
      <c r="AJN3" s="300"/>
      <c r="AJO3" s="300"/>
      <c r="AJP3" s="300"/>
      <c r="AJQ3" s="300"/>
      <c r="AJR3" s="300"/>
      <c r="AJS3" s="300"/>
      <c r="AJT3" s="300"/>
      <c r="AJU3" s="300"/>
      <c r="AJV3" s="300"/>
      <c r="AJW3" s="300"/>
      <c r="AJX3" s="300"/>
      <c r="AJY3" s="300"/>
      <c r="AJZ3" s="300"/>
      <c r="AKA3" s="300"/>
      <c r="AKB3" s="300"/>
      <c r="AKC3" s="300"/>
      <c r="AKD3" s="300"/>
      <c r="AKE3" s="300"/>
      <c r="AKF3" s="300"/>
      <c r="AKG3" s="300"/>
      <c r="AKH3" s="300"/>
      <c r="AKI3" s="300"/>
      <c r="AKJ3" s="300"/>
      <c r="AKK3" s="300"/>
      <c r="AKL3" s="300"/>
      <c r="AKM3" s="300"/>
      <c r="AKN3" s="300"/>
      <c r="AKO3" s="300"/>
      <c r="AKP3" s="300"/>
      <c r="AKQ3" s="300"/>
      <c r="AKR3" s="300"/>
      <c r="AKS3" s="300"/>
      <c r="AKT3" s="300"/>
      <c r="AKU3" s="300"/>
      <c r="AKV3" s="300"/>
      <c r="AKW3" s="300"/>
      <c r="AKX3" s="300"/>
      <c r="AKY3" s="300"/>
      <c r="AKZ3" s="300"/>
      <c r="ALA3" s="300"/>
      <c r="ALB3" s="300"/>
      <c r="ALC3" s="300"/>
      <c r="ALD3" s="300"/>
      <c r="ALE3" s="300"/>
      <c r="ALF3" s="300"/>
      <c r="ALG3" s="300"/>
      <c r="ALH3" s="300"/>
      <c r="ALI3" s="300"/>
      <c r="ALJ3" s="300"/>
      <c r="ALK3" s="300"/>
      <c r="ALL3" s="300"/>
      <c r="ALM3" s="300"/>
      <c r="ALN3" s="300"/>
      <c r="ALO3" s="300"/>
      <c r="ALP3" s="300"/>
      <c r="ALQ3" s="300"/>
      <c r="ALR3" s="300"/>
      <c r="ALS3" s="300"/>
      <c r="ALT3" s="300"/>
      <c r="ALU3" s="300"/>
      <c r="ALV3" s="300"/>
      <c r="ALW3" s="300"/>
      <c r="ALX3" s="300"/>
      <c r="ALY3" s="300"/>
      <c r="ALZ3" s="300"/>
      <c r="AMA3" s="300"/>
      <c r="AMB3" s="300"/>
      <c r="AMC3" s="300"/>
      <c r="AMD3" s="300"/>
      <c r="AME3" s="300"/>
      <c r="AMF3" s="300"/>
      <c r="AMG3" s="300"/>
      <c r="AMH3" s="300"/>
      <c r="AMI3" s="300"/>
      <c r="AMJ3" s="300"/>
    </row>
    <row r="4" customFormat="false" ht="13.8" hidden="false" customHeight="false" outlineLevel="0" collapsed="false">
      <c r="A4" s="255" t="s">
        <v>490</v>
      </c>
      <c r="B4" s="301" t="s">
        <v>491</v>
      </c>
      <c r="C4" s="302" t="n">
        <v>50613</v>
      </c>
    </row>
    <row r="5" customFormat="false" ht="14.15" hidden="false" customHeight="false" outlineLevel="0" collapsed="false">
      <c r="A5" s="255" t="s">
        <v>492</v>
      </c>
      <c r="B5" s="301" t="s">
        <v>493</v>
      </c>
      <c r="C5" s="303" t="n">
        <v>0.43</v>
      </c>
    </row>
    <row r="6" customFormat="false" ht="13.8" hidden="false" customHeight="false" outlineLevel="0" collapsed="false">
      <c r="A6" s="255" t="s">
        <v>494</v>
      </c>
      <c r="B6" s="301" t="s">
        <v>495</v>
      </c>
      <c r="C6" s="304" t="n">
        <f aca="false">C4*C5/1000</f>
        <v>21.76359</v>
      </c>
    </row>
    <row r="7" customFormat="false" ht="13.8" hidden="false" customHeight="false" outlineLevel="0" collapsed="false">
      <c r="A7" s="255" t="s">
        <v>496</v>
      </c>
      <c r="B7" s="301" t="s">
        <v>497</v>
      </c>
      <c r="C7" s="305" t="n">
        <f aca="false">(C6*30)</f>
        <v>652.9077</v>
      </c>
    </row>
    <row r="8" customFormat="false" ht="13.8" hidden="false" customHeight="false" outlineLevel="0" collapsed="false">
      <c r="A8" s="255" t="s">
        <v>498</v>
      </c>
      <c r="B8" s="301" t="s">
        <v>59</v>
      </c>
      <c r="C8" s="306" t="n">
        <v>3</v>
      </c>
    </row>
    <row r="9" customFormat="false" ht="13.8" hidden="false" customHeight="false" outlineLevel="0" collapsed="false">
      <c r="A9" s="255" t="s">
        <v>499</v>
      </c>
      <c r="B9" s="301" t="s">
        <v>495</v>
      </c>
      <c r="C9" s="304" t="n">
        <f aca="false">IFERROR(C6*7/C8,0)</f>
        <v>50.78171</v>
      </c>
    </row>
    <row r="10" customFormat="false" ht="13.8" hidden="false" customHeight="false" outlineLevel="0" collapsed="false">
      <c r="A10" s="255" t="s">
        <v>500</v>
      </c>
      <c r="B10" s="301" t="s">
        <v>501</v>
      </c>
      <c r="C10" s="252" t="n">
        <v>500</v>
      </c>
    </row>
    <row r="11" customFormat="false" ht="13.8" hidden="false" customHeight="false" outlineLevel="0" collapsed="false">
      <c r="A11" s="255" t="s">
        <v>502</v>
      </c>
      <c r="B11" s="301"/>
      <c r="C11" s="307" t="n">
        <v>1</v>
      </c>
    </row>
    <row r="12" customFormat="false" ht="13.8" hidden="false" customHeight="false" outlineLevel="0" collapsed="false">
      <c r="A12" s="255" t="s">
        <v>503</v>
      </c>
      <c r="B12" s="301" t="s">
        <v>504</v>
      </c>
      <c r="C12" s="307" t="n">
        <v>15</v>
      </c>
    </row>
    <row r="13" customFormat="false" ht="14.15" hidden="false" customHeight="false" outlineLevel="0" collapsed="false">
      <c r="A13" s="255" t="s">
        <v>505</v>
      </c>
      <c r="B13" s="301" t="s">
        <v>497</v>
      </c>
      <c r="C13" s="252" t="n">
        <f aca="false">IF(AND(C12&gt;=15,C11=1),5.8,C12/2)</f>
        <v>5.8</v>
      </c>
    </row>
    <row r="14" customFormat="false" ht="13.8" hidden="false" customHeight="false" outlineLevel="0" collapsed="false">
      <c r="A14" s="255" t="s">
        <v>506</v>
      </c>
      <c r="B14" s="301"/>
      <c r="C14" s="304" t="n">
        <f aca="false">IFERROR(C9/C13,0)</f>
        <v>8.75546724137931</v>
      </c>
    </row>
    <row r="15" customFormat="false" ht="13.8" hidden="false" customHeight="false" outlineLevel="0" collapsed="false">
      <c r="A15" s="255" t="s">
        <v>507</v>
      </c>
      <c r="B15" s="301"/>
      <c r="C15" s="308" t="n">
        <v>2.5</v>
      </c>
    </row>
    <row r="16" customFormat="false" ht="13.8" hidden="false" customHeight="false" outlineLevel="0" collapsed="false">
      <c r="A16" s="309" t="s">
        <v>508</v>
      </c>
      <c r="B16" s="310"/>
      <c r="C16" s="311" t="n">
        <f aca="false">IFERROR(C14/C15,0)</f>
        <v>3.50218689655172</v>
      </c>
    </row>
  </sheetData>
  <mergeCells count="1">
    <mergeCell ref="A1:C1"/>
  </mergeCells>
  <conditionalFormatting sqref="C13">
    <cfRule type="expression" priority="2" aboveAverage="0" equalAverage="0" bottom="0" percent="0" rank="0" text="" dxfId="0">
      <formula>"SE(E(C20&gt;=15;C19=1))"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6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58.35"/>
    <col collapsed="false" customWidth="true" hidden="false" outlineLevel="0" max="2" min="2" style="115" width="11.15"/>
    <col collapsed="false" customWidth="true" hidden="false" outlineLevel="0" max="3" min="3" style="115" width="16.69"/>
    <col collapsed="false" customWidth="true" hidden="false" outlineLevel="0" max="64" min="4" style="115" width="9.14"/>
    <col collapsed="false" customWidth="true" hidden="false" outlineLevel="0" max="1024" min="65" style="3" width="9.14"/>
  </cols>
  <sheetData>
    <row r="1" customFormat="false" ht="17.35" hidden="false" customHeight="false" outlineLevel="0" collapsed="false">
      <c r="A1" s="293" t="s">
        <v>486</v>
      </c>
      <c r="B1" s="293"/>
      <c r="C1" s="293"/>
    </row>
    <row r="2" customFormat="false" ht="17.35" hidden="false" customHeight="false" outlineLevel="0" collapsed="false">
      <c r="A2" s="294"/>
      <c r="B2" s="295"/>
      <c r="C2" s="296"/>
    </row>
    <row r="3" customFormat="false" ht="13.8" hidden="false" customHeight="false" outlineLevel="0" collapsed="false">
      <c r="A3" s="297" t="s">
        <v>487</v>
      </c>
      <c r="B3" s="298" t="s">
        <v>488</v>
      </c>
      <c r="C3" s="299" t="s">
        <v>489</v>
      </c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300"/>
      <c r="AU3" s="300"/>
      <c r="AV3" s="300"/>
      <c r="AW3" s="300"/>
      <c r="AX3" s="300"/>
      <c r="AY3" s="300"/>
      <c r="AZ3" s="300"/>
      <c r="BA3" s="300"/>
      <c r="BB3" s="300"/>
      <c r="BC3" s="300"/>
      <c r="BD3" s="300"/>
      <c r="BE3" s="300"/>
      <c r="BF3" s="300"/>
      <c r="BG3" s="300"/>
      <c r="BH3" s="300"/>
      <c r="BI3" s="300"/>
      <c r="BJ3" s="300"/>
      <c r="BK3" s="300"/>
      <c r="BL3" s="300"/>
      <c r="BM3" s="300"/>
      <c r="BN3" s="300"/>
      <c r="BO3" s="300"/>
      <c r="BP3" s="300"/>
      <c r="BQ3" s="300"/>
      <c r="BR3" s="300"/>
      <c r="BS3" s="300"/>
      <c r="BT3" s="300"/>
      <c r="BU3" s="300"/>
      <c r="BV3" s="300"/>
      <c r="BW3" s="300"/>
      <c r="BX3" s="300"/>
      <c r="BY3" s="300"/>
      <c r="BZ3" s="300"/>
      <c r="CA3" s="300"/>
      <c r="CB3" s="300"/>
      <c r="CC3" s="300"/>
      <c r="CD3" s="300"/>
      <c r="CE3" s="300"/>
      <c r="CF3" s="300"/>
      <c r="CG3" s="300"/>
      <c r="CH3" s="300"/>
      <c r="CI3" s="300"/>
      <c r="CJ3" s="300"/>
      <c r="CK3" s="300"/>
      <c r="CL3" s="300"/>
      <c r="CM3" s="300"/>
      <c r="CN3" s="300"/>
      <c r="CO3" s="300"/>
      <c r="CP3" s="300"/>
      <c r="CQ3" s="300"/>
      <c r="CR3" s="300"/>
      <c r="CS3" s="300"/>
      <c r="CT3" s="300"/>
      <c r="CU3" s="300"/>
      <c r="CV3" s="300"/>
      <c r="CW3" s="300"/>
      <c r="CX3" s="300"/>
      <c r="CY3" s="300"/>
      <c r="CZ3" s="300"/>
      <c r="DA3" s="300"/>
      <c r="DB3" s="300"/>
      <c r="DC3" s="300"/>
      <c r="DD3" s="300"/>
      <c r="DE3" s="300"/>
      <c r="DF3" s="300"/>
      <c r="DG3" s="300"/>
      <c r="DH3" s="300"/>
      <c r="DI3" s="300"/>
      <c r="DJ3" s="300"/>
      <c r="DK3" s="300"/>
      <c r="DL3" s="300"/>
      <c r="DM3" s="300"/>
      <c r="DN3" s="300"/>
      <c r="DO3" s="300"/>
      <c r="DP3" s="300"/>
      <c r="DQ3" s="300"/>
      <c r="DR3" s="300"/>
      <c r="DS3" s="300"/>
      <c r="DT3" s="300"/>
      <c r="DU3" s="300"/>
      <c r="DV3" s="300"/>
      <c r="DW3" s="300"/>
      <c r="DX3" s="300"/>
      <c r="DY3" s="300"/>
      <c r="DZ3" s="300"/>
      <c r="EA3" s="300"/>
      <c r="EB3" s="300"/>
      <c r="EC3" s="300"/>
      <c r="ED3" s="300"/>
      <c r="EE3" s="300"/>
      <c r="EF3" s="300"/>
      <c r="EG3" s="300"/>
      <c r="EH3" s="300"/>
      <c r="EI3" s="300"/>
      <c r="EJ3" s="300"/>
      <c r="EK3" s="300"/>
      <c r="EL3" s="300"/>
      <c r="EM3" s="300"/>
      <c r="EN3" s="300"/>
      <c r="EO3" s="300"/>
      <c r="EP3" s="300"/>
      <c r="EQ3" s="300"/>
      <c r="ER3" s="300"/>
      <c r="ES3" s="300"/>
      <c r="ET3" s="300"/>
      <c r="EU3" s="300"/>
      <c r="EV3" s="300"/>
      <c r="EW3" s="300"/>
      <c r="EX3" s="300"/>
      <c r="EY3" s="300"/>
      <c r="EZ3" s="300"/>
      <c r="FA3" s="300"/>
      <c r="FB3" s="300"/>
      <c r="FC3" s="300"/>
      <c r="FD3" s="300"/>
      <c r="FE3" s="300"/>
      <c r="FF3" s="300"/>
      <c r="FG3" s="300"/>
      <c r="FH3" s="300"/>
      <c r="FI3" s="300"/>
      <c r="FJ3" s="300"/>
      <c r="FK3" s="300"/>
      <c r="FL3" s="300"/>
      <c r="FM3" s="300"/>
      <c r="FN3" s="300"/>
      <c r="FO3" s="300"/>
      <c r="FP3" s="300"/>
      <c r="FQ3" s="300"/>
      <c r="FR3" s="300"/>
      <c r="FS3" s="300"/>
      <c r="FT3" s="300"/>
      <c r="FU3" s="300"/>
      <c r="FV3" s="300"/>
      <c r="FW3" s="300"/>
      <c r="FX3" s="300"/>
      <c r="FY3" s="300"/>
      <c r="FZ3" s="300"/>
      <c r="GA3" s="300"/>
      <c r="GB3" s="300"/>
      <c r="GC3" s="300"/>
      <c r="GD3" s="300"/>
      <c r="GE3" s="300"/>
      <c r="GF3" s="300"/>
      <c r="GG3" s="300"/>
      <c r="GH3" s="300"/>
      <c r="GI3" s="300"/>
      <c r="GJ3" s="300"/>
      <c r="GK3" s="300"/>
      <c r="GL3" s="300"/>
      <c r="GM3" s="300"/>
      <c r="GN3" s="300"/>
      <c r="GO3" s="300"/>
      <c r="GP3" s="300"/>
      <c r="GQ3" s="300"/>
      <c r="GR3" s="300"/>
      <c r="GS3" s="300"/>
      <c r="GT3" s="300"/>
      <c r="GU3" s="300"/>
      <c r="GV3" s="300"/>
      <c r="GW3" s="300"/>
      <c r="GX3" s="300"/>
      <c r="GY3" s="300"/>
      <c r="GZ3" s="300"/>
      <c r="HA3" s="300"/>
      <c r="HB3" s="300"/>
      <c r="HC3" s="300"/>
      <c r="HD3" s="300"/>
      <c r="HE3" s="300"/>
      <c r="HF3" s="300"/>
      <c r="HG3" s="300"/>
      <c r="HH3" s="300"/>
      <c r="HI3" s="300"/>
      <c r="HJ3" s="300"/>
      <c r="HK3" s="300"/>
      <c r="HL3" s="300"/>
      <c r="HM3" s="300"/>
      <c r="HN3" s="300"/>
      <c r="HO3" s="300"/>
      <c r="HP3" s="300"/>
      <c r="HQ3" s="300"/>
      <c r="HR3" s="300"/>
      <c r="HS3" s="300"/>
      <c r="HT3" s="300"/>
      <c r="HU3" s="300"/>
      <c r="HV3" s="300"/>
      <c r="HW3" s="300"/>
      <c r="HX3" s="300"/>
      <c r="HY3" s="300"/>
      <c r="HZ3" s="300"/>
      <c r="IA3" s="300"/>
      <c r="IB3" s="300"/>
      <c r="IC3" s="300"/>
      <c r="ID3" s="300"/>
      <c r="IE3" s="300"/>
      <c r="IF3" s="300"/>
      <c r="IG3" s="300"/>
      <c r="IH3" s="300"/>
      <c r="II3" s="300"/>
      <c r="IJ3" s="300"/>
      <c r="IK3" s="300"/>
      <c r="IL3" s="300"/>
      <c r="IM3" s="300"/>
      <c r="IN3" s="300"/>
      <c r="IO3" s="300"/>
      <c r="IP3" s="300"/>
      <c r="IQ3" s="300"/>
      <c r="IR3" s="300"/>
      <c r="IS3" s="300"/>
      <c r="IT3" s="300"/>
      <c r="IU3" s="300"/>
      <c r="IV3" s="300"/>
      <c r="IW3" s="300"/>
      <c r="IX3" s="300"/>
      <c r="IY3" s="300"/>
      <c r="IZ3" s="300"/>
      <c r="JA3" s="300"/>
      <c r="JB3" s="300"/>
      <c r="JC3" s="300"/>
      <c r="JD3" s="300"/>
      <c r="JE3" s="300"/>
      <c r="JF3" s="300"/>
      <c r="JG3" s="300"/>
      <c r="JH3" s="300"/>
      <c r="JI3" s="300"/>
      <c r="JJ3" s="300"/>
      <c r="JK3" s="300"/>
      <c r="JL3" s="300"/>
      <c r="JM3" s="300"/>
      <c r="JN3" s="300"/>
      <c r="JO3" s="300"/>
      <c r="JP3" s="300"/>
      <c r="JQ3" s="300"/>
      <c r="JR3" s="300"/>
      <c r="JS3" s="300"/>
      <c r="JT3" s="300"/>
      <c r="JU3" s="300"/>
      <c r="JV3" s="300"/>
      <c r="JW3" s="300"/>
      <c r="JX3" s="300"/>
      <c r="JY3" s="300"/>
      <c r="JZ3" s="300"/>
      <c r="KA3" s="300"/>
      <c r="KB3" s="300"/>
      <c r="KC3" s="300"/>
      <c r="KD3" s="300"/>
      <c r="KE3" s="300"/>
      <c r="KF3" s="300"/>
      <c r="KG3" s="300"/>
      <c r="KH3" s="300"/>
      <c r="KI3" s="300"/>
      <c r="KJ3" s="300"/>
      <c r="KK3" s="300"/>
      <c r="KL3" s="300"/>
      <c r="KM3" s="300"/>
      <c r="KN3" s="300"/>
      <c r="KO3" s="300"/>
      <c r="KP3" s="300"/>
      <c r="KQ3" s="300"/>
      <c r="KR3" s="300"/>
      <c r="KS3" s="300"/>
      <c r="KT3" s="300"/>
      <c r="KU3" s="300"/>
      <c r="KV3" s="300"/>
      <c r="KW3" s="300"/>
      <c r="KX3" s="300"/>
      <c r="KY3" s="300"/>
      <c r="KZ3" s="300"/>
      <c r="LA3" s="300"/>
      <c r="LB3" s="300"/>
      <c r="LC3" s="300"/>
      <c r="LD3" s="300"/>
      <c r="LE3" s="300"/>
      <c r="LF3" s="300"/>
      <c r="LG3" s="300"/>
      <c r="LH3" s="300"/>
      <c r="LI3" s="300"/>
      <c r="LJ3" s="300"/>
      <c r="LK3" s="300"/>
      <c r="LL3" s="300"/>
      <c r="LM3" s="300"/>
      <c r="LN3" s="300"/>
      <c r="LO3" s="300"/>
      <c r="LP3" s="300"/>
      <c r="LQ3" s="300"/>
      <c r="LR3" s="300"/>
      <c r="LS3" s="300"/>
      <c r="LT3" s="300"/>
      <c r="LU3" s="300"/>
      <c r="LV3" s="300"/>
      <c r="LW3" s="300"/>
      <c r="LX3" s="300"/>
      <c r="LY3" s="300"/>
      <c r="LZ3" s="300"/>
      <c r="MA3" s="300"/>
      <c r="MB3" s="300"/>
      <c r="MC3" s="300"/>
      <c r="MD3" s="300"/>
      <c r="ME3" s="300"/>
      <c r="MF3" s="300"/>
      <c r="MG3" s="300"/>
      <c r="MH3" s="300"/>
      <c r="MI3" s="300"/>
      <c r="MJ3" s="300"/>
      <c r="MK3" s="300"/>
      <c r="ML3" s="300"/>
      <c r="MM3" s="300"/>
      <c r="MN3" s="300"/>
      <c r="MO3" s="300"/>
      <c r="MP3" s="300"/>
      <c r="MQ3" s="300"/>
      <c r="MR3" s="300"/>
      <c r="MS3" s="300"/>
      <c r="MT3" s="300"/>
      <c r="MU3" s="300"/>
      <c r="MV3" s="300"/>
      <c r="MW3" s="300"/>
      <c r="MX3" s="300"/>
      <c r="MY3" s="300"/>
      <c r="MZ3" s="300"/>
      <c r="NA3" s="300"/>
      <c r="NB3" s="300"/>
      <c r="NC3" s="300"/>
      <c r="ND3" s="300"/>
      <c r="NE3" s="300"/>
      <c r="NF3" s="300"/>
      <c r="NG3" s="300"/>
      <c r="NH3" s="300"/>
      <c r="NI3" s="300"/>
      <c r="NJ3" s="300"/>
      <c r="NK3" s="300"/>
      <c r="NL3" s="300"/>
      <c r="NM3" s="300"/>
      <c r="NN3" s="300"/>
      <c r="NO3" s="300"/>
      <c r="NP3" s="300"/>
      <c r="NQ3" s="300"/>
      <c r="NR3" s="300"/>
      <c r="NS3" s="300"/>
      <c r="NT3" s="300"/>
      <c r="NU3" s="300"/>
      <c r="NV3" s="300"/>
      <c r="NW3" s="300"/>
      <c r="NX3" s="300"/>
      <c r="NY3" s="300"/>
      <c r="NZ3" s="300"/>
      <c r="OA3" s="300"/>
      <c r="OB3" s="300"/>
      <c r="OC3" s="300"/>
      <c r="OD3" s="300"/>
      <c r="OE3" s="300"/>
      <c r="OF3" s="300"/>
      <c r="OG3" s="300"/>
      <c r="OH3" s="300"/>
      <c r="OI3" s="300"/>
      <c r="OJ3" s="300"/>
      <c r="OK3" s="300"/>
      <c r="OL3" s="300"/>
      <c r="OM3" s="300"/>
      <c r="ON3" s="300"/>
      <c r="OO3" s="300"/>
      <c r="OP3" s="300"/>
      <c r="OQ3" s="300"/>
      <c r="OR3" s="300"/>
      <c r="OS3" s="300"/>
      <c r="OT3" s="300"/>
      <c r="OU3" s="300"/>
      <c r="OV3" s="300"/>
      <c r="OW3" s="300"/>
      <c r="OX3" s="300"/>
      <c r="OY3" s="300"/>
      <c r="OZ3" s="300"/>
      <c r="PA3" s="300"/>
      <c r="PB3" s="300"/>
      <c r="PC3" s="300"/>
      <c r="PD3" s="300"/>
      <c r="PE3" s="300"/>
      <c r="PF3" s="300"/>
      <c r="PG3" s="300"/>
      <c r="PH3" s="300"/>
      <c r="PI3" s="300"/>
      <c r="PJ3" s="300"/>
      <c r="PK3" s="300"/>
      <c r="PL3" s="300"/>
      <c r="PM3" s="300"/>
      <c r="PN3" s="300"/>
      <c r="PO3" s="300"/>
      <c r="PP3" s="300"/>
      <c r="PQ3" s="300"/>
      <c r="PR3" s="300"/>
      <c r="PS3" s="300"/>
      <c r="PT3" s="300"/>
      <c r="PU3" s="300"/>
      <c r="PV3" s="300"/>
      <c r="PW3" s="300"/>
      <c r="PX3" s="300"/>
      <c r="PY3" s="300"/>
      <c r="PZ3" s="300"/>
      <c r="QA3" s="300"/>
      <c r="QB3" s="300"/>
      <c r="QC3" s="300"/>
      <c r="QD3" s="300"/>
      <c r="QE3" s="300"/>
      <c r="QF3" s="300"/>
      <c r="QG3" s="300"/>
      <c r="QH3" s="300"/>
      <c r="QI3" s="300"/>
      <c r="QJ3" s="300"/>
      <c r="QK3" s="300"/>
      <c r="QL3" s="300"/>
      <c r="QM3" s="300"/>
      <c r="QN3" s="300"/>
      <c r="QO3" s="300"/>
      <c r="QP3" s="300"/>
      <c r="QQ3" s="300"/>
      <c r="QR3" s="300"/>
      <c r="QS3" s="300"/>
      <c r="QT3" s="300"/>
      <c r="QU3" s="300"/>
      <c r="QV3" s="300"/>
      <c r="QW3" s="300"/>
      <c r="QX3" s="300"/>
      <c r="QY3" s="300"/>
      <c r="QZ3" s="300"/>
      <c r="RA3" s="300"/>
      <c r="RB3" s="300"/>
      <c r="RC3" s="300"/>
      <c r="RD3" s="300"/>
      <c r="RE3" s="300"/>
      <c r="RF3" s="300"/>
      <c r="RG3" s="300"/>
      <c r="RH3" s="300"/>
      <c r="RI3" s="300"/>
      <c r="RJ3" s="300"/>
      <c r="RK3" s="300"/>
      <c r="RL3" s="300"/>
      <c r="RM3" s="300"/>
      <c r="RN3" s="300"/>
      <c r="RO3" s="300"/>
      <c r="RP3" s="300"/>
      <c r="RQ3" s="300"/>
      <c r="RR3" s="300"/>
      <c r="RS3" s="300"/>
      <c r="RT3" s="300"/>
      <c r="RU3" s="300"/>
      <c r="RV3" s="300"/>
      <c r="RW3" s="300"/>
      <c r="RX3" s="300"/>
      <c r="RY3" s="300"/>
      <c r="RZ3" s="300"/>
      <c r="SA3" s="300"/>
      <c r="SB3" s="300"/>
      <c r="SC3" s="300"/>
      <c r="SD3" s="300"/>
      <c r="SE3" s="300"/>
      <c r="SF3" s="300"/>
      <c r="SG3" s="300"/>
      <c r="SH3" s="300"/>
      <c r="SI3" s="300"/>
      <c r="SJ3" s="300"/>
      <c r="SK3" s="300"/>
      <c r="SL3" s="300"/>
      <c r="SM3" s="300"/>
      <c r="SN3" s="300"/>
      <c r="SO3" s="300"/>
      <c r="SP3" s="300"/>
      <c r="SQ3" s="300"/>
      <c r="SR3" s="300"/>
      <c r="SS3" s="300"/>
      <c r="ST3" s="300"/>
      <c r="SU3" s="300"/>
      <c r="SV3" s="300"/>
      <c r="SW3" s="300"/>
      <c r="SX3" s="300"/>
      <c r="SY3" s="300"/>
      <c r="SZ3" s="300"/>
      <c r="TA3" s="300"/>
      <c r="TB3" s="300"/>
      <c r="TC3" s="300"/>
      <c r="TD3" s="300"/>
      <c r="TE3" s="300"/>
      <c r="TF3" s="300"/>
      <c r="TG3" s="300"/>
      <c r="TH3" s="300"/>
      <c r="TI3" s="300"/>
      <c r="TJ3" s="300"/>
      <c r="TK3" s="300"/>
      <c r="TL3" s="300"/>
      <c r="TM3" s="300"/>
      <c r="TN3" s="300"/>
      <c r="TO3" s="300"/>
      <c r="TP3" s="300"/>
      <c r="TQ3" s="300"/>
      <c r="TR3" s="300"/>
      <c r="TS3" s="300"/>
      <c r="TT3" s="300"/>
      <c r="TU3" s="300"/>
      <c r="TV3" s="300"/>
      <c r="TW3" s="300"/>
      <c r="TX3" s="300"/>
      <c r="TY3" s="300"/>
      <c r="TZ3" s="300"/>
      <c r="UA3" s="300"/>
      <c r="UB3" s="300"/>
      <c r="UC3" s="300"/>
      <c r="UD3" s="300"/>
      <c r="UE3" s="300"/>
      <c r="UF3" s="300"/>
      <c r="UG3" s="300"/>
      <c r="UH3" s="300"/>
      <c r="UI3" s="300"/>
      <c r="UJ3" s="300"/>
      <c r="UK3" s="300"/>
      <c r="UL3" s="300"/>
      <c r="UM3" s="300"/>
      <c r="UN3" s="300"/>
      <c r="UO3" s="300"/>
      <c r="UP3" s="300"/>
      <c r="UQ3" s="300"/>
      <c r="UR3" s="300"/>
      <c r="US3" s="300"/>
      <c r="UT3" s="300"/>
      <c r="UU3" s="300"/>
      <c r="UV3" s="300"/>
      <c r="UW3" s="300"/>
      <c r="UX3" s="300"/>
      <c r="UY3" s="300"/>
      <c r="UZ3" s="300"/>
      <c r="VA3" s="300"/>
      <c r="VB3" s="300"/>
      <c r="VC3" s="300"/>
      <c r="VD3" s="300"/>
      <c r="VE3" s="300"/>
      <c r="VF3" s="300"/>
      <c r="VG3" s="300"/>
      <c r="VH3" s="300"/>
      <c r="VI3" s="300"/>
      <c r="VJ3" s="300"/>
      <c r="VK3" s="300"/>
      <c r="VL3" s="300"/>
      <c r="VM3" s="300"/>
      <c r="VN3" s="300"/>
      <c r="VO3" s="300"/>
      <c r="VP3" s="300"/>
      <c r="VQ3" s="300"/>
      <c r="VR3" s="300"/>
      <c r="VS3" s="300"/>
      <c r="VT3" s="300"/>
      <c r="VU3" s="300"/>
      <c r="VV3" s="300"/>
      <c r="VW3" s="300"/>
      <c r="VX3" s="300"/>
      <c r="VY3" s="300"/>
      <c r="VZ3" s="300"/>
      <c r="WA3" s="300"/>
      <c r="WB3" s="300"/>
      <c r="WC3" s="300"/>
      <c r="WD3" s="300"/>
      <c r="WE3" s="300"/>
      <c r="WF3" s="300"/>
      <c r="WG3" s="300"/>
      <c r="WH3" s="300"/>
      <c r="WI3" s="300"/>
      <c r="WJ3" s="300"/>
      <c r="WK3" s="300"/>
      <c r="WL3" s="300"/>
      <c r="WM3" s="300"/>
      <c r="WN3" s="300"/>
      <c r="WO3" s="300"/>
      <c r="WP3" s="300"/>
      <c r="WQ3" s="300"/>
      <c r="WR3" s="300"/>
      <c r="WS3" s="300"/>
      <c r="WT3" s="300"/>
      <c r="WU3" s="300"/>
      <c r="WV3" s="300"/>
      <c r="WW3" s="300"/>
      <c r="WX3" s="300"/>
      <c r="WY3" s="300"/>
      <c r="WZ3" s="300"/>
      <c r="XA3" s="300"/>
      <c r="XB3" s="300"/>
      <c r="XC3" s="300"/>
      <c r="XD3" s="300"/>
      <c r="XE3" s="300"/>
      <c r="XF3" s="300"/>
      <c r="XG3" s="300"/>
      <c r="XH3" s="300"/>
      <c r="XI3" s="300"/>
      <c r="XJ3" s="300"/>
      <c r="XK3" s="300"/>
      <c r="XL3" s="300"/>
      <c r="XM3" s="300"/>
      <c r="XN3" s="300"/>
      <c r="XO3" s="300"/>
      <c r="XP3" s="300"/>
      <c r="XQ3" s="300"/>
      <c r="XR3" s="300"/>
      <c r="XS3" s="300"/>
      <c r="XT3" s="300"/>
      <c r="XU3" s="300"/>
      <c r="XV3" s="300"/>
      <c r="XW3" s="300"/>
      <c r="XX3" s="300"/>
      <c r="XY3" s="300"/>
      <c r="XZ3" s="300"/>
      <c r="YA3" s="300"/>
      <c r="YB3" s="300"/>
      <c r="YC3" s="300"/>
      <c r="YD3" s="300"/>
      <c r="YE3" s="300"/>
      <c r="YF3" s="300"/>
      <c r="YG3" s="300"/>
      <c r="YH3" s="300"/>
      <c r="YI3" s="300"/>
      <c r="YJ3" s="300"/>
      <c r="YK3" s="300"/>
      <c r="YL3" s="300"/>
      <c r="YM3" s="300"/>
      <c r="YN3" s="300"/>
      <c r="YO3" s="300"/>
      <c r="YP3" s="300"/>
      <c r="YQ3" s="300"/>
      <c r="YR3" s="300"/>
      <c r="YS3" s="300"/>
      <c r="YT3" s="300"/>
      <c r="YU3" s="300"/>
      <c r="YV3" s="300"/>
      <c r="YW3" s="300"/>
      <c r="YX3" s="300"/>
      <c r="YY3" s="300"/>
      <c r="YZ3" s="300"/>
      <c r="ZA3" s="300"/>
      <c r="ZB3" s="300"/>
      <c r="ZC3" s="300"/>
      <c r="ZD3" s="300"/>
      <c r="ZE3" s="300"/>
      <c r="ZF3" s="300"/>
      <c r="ZG3" s="300"/>
      <c r="ZH3" s="300"/>
      <c r="ZI3" s="300"/>
      <c r="ZJ3" s="300"/>
      <c r="ZK3" s="300"/>
      <c r="ZL3" s="300"/>
      <c r="ZM3" s="300"/>
      <c r="ZN3" s="300"/>
      <c r="ZO3" s="300"/>
      <c r="ZP3" s="300"/>
      <c r="ZQ3" s="300"/>
      <c r="ZR3" s="300"/>
      <c r="ZS3" s="300"/>
      <c r="ZT3" s="300"/>
      <c r="ZU3" s="300"/>
      <c r="ZV3" s="300"/>
      <c r="ZW3" s="300"/>
      <c r="ZX3" s="300"/>
      <c r="ZY3" s="300"/>
      <c r="ZZ3" s="300"/>
      <c r="AAA3" s="300"/>
      <c r="AAB3" s="300"/>
      <c r="AAC3" s="300"/>
      <c r="AAD3" s="300"/>
      <c r="AAE3" s="300"/>
      <c r="AAF3" s="300"/>
      <c r="AAG3" s="300"/>
      <c r="AAH3" s="300"/>
      <c r="AAI3" s="300"/>
      <c r="AAJ3" s="300"/>
      <c r="AAK3" s="300"/>
      <c r="AAL3" s="300"/>
      <c r="AAM3" s="300"/>
      <c r="AAN3" s="300"/>
      <c r="AAO3" s="300"/>
      <c r="AAP3" s="300"/>
      <c r="AAQ3" s="300"/>
      <c r="AAR3" s="300"/>
      <c r="AAS3" s="300"/>
      <c r="AAT3" s="300"/>
      <c r="AAU3" s="300"/>
      <c r="AAV3" s="300"/>
      <c r="AAW3" s="300"/>
      <c r="AAX3" s="300"/>
      <c r="AAY3" s="300"/>
      <c r="AAZ3" s="300"/>
      <c r="ABA3" s="300"/>
      <c r="ABB3" s="300"/>
      <c r="ABC3" s="300"/>
      <c r="ABD3" s="300"/>
      <c r="ABE3" s="300"/>
      <c r="ABF3" s="300"/>
      <c r="ABG3" s="300"/>
      <c r="ABH3" s="300"/>
      <c r="ABI3" s="300"/>
      <c r="ABJ3" s="300"/>
      <c r="ABK3" s="300"/>
      <c r="ABL3" s="300"/>
      <c r="ABM3" s="300"/>
      <c r="ABN3" s="300"/>
      <c r="ABO3" s="300"/>
      <c r="ABP3" s="300"/>
      <c r="ABQ3" s="300"/>
      <c r="ABR3" s="300"/>
      <c r="ABS3" s="300"/>
      <c r="ABT3" s="300"/>
      <c r="ABU3" s="300"/>
      <c r="ABV3" s="300"/>
      <c r="ABW3" s="300"/>
      <c r="ABX3" s="300"/>
      <c r="ABY3" s="300"/>
      <c r="ABZ3" s="300"/>
      <c r="ACA3" s="300"/>
      <c r="ACB3" s="300"/>
      <c r="ACC3" s="300"/>
      <c r="ACD3" s="300"/>
      <c r="ACE3" s="300"/>
      <c r="ACF3" s="300"/>
      <c r="ACG3" s="300"/>
      <c r="ACH3" s="300"/>
      <c r="ACI3" s="300"/>
      <c r="ACJ3" s="300"/>
      <c r="ACK3" s="300"/>
      <c r="ACL3" s="300"/>
      <c r="ACM3" s="300"/>
      <c r="ACN3" s="300"/>
      <c r="ACO3" s="300"/>
      <c r="ACP3" s="300"/>
      <c r="ACQ3" s="300"/>
      <c r="ACR3" s="300"/>
      <c r="ACS3" s="300"/>
      <c r="ACT3" s="300"/>
      <c r="ACU3" s="300"/>
      <c r="ACV3" s="300"/>
      <c r="ACW3" s="300"/>
      <c r="ACX3" s="300"/>
      <c r="ACY3" s="300"/>
      <c r="ACZ3" s="300"/>
      <c r="ADA3" s="300"/>
      <c r="ADB3" s="300"/>
      <c r="ADC3" s="300"/>
      <c r="ADD3" s="300"/>
      <c r="ADE3" s="300"/>
      <c r="ADF3" s="300"/>
      <c r="ADG3" s="300"/>
      <c r="ADH3" s="300"/>
      <c r="ADI3" s="300"/>
      <c r="ADJ3" s="300"/>
      <c r="ADK3" s="300"/>
      <c r="ADL3" s="300"/>
      <c r="ADM3" s="300"/>
      <c r="ADN3" s="300"/>
      <c r="ADO3" s="300"/>
      <c r="ADP3" s="300"/>
      <c r="ADQ3" s="300"/>
      <c r="ADR3" s="300"/>
      <c r="ADS3" s="300"/>
      <c r="ADT3" s="300"/>
      <c r="ADU3" s="300"/>
      <c r="ADV3" s="300"/>
      <c r="ADW3" s="300"/>
      <c r="ADX3" s="300"/>
      <c r="ADY3" s="300"/>
      <c r="ADZ3" s="300"/>
      <c r="AEA3" s="300"/>
      <c r="AEB3" s="300"/>
      <c r="AEC3" s="300"/>
      <c r="AED3" s="300"/>
      <c r="AEE3" s="300"/>
      <c r="AEF3" s="300"/>
      <c r="AEG3" s="300"/>
      <c r="AEH3" s="300"/>
      <c r="AEI3" s="300"/>
      <c r="AEJ3" s="300"/>
      <c r="AEK3" s="300"/>
      <c r="AEL3" s="300"/>
      <c r="AEM3" s="300"/>
      <c r="AEN3" s="300"/>
      <c r="AEO3" s="300"/>
      <c r="AEP3" s="300"/>
      <c r="AEQ3" s="300"/>
      <c r="AER3" s="300"/>
      <c r="AES3" s="300"/>
      <c r="AET3" s="300"/>
      <c r="AEU3" s="300"/>
      <c r="AEV3" s="300"/>
      <c r="AEW3" s="300"/>
      <c r="AEX3" s="300"/>
      <c r="AEY3" s="300"/>
      <c r="AEZ3" s="300"/>
      <c r="AFA3" s="300"/>
      <c r="AFB3" s="300"/>
      <c r="AFC3" s="300"/>
      <c r="AFD3" s="300"/>
      <c r="AFE3" s="300"/>
      <c r="AFF3" s="300"/>
      <c r="AFG3" s="300"/>
      <c r="AFH3" s="300"/>
      <c r="AFI3" s="300"/>
      <c r="AFJ3" s="300"/>
      <c r="AFK3" s="300"/>
      <c r="AFL3" s="300"/>
      <c r="AFM3" s="300"/>
      <c r="AFN3" s="300"/>
      <c r="AFO3" s="300"/>
      <c r="AFP3" s="300"/>
      <c r="AFQ3" s="300"/>
      <c r="AFR3" s="300"/>
      <c r="AFS3" s="300"/>
      <c r="AFT3" s="300"/>
      <c r="AFU3" s="300"/>
      <c r="AFV3" s="300"/>
      <c r="AFW3" s="300"/>
      <c r="AFX3" s="300"/>
      <c r="AFY3" s="300"/>
      <c r="AFZ3" s="300"/>
      <c r="AGA3" s="300"/>
      <c r="AGB3" s="300"/>
      <c r="AGC3" s="300"/>
      <c r="AGD3" s="300"/>
      <c r="AGE3" s="300"/>
      <c r="AGF3" s="300"/>
      <c r="AGG3" s="300"/>
      <c r="AGH3" s="300"/>
      <c r="AGI3" s="300"/>
      <c r="AGJ3" s="300"/>
      <c r="AGK3" s="300"/>
      <c r="AGL3" s="300"/>
      <c r="AGM3" s="300"/>
      <c r="AGN3" s="300"/>
      <c r="AGO3" s="300"/>
      <c r="AGP3" s="300"/>
      <c r="AGQ3" s="300"/>
      <c r="AGR3" s="300"/>
      <c r="AGS3" s="300"/>
      <c r="AGT3" s="300"/>
      <c r="AGU3" s="300"/>
      <c r="AGV3" s="300"/>
      <c r="AGW3" s="300"/>
      <c r="AGX3" s="300"/>
      <c r="AGY3" s="300"/>
      <c r="AGZ3" s="300"/>
      <c r="AHA3" s="300"/>
      <c r="AHB3" s="300"/>
      <c r="AHC3" s="300"/>
      <c r="AHD3" s="300"/>
      <c r="AHE3" s="300"/>
      <c r="AHF3" s="300"/>
      <c r="AHG3" s="300"/>
      <c r="AHH3" s="300"/>
      <c r="AHI3" s="300"/>
      <c r="AHJ3" s="300"/>
      <c r="AHK3" s="300"/>
      <c r="AHL3" s="300"/>
      <c r="AHM3" s="300"/>
      <c r="AHN3" s="300"/>
      <c r="AHO3" s="300"/>
      <c r="AHP3" s="300"/>
      <c r="AHQ3" s="300"/>
      <c r="AHR3" s="300"/>
      <c r="AHS3" s="300"/>
      <c r="AHT3" s="300"/>
      <c r="AHU3" s="300"/>
      <c r="AHV3" s="300"/>
      <c r="AHW3" s="300"/>
      <c r="AHX3" s="300"/>
      <c r="AHY3" s="300"/>
      <c r="AHZ3" s="300"/>
      <c r="AIA3" s="300"/>
      <c r="AIB3" s="300"/>
      <c r="AIC3" s="300"/>
      <c r="AID3" s="300"/>
      <c r="AIE3" s="300"/>
      <c r="AIF3" s="300"/>
      <c r="AIG3" s="300"/>
      <c r="AIH3" s="300"/>
      <c r="AII3" s="300"/>
      <c r="AIJ3" s="300"/>
      <c r="AIK3" s="300"/>
      <c r="AIL3" s="300"/>
      <c r="AIM3" s="300"/>
      <c r="AIN3" s="300"/>
      <c r="AIO3" s="300"/>
      <c r="AIP3" s="300"/>
      <c r="AIQ3" s="300"/>
      <c r="AIR3" s="300"/>
      <c r="AIS3" s="300"/>
      <c r="AIT3" s="300"/>
      <c r="AIU3" s="300"/>
      <c r="AIV3" s="300"/>
      <c r="AIW3" s="300"/>
      <c r="AIX3" s="300"/>
      <c r="AIY3" s="300"/>
      <c r="AIZ3" s="300"/>
      <c r="AJA3" s="300"/>
      <c r="AJB3" s="300"/>
      <c r="AJC3" s="300"/>
      <c r="AJD3" s="300"/>
      <c r="AJE3" s="300"/>
      <c r="AJF3" s="300"/>
      <c r="AJG3" s="300"/>
      <c r="AJH3" s="300"/>
      <c r="AJI3" s="300"/>
      <c r="AJJ3" s="300"/>
      <c r="AJK3" s="300"/>
      <c r="AJL3" s="300"/>
      <c r="AJM3" s="300"/>
      <c r="AJN3" s="300"/>
      <c r="AJO3" s="300"/>
      <c r="AJP3" s="300"/>
      <c r="AJQ3" s="300"/>
      <c r="AJR3" s="300"/>
      <c r="AJS3" s="300"/>
      <c r="AJT3" s="300"/>
      <c r="AJU3" s="300"/>
      <c r="AJV3" s="300"/>
      <c r="AJW3" s="300"/>
      <c r="AJX3" s="300"/>
      <c r="AJY3" s="300"/>
      <c r="AJZ3" s="300"/>
      <c r="AKA3" s="300"/>
      <c r="AKB3" s="300"/>
      <c r="AKC3" s="300"/>
      <c r="AKD3" s="300"/>
      <c r="AKE3" s="300"/>
      <c r="AKF3" s="300"/>
      <c r="AKG3" s="300"/>
      <c r="AKH3" s="300"/>
      <c r="AKI3" s="300"/>
      <c r="AKJ3" s="300"/>
      <c r="AKK3" s="300"/>
      <c r="AKL3" s="300"/>
      <c r="AKM3" s="300"/>
      <c r="AKN3" s="300"/>
      <c r="AKO3" s="300"/>
      <c r="AKP3" s="300"/>
      <c r="AKQ3" s="300"/>
      <c r="AKR3" s="300"/>
      <c r="AKS3" s="300"/>
      <c r="AKT3" s="300"/>
      <c r="AKU3" s="300"/>
      <c r="AKV3" s="300"/>
      <c r="AKW3" s="300"/>
      <c r="AKX3" s="300"/>
      <c r="AKY3" s="300"/>
      <c r="AKZ3" s="300"/>
      <c r="ALA3" s="300"/>
      <c r="ALB3" s="300"/>
      <c r="ALC3" s="300"/>
      <c r="ALD3" s="300"/>
      <c r="ALE3" s="300"/>
      <c r="ALF3" s="300"/>
      <c r="ALG3" s="300"/>
      <c r="ALH3" s="300"/>
      <c r="ALI3" s="300"/>
      <c r="ALJ3" s="300"/>
      <c r="ALK3" s="300"/>
      <c r="ALL3" s="300"/>
      <c r="ALM3" s="300"/>
      <c r="ALN3" s="300"/>
      <c r="ALO3" s="300"/>
      <c r="ALP3" s="300"/>
      <c r="ALQ3" s="300"/>
      <c r="ALR3" s="300"/>
      <c r="ALS3" s="300"/>
      <c r="ALT3" s="300"/>
      <c r="ALU3" s="300"/>
      <c r="ALV3" s="300"/>
      <c r="ALW3" s="300"/>
      <c r="ALX3" s="300"/>
      <c r="ALY3" s="300"/>
      <c r="ALZ3" s="300"/>
      <c r="AMA3" s="300"/>
      <c r="AMB3" s="300"/>
      <c r="AMC3" s="300"/>
      <c r="AMD3" s="300"/>
      <c r="AME3" s="300"/>
      <c r="AMF3" s="300"/>
      <c r="AMG3" s="300"/>
      <c r="AMH3" s="300"/>
      <c r="AMI3" s="300"/>
      <c r="AMJ3" s="300"/>
    </row>
    <row r="4" customFormat="false" ht="13.8" hidden="false" customHeight="false" outlineLevel="0" collapsed="false">
      <c r="A4" s="255" t="s">
        <v>490</v>
      </c>
      <c r="B4" s="301" t="s">
        <v>491</v>
      </c>
      <c r="C4" s="302" t="n">
        <v>50613</v>
      </c>
    </row>
    <row r="5" customFormat="false" ht="14.15" hidden="false" customHeight="false" outlineLevel="0" collapsed="false">
      <c r="A5" s="255" t="s">
        <v>492</v>
      </c>
      <c r="B5" s="301" t="s">
        <v>493</v>
      </c>
      <c r="C5" s="303" t="n">
        <v>0.28</v>
      </c>
    </row>
    <row r="6" customFormat="false" ht="13.8" hidden="false" customHeight="false" outlineLevel="0" collapsed="false">
      <c r="A6" s="255" t="s">
        <v>494</v>
      </c>
      <c r="B6" s="301" t="s">
        <v>495</v>
      </c>
      <c r="C6" s="304" t="n">
        <f aca="false">C4*C5/1000</f>
        <v>14.17164</v>
      </c>
    </row>
    <row r="7" customFormat="false" ht="13.8" hidden="false" customHeight="false" outlineLevel="0" collapsed="false">
      <c r="A7" s="255" t="s">
        <v>496</v>
      </c>
      <c r="B7" s="301" t="s">
        <v>497</v>
      </c>
      <c r="C7" s="305" t="n">
        <f aca="false">(C6*30)</f>
        <v>425.1492</v>
      </c>
    </row>
    <row r="8" customFormat="false" ht="13.8" hidden="false" customHeight="false" outlineLevel="0" collapsed="false">
      <c r="A8" s="255" t="s">
        <v>498</v>
      </c>
      <c r="B8" s="301" t="s">
        <v>59</v>
      </c>
      <c r="C8" s="306" t="n">
        <v>3</v>
      </c>
    </row>
    <row r="9" customFormat="false" ht="13.8" hidden="false" customHeight="false" outlineLevel="0" collapsed="false">
      <c r="A9" s="255" t="s">
        <v>499</v>
      </c>
      <c r="B9" s="301" t="s">
        <v>495</v>
      </c>
      <c r="C9" s="304" t="n">
        <f aca="false">IFERROR(C6*7/C8,0)</f>
        <v>33.06716</v>
      </c>
    </row>
    <row r="10" customFormat="false" ht="13.8" hidden="false" customHeight="false" outlineLevel="0" collapsed="false">
      <c r="A10" s="255" t="s">
        <v>500</v>
      </c>
      <c r="B10" s="301" t="s">
        <v>501</v>
      </c>
      <c r="C10" s="252" t="n">
        <v>500</v>
      </c>
    </row>
    <row r="11" customFormat="false" ht="13.8" hidden="false" customHeight="false" outlineLevel="0" collapsed="false">
      <c r="A11" s="255" t="s">
        <v>502</v>
      </c>
      <c r="B11" s="301"/>
      <c r="C11" s="307" t="n">
        <v>1</v>
      </c>
    </row>
    <row r="12" customFormat="false" ht="13.8" hidden="false" customHeight="false" outlineLevel="0" collapsed="false">
      <c r="A12" s="255" t="s">
        <v>503</v>
      </c>
      <c r="B12" s="301" t="s">
        <v>504</v>
      </c>
      <c r="C12" s="307" t="n">
        <v>15</v>
      </c>
    </row>
    <row r="13" customFormat="false" ht="14.15" hidden="false" customHeight="false" outlineLevel="0" collapsed="false">
      <c r="A13" s="255" t="s">
        <v>505</v>
      </c>
      <c r="B13" s="301" t="s">
        <v>497</v>
      </c>
      <c r="C13" s="252" t="n">
        <f aca="false">IF(AND(C12&gt;=15,C11=1),5.8,C12/2)</f>
        <v>5.8</v>
      </c>
    </row>
    <row r="14" customFormat="false" ht="13.8" hidden="false" customHeight="false" outlineLevel="0" collapsed="false">
      <c r="A14" s="255" t="s">
        <v>506</v>
      </c>
      <c r="B14" s="301"/>
      <c r="C14" s="304" t="n">
        <f aca="false">IFERROR(C9/C13,0)</f>
        <v>5.70123448275862</v>
      </c>
    </row>
    <row r="15" customFormat="false" ht="13.8" hidden="false" customHeight="false" outlineLevel="0" collapsed="false">
      <c r="A15" s="255" t="s">
        <v>507</v>
      </c>
      <c r="B15" s="301"/>
      <c r="C15" s="308" t="n">
        <v>2.5</v>
      </c>
    </row>
    <row r="16" customFormat="false" ht="13.8" hidden="false" customHeight="false" outlineLevel="0" collapsed="false">
      <c r="A16" s="309" t="s">
        <v>508</v>
      </c>
      <c r="B16" s="310"/>
      <c r="C16" s="311" t="n">
        <f aca="false">IFERROR(C14/C15,0)</f>
        <v>2.28049379310345</v>
      </c>
    </row>
  </sheetData>
  <mergeCells count="1">
    <mergeCell ref="A1:C1"/>
  </mergeCells>
  <conditionalFormatting sqref="C13">
    <cfRule type="expression" priority="2" aboveAverage="0" equalAverage="0" bottom="0" percent="0" rank="0" text="" dxfId="0">
      <formula>"SE(E(C20&gt;=15;C19=1))"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3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D10" activeCellId="0" sqref="D1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13.59"/>
    <col collapsed="false" customWidth="true" hidden="false" outlineLevel="0" max="2" min="2" style="115" width="57.02"/>
    <col collapsed="false" customWidth="true" hidden="false" outlineLevel="0" max="3" min="3" style="115" width="20.85"/>
    <col collapsed="false" customWidth="true" hidden="false" outlineLevel="0" max="4" min="4" style="312" width="37.34"/>
    <col collapsed="false" customWidth="true" hidden="false" outlineLevel="0" max="10" min="5" style="115" width="9.14"/>
    <col collapsed="false" customWidth="true" hidden="false" outlineLevel="0" max="11" min="11" style="115" width="11"/>
    <col collapsed="false" customWidth="true" hidden="false" outlineLevel="0" max="64" min="12" style="115" width="9.14"/>
  </cols>
  <sheetData>
    <row r="1" customFormat="false" ht="17.35" hidden="false" customHeight="false" outlineLevel="0" collapsed="false">
      <c r="A1" s="313" t="s">
        <v>509</v>
      </c>
      <c r="B1" s="313"/>
      <c r="C1" s="313"/>
      <c r="D1" s="314"/>
      <c r="E1" s="314"/>
      <c r="F1" s="314"/>
    </row>
    <row r="2" customFormat="false" ht="13.8" hidden="false" customHeight="false" outlineLevel="0" collapsed="false">
      <c r="A2" s="315" t="s">
        <v>510</v>
      </c>
      <c r="B2" s="316" t="s">
        <v>236</v>
      </c>
      <c r="C2" s="317" t="s">
        <v>489</v>
      </c>
      <c r="D2" s="318"/>
    </row>
    <row r="3" customFormat="false" ht="13.8" hidden="false" customHeight="false" outlineLevel="0" collapsed="false">
      <c r="A3" s="315" t="s">
        <v>511</v>
      </c>
      <c r="B3" s="316" t="s">
        <v>512</v>
      </c>
      <c r="C3" s="319" t="n">
        <v>0.2</v>
      </c>
      <c r="D3" s="318"/>
      <c r="F3" s="312"/>
      <c r="G3" s="312"/>
      <c r="H3" s="312"/>
      <c r="I3" s="312"/>
      <c r="J3" s="312"/>
      <c r="K3" s="312"/>
      <c r="L3" s="312"/>
    </row>
    <row r="4" customFormat="false" ht="13.8" hidden="false" customHeight="false" outlineLevel="0" collapsed="false">
      <c r="A4" s="315" t="s">
        <v>513</v>
      </c>
      <c r="B4" s="316" t="s">
        <v>514</v>
      </c>
      <c r="C4" s="319" t="n">
        <v>0.015</v>
      </c>
      <c r="D4" s="318"/>
      <c r="F4" s="312"/>
      <c r="G4" s="312"/>
      <c r="H4" s="312"/>
      <c r="I4" s="312"/>
      <c r="J4" s="312"/>
      <c r="K4" s="312"/>
      <c r="L4" s="312"/>
    </row>
    <row r="5" customFormat="false" ht="13.8" hidden="false" customHeight="false" outlineLevel="0" collapsed="false">
      <c r="A5" s="315" t="s">
        <v>515</v>
      </c>
      <c r="B5" s="316" t="s">
        <v>516</v>
      </c>
      <c r="C5" s="319" t="n">
        <v>0.01</v>
      </c>
      <c r="D5" s="318"/>
      <c r="F5" s="312"/>
      <c r="G5" s="312"/>
      <c r="H5" s="312"/>
      <c r="I5" s="312"/>
      <c r="J5" s="312"/>
      <c r="K5" s="312"/>
      <c r="L5" s="312"/>
    </row>
    <row r="6" customFormat="false" ht="13.8" hidden="false" customHeight="false" outlineLevel="0" collapsed="false">
      <c r="A6" s="315" t="s">
        <v>517</v>
      </c>
      <c r="B6" s="316" t="s">
        <v>518</v>
      </c>
      <c r="C6" s="319" t="n">
        <v>0.002</v>
      </c>
      <c r="D6" s="318"/>
      <c r="F6" s="312"/>
      <c r="G6" s="312"/>
      <c r="H6" s="312"/>
      <c r="I6" s="312"/>
      <c r="J6" s="312"/>
      <c r="K6" s="312"/>
      <c r="L6" s="312"/>
    </row>
    <row r="7" customFormat="false" ht="13.8" hidden="false" customHeight="false" outlineLevel="0" collapsed="false">
      <c r="A7" s="315" t="s">
        <v>519</v>
      </c>
      <c r="B7" s="316" t="s">
        <v>520</v>
      </c>
      <c r="C7" s="319" t="n">
        <v>0.006</v>
      </c>
      <c r="D7" s="318"/>
      <c r="F7" s="312"/>
      <c r="G7" s="312"/>
      <c r="H7" s="312"/>
      <c r="I7" s="312"/>
      <c r="J7" s="312"/>
      <c r="K7" s="312"/>
      <c r="L7" s="312"/>
    </row>
    <row r="8" customFormat="false" ht="13.8" hidden="false" customHeight="false" outlineLevel="0" collapsed="false">
      <c r="A8" s="315" t="s">
        <v>521</v>
      </c>
      <c r="B8" s="316" t="s">
        <v>522</v>
      </c>
      <c r="C8" s="319" t="n">
        <v>0.025</v>
      </c>
      <c r="D8" s="318"/>
      <c r="F8" s="312"/>
      <c r="G8" s="312"/>
      <c r="H8" s="312"/>
      <c r="I8" s="312"/>
      <c r="J8" s="312"/>
      <c r="K8" s="312"/>
      <c r="L8" s="312"/>
    </row>
    <row r="9" customFormat="false" ht="13.8" hidden="false" customHeight="false" outlineLevel="0" collapsed="false">
      <c r="A9" s="315" t="s">
        <v>523</v>
      </c>
      <c r="B9" s="316" t="s">
        <v>524</v>
      </c>
      <c r="C9" s="319" t="n">
        <v>0.03</v>
      </c>
      <c r="D9" s="318"/>
      <c r="F9" s="312"/>
      <c r="G9" s="312"/>
      <c r="H9" s="312"/>
      <c r="I9" s="312"/>
      <c r="J9" s="312"/>
      <c r="K9" s="312"/>
      <c r="L9" s="312"/>
    </row>
    <row r="10" customFormat="false" ht="13.8" hidden="false" customHeight="false" outlineLevel="0" collapsed="false">
      <c r="A10" s="315" t="s">
        <v>525</v>
      </c>
      <c r="B10" s="316" t="s">
        <v>526</v>
      </c>
      <c r="C10" s="319" t="n">
        <v>0.08</v>
      </c>
      <c r="D10" s="318"/>
      <c r="F10" s="312"/>
      <c r="G10" s="312"/>
      <c r="H10" s="312"/>
      <c r="I10" s="312"/>
      <c r="J10" s="312"/>
      <c r="K10" s="312"/>
      <c r="L10" s="312"/>
    </row>
    <row r="11" customFormat="false" ht="13.8" hidden="false" customHeight="false" outlineLevel="0" collapsed="false">
      <c r="A11" s="315" t="s">
        <v>527</v>
      </c>
      <c r="B11" s="320" t="s">
        <v>528</v>
      </c>
      <c r="C11" s="321" t="n">
        <f aca="false">SUM(C3:C10)</f>
        <v>0.368</v>
      </c>
      <c r="D11" s="318"/>
      <c r="F11" s="312"/>
      <c r="G11" s="312"/>
      <c r="H11" s="312"/>
      <c r="I11" s="312"/>
      <c r="J11" s="312"/>
      <c r="K11" s="312"/>
      <c r="L11" s="312"/>
    </row>
    <row r="12" customFormat="false" ht="13.8" hidden="false" customHeight="false" outlineLevel="0" collapsed="false">
      <c r="A12" s="322"/>
      <c r="B12" s="323"/>
      <c r="C12" s="324"/>
      <c r="D12" s="318"/>
      <c r="F12" s="312"/>
      <c r="G12" s="312"/>
      <c r="H12" s="312"/>
      <c r="I12" s="312"/>
      <c r="J12" s="312"/>
      <c r="K12" s="312"/>
      <c r="L12" s="312"/>
    </row>
    <row r="13" customFormat="false" ht="13.8" hidden="false" customHeight="false" outlineLevel="0" collapsed="false">
      <c r="A13" s="315" t="s">
        <v>529</v>
      </c>
      <c r="B13" s="316" t="s">
        <v>530</v>
      </c>
      <c r="C13" s="319" t="n">
        <f aca="false">ROUND(IF('3.CAGED'!C22&gt;24,(1-12/'3.CAGED'!C22)*0.1111,0.1111-C22),4)</f>
        <v>0.0619</v>
      </c>
      <c r="D13" s="318"/>
      <c r="F13" s="312"/>
      <c r="G13" s="312"/>
      <c r="H13" s="312"/>
      <c r="I13" s="312"/>
      <c r="J13" s="312"/>
      <c r="K13" s="312"/>
      <c r="L13" s="312"/>
    </row>
    <row r="14" customFormat="false" ht="13.8" hidden="false" customHeight="false" outlineLevel="0" collapsed="false">
      <c r="A14" s="315" t="s">
        <v>531</v>
      </c>
      <c r="B14" s="316" t="s">
        <v>532</v>
      </c>
      <c r="C14" s="319" t="n">
        <f aca="false">ROUND('3.CAGED'!C26/'3.CAGED'!C23,4)</f>
        <v>0.0833</v>
      </c>
      <c r="D14" s="318"/>
      <c r="F14" s="312"/>
      <c r="G14" s="312"/>
      <c r="H14" s="312"/>
      <c r="I14" s="312"/>
      <c r="J14" s="312"/>
      <c r="K14" s="312"/>
      <c r="L14" s="312"/>
    </row>
    <row r="15" customFormat="false" ht="13.8" hidden="false" customHeight="false" outlineLevel="0" collapsed="false">
      <c r="A15" s="315" t="s">
        <v>533</v>
      </c>
      <c r="B15" s="316" t="s">
        <v>534</v>
      </c>
      <c r="C15" s="319" t="n">
        <v>0.0006</v>
      </c>
      <c r="D15" s="318"/>
      <c r="F15" s="312"/>
      <c r="G15" s="312"/>
      <c r="H15" s="312"/>
      <c r="I15" s="312"/>
      <c r="J15" s="312"/>
      <c r="K15" s="312"/>
      <c r="L15" s="312"/>
    </row>
    <row r="16" customFormat="false" ht="13.8" hidden="false" customHeight="false" outlineLevel="0" collapsed="false">
      <c r="A16" s="315" t="s">
        <v>535</v>
      </c>
      <c r="B16" s="316" t="s">
        <v>536</v>
      </c>
      <c r="C16" s="319" t="n">
        <v>0.0082</v>
      </c>
      <c r="D16" s="318"/>
      <c r="F16" s="312"/>
      <c r="G16" s="312"/>
      <c r="H16" s="312"/>
      <c r="I16" s="312"/>
      <c r="J16" s="312"/>
      <c r="K16" s="312"/>
      <c r="L16" s="312"/>
    </row>
    <row r="17" customFormat="false" ht="13.8" hidden="false" customHeight="false" outlineLevel="0" collapsed="false">
      <c r="A17" s="315" t="s">
        <v>537</v>
      </c>
      <c r="B17" s="316" t="s">
        <v>538</v>
      </c>
      <c r="C17" s="319" t="n">
        <v>0.0031</v>
      </c>
      <c r="D17" s="318"/>
      <c r="F17" s="312"/>
      <c r="G17" s="312"/>
      <c r="H17" s="312"/>
      <c r="I17" s="312"/>
      <c r="J17" s="312"/>
      <c r="K17" s="312"/>
      <c r="L17" s="312"/>
    </row>
    <row r="18" customFormat="false" ht="13.8" hidden="false" customHeight="false" outlineLevel="0" collapsed="false">
      <c r="A18" s="315" t="s">
        <v>539</v>
      </c>
      <c r="B18" s="316" t="s">
        <v>540</v>
      </c>
      <c r="C18" s="319" t="n">
        <v>0.0166</v>
      </c>
      <c r="D18" s="318"/>
      <c r="F18" s="312"/>
      <c r="G18" s="312"/>
      <c r="H18" s="312"/>
      <c r="I18" s="312"/>
      <c r="J18" s="312"/>
      <c r="K18" s="312"/>
      <c r="L18" s="312"/>
    </row>
    <row r="19" customFormat="false" ht="13.8" hidden="false" customHeight="false" outlineLevel="0" collapsed="false">
      <c r="A19" s="315" t="s">
        <v>541</v>
      </c>
      <c r="B19" s="320" t="s">
        <v>542</v>
      </c>
      <c r="C19" s="321" t="n">
        <f aca="false">SUM(C13:C18)</f>
        <v>0.1737</v>
      </c>
      <c r="D19" s="325"/>
      <c r="F19" s="312"/>
      <c r="G19" s="312"/>
      <c r="H19" s="312"/>
      <c r="I19" s="312"/>
      <c r="J19" s="312"/>
      <c r="K19" s="312"/>
      <c r="L19" s="312"/>
    </row>
    <row r="20" customFormat="false" ht="13.8" hidden="false" customHeight="false" outlineLevel="0" collapsed="false">
      <c r="A20" s="322"/>
      <c r="B20" s="323"/>
      <c r="C20" s="324"/>
      <c r="D20" s="325"/>
      <c r="F20" s="312"/>
      <c r="G20" s="312"/>
      <c r="H20" s="312"/>
      <c r="I20" s="312"/>
      <c r="J20" s="312"/>
      <c r="K20" s="312"/>
      <c r="L20" s="312"/>
    </row>
    <row r="21" customFormat="false" ht="13.8" hidden="false" customHeight="false" outlineLevel="0" collapsed="false">
      <c r="A21" s="315" t="s">
        <v>543</v>
      </c>
      <c r="B21" s="316" t="s">
        <v>544</v>
      </c>
      <c r="C21" s="319" t="n">
        <f aca="false">ROUND(('3.CAGED'!C27) *'3.CAGED'!C20/'3.CAGED'!C23,4)</f>
        <v>0.0256</v>
      </c>
      <c r="D21" s="318"/>
      <c r="E21" s="326"/>
      <c r="F21" s="312"/>
      <c r="G21" s="312"/>
      <c r="H21" s="312"/>
      <c r="I21" s="312"/>
      <c r="J21" s="312"/>
      <c r="K21" s="312"/>
      <c r="L21" s="312"/>
    </row>
    <row r="22" customFormat="false" ht="13.8" hidden="false" customHeight="false" outlineLevel="0" collapsed="false">
      <c r="A22" s="315" t="s">
        <v>545</v>
      </c>
      <c r="B22" s="316" t="s">
        <v>546</v>
      </c>
      <c r="C22" s="319" t="n">
        <f aca="false">ROUND(IF('3.CAGED'!C22&gt;12,12/'3.CAGED'!C22*0.1111,0.1111),4)</f>
        <v>0.0492</v>
      </c>
      <c r="D22" s="318"/>
      <c r="F22" s="312"/>
      <c r="G22" s="312"/>
      <c r="H22" s="327"/>
      <c r="I22" s="312"/>
      <c r="J22" s="312"/>
      <c r="K22" s="312"/>
      <c r="L22" s="312"/>
    </row>
    <row r="23" customFormat="false" ht="13.8" hidden="false" customHeight="false" outlineLevel="0" collapsed="false">
      <c r="A23" s="315" t="s">
        <v>547</v>
      </c>
      <c r="B23" s="316" t="s">
        <v>548</v>
      </c>
      <c r="C23" s="319" t="n">
        <f aca="false">C21*C22</f>
        <v>0.00125952</v>
      </c>
      <c r="D23" s="318"/>
      <c r="E23" s="326"/>
      <c r="F23" s="312"/>
      <c r="G23" s="312"/>
      <c r="H23" s="312"/>
      <c r="I23" s="312"/>
      <c r="J23" s="312"/>
      <c r="K23" s="312"/>
      <c r="L23" s="312"/>
    </row>
    <row r="24" customFormat="false" ht="13.8" hidden="false" customHeight="false" outlineLevel="0" collapsed="false">
      <c r="A24" s="315" t="s">
        <v>549</v>
      </c>
      <c r="B24" s="316" t="s">
        <v>550</v>
      </c>
      <c r="C24" s="319" t="n">
        <f aca="false">ROUND(('3.CAGED'!C23+'3.CAGED'!C24+'3.CAGED'!C26)/'3.CAGED'!C21*'3.CAGED'!C28*'3.CAGED'!C29*'3.CAGED'!C20/'3.CAGED'!C23,4)</f>
        <v>0.0205</v>
      </c>
      <c r="D24" s="318"/>
      <c r="F24" s="312"/>
      <c r="G24" s="328"/>
      <c r="H24" s="312"/>
      <c r="I24" s="312"/>
      <c r="J24" s="312"/>
      <c r="K24" s="312"/>
      <c r="L24" s="312"/>
    </row>
    <row r="25" customFormat="false" ht="13.8" hidden="false" customHeight="false" outlineLevel="0" collapsed="false">
      <c r="A25" s="315" t="s">
        <v>551</v>
      </c>
      <c r="B25" s="316" t="s">
        <v>552</v>
      </c>
      <c r="C25" s="319" t="n">
        <f aca="false">ROUND(('3.CAGED'!C25/'3.CAGED'!C23)*'3.CAGED'!C20/12,4)</f>
        <v>0.0018</v>
      </c>
      <c r="D25" s="318"/>
      <c r="F25" s="312"/>
      <c r="G25" s="312"/>
      <c r="H25" s="312"/>
      <c r="I25" s="312"/>
      <c r="J25" s="312"/>
      <c r="K25" s="312"/>
      <c r="L25" s="312"/>
    </row>
    <row r="26" customFormat="false" ht="13.8" hidden="false" customHeight="false" outlineLevel="0" collapsed="false">
      <c r="A26" s="315" t="s">
        <v>553</v>
      </c>
      <c r="B26" s="320" t="s">
        <v>554</v>
      </c>
      <c r="C26" s="321" t="n">
        <f aca="false">SUM(C21:C25)</f>
        <v>0.09835952</v>
      </c>
      <c r="D26" s="325"/>
      <c r="F26" s="312"/>
      <c r="G26" s="312"/>
      <c r="H26" s="312"/>
      <c r="I26" s="312"/>
      <c r="J26" s="312"/>
      <c r="K26" s="312"/>
      <c r="L26" s="312"/>
    </row>
    <row r="27" customFormat="false" ht="13.8" hidden="false" customHeight="false" outlineLevel="0" collapsed="false">
      <c r="A27" s="322"/>
      <c r="B27" s="323"/>
      <c r="C27" s="324"/>
      <c r="D27" s="325"/>
      <c r="F27" s="312"/>
      <c r="G27" s="312"/>
      <c r="H27" s="312"/>
      <c r="I27" s="312"/>
      <c r="J27" s="312"/>
      <c r="K27" s="312"/>
      <c r="L27" s="312"/>
    </row>
    <row r="28" customFormat="false" ht="13.8" hidden="false" customHeight="false" outlineLevel="0" collapsed="false">
      <c r="A28" s="315" t="s">
        <v>555</v>
      </c>
      <c r="B28" s="316" t="s">
        <v>556</v>
      </c>
      <c r="C28" s="319" t="n">
        <f aca="false">ROUND(C11*C19,4)</f>
        <v>0.0639</v>
      </c>
      <c r="D28" s="318"/>
      <c r="F28" s="312"/>
      <c r="G28" s="312"/>
      <c r="H28" s="312"/>
      <c r="I28" s="312"/>
      <c r="J28" s="312"/>
      <c r="K28" s="312"/>
      <c r="L28" s="312"/>
    </row>
    <row r="29" customFormat="false" ht="14.15" hidden="false" customHeight="false" outlineLevel="0" collapsed="false">
      <c r="A29" s="315" t="s">
        <v>557</v>
      </c>
      <c r="B29" s="329" t="s">
        <v>558</v>
      </c>
      <c r="C29" s="319" t="n">
        <f aca="false">ROUND((C21*C10),4)</f>
        <v>0.002</v>
      </c>
      <c r="D29" s="318"/>
      <c r="F29" s="312"/>
      <c r="G29" s="312"/>
      <c r="H29" s="312"/>
      <c r="I29" s="312"/>
      <c r="J29" s="312"/>
      <c r="K29" s="312"/>
      <c r="L29" s="312"/>
    </row>
    <row r="30" customFormat="false" ht="13.8" hidden="false" customHeight="false" outlineLevel="0" collapsed="false">
      <c r="A30" s="315" t="s">
        <v>559</v>
      </c>
      <c r="B30" s="320" t="s">
        <v>560</v>
      </c>
      <c r="C30" s="321" t="n">
        <f aca="false">SUM(C28:C29)</f>
        <v>0.0659</v>
      </c>
      <c r="D30" s="325"/>
      <c r="F30" s="312"/>
      <c r="G30" s="312"/>
      <c r="H30" s="312"/>
      <c r="I30" s="312"/>
      <c r="J30" s="312"/>
      <c r="K30" s="312"/>
      <c r="L30" s="312"/>
    </row>
    <row r="31" customFormat="false" ht="13.8" hidden="false" customHeight="false" outlineLevel="0" collapsed="false">
      <c r="A31" s="330"/>
      <c r="B31" s="331" t="s">
        <v>561</v>
      </c>
      <c r="C31" s="332" t="n">
        <f aca="false">C30+C26+C19+C11</f>
        <v>0.70595952</v>
      </c>
      <c r="D31" s="325"/>
      <c r="F31" s="312"/>
      <c r="G31" s="312"/>
      <c r="H31" s="312"/>
      <c r="I31" s="312"/>
      <c r="J31" s="312"/>
      <c r="K31" s="312"/>
      <c r="L31" s="312"/>
    </row>
    <row r="32" customFormat="false" ht="13.8" hidden="false" customHeight="false" outlineLevel="0" collapsed="false">
      <c r="A32" s="318"/>
      <c r="B32" s="333"/>
      <c r="C32" s="334"/>
      <c r="D32" s="335"/>
      <c r="F32" s="312"/>
      <c r="G32" s="312"/>
      <c r="H32" s="312"/>
      <c r="I32" s="312"/>
      <c r="J32" s="312"/>
      <c r="K32" s="312"/>
      <c r="L32" s="312"/>
    </row>
    <row r="33" customFormat="false" ht="13.8" hidden="false" customHeight="false" outlineLevel="0" collapsed="false">
      <c r="A33" s="318"/>
      <c r="B33" s="318"/>
      <c r="C33" s="336"/>
      <c r="D33" s="337"/>
      <c r="F33" s="312"/>
      <c r="G33" s="312"/>
      <c r="H33" s="312"/>
      <c r="I33" s="312"/>
      <c r="J33" s="312"/>
      <c r="K33" s="312"/>
      <c r="L33" s="312"/>
    </row>
  </sheetData>
  <mergeCells count="1">
    <mergeCell ref="A1:C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29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D29" activeCellId="0" sqref="D2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8.58"/>
    <col collapsed="false" customWidth="true" hidden="false" outlineLevel="0" max="2" min="2" style="115" width="72.67"/>
    <col collapsed="false" customWidth="true" hidden="false" outlineLevel="0" max="3" min="3" style="115" width="13.71"/>
    <col collapsed="false" customWidth="true" hidden="false" outlineLevel="0" max="4" min="4" style="115" width="10.3"/>
    <col collapsed="false" customWidth="true" hidden="false" outlineLevel="0" max="5" min="5" style="115" width="13.71"/>
    <col collapsed="false" customWidth="true" hidden="false" outlineLevel="0" max="64" min="6" style="115" width="9.14"/>
  </cols>
  <sheetData>
    <row r="1" customFormat="false" ht="17.35" hidden="false" customHeight="false" outlineLevel="0" collapsed="false">
      <c r="B1" s="293" t="s">
        <v>562</v>
      </c>
      <c r="C1" s="293"/>
    </row>
    <row r="2" customFormat="false" ht="13.8" hidden="false" customHeight="false" outlineLevel="0" collapsed="false">
      <c r="A2" s="312"/>
      <c r="B2" s="338" t="s">
        <v>563</v>
      </c>
      <c r="C2" s="339"/>
    </row>
    <row r="3" customFormat="false" ht="13.8" hidden="false" customHeight="false" outlineLevel="0" collapsed="false">
      <c r="A3" s="312"/>
      <c r="B3" s="340" t="s">
        <v>564</v>
      </c>
      <c r="C3" s="341" t="n">
        <v>2100</v>
      </c>
    </row>
    <row r="4" customFormat="false" ht="13.8" hidden="false" customHeight="false" outlineLevel="0" collapsed="false">
      <c r="A4" s="312"/>
      <c r="B4" s="342" t="s">
        <v>565</v>
      </c>
      <c r="C4" s="341" t="n">
        <v>2031</v>
      </c>
    </row>
    <row r="5" customFormat="false" ht="13.8" hidden="false" customHeight="false" outlineLevel="0" collapsed="false">
      <c r="A5" s="312"/>
      <c r="B5" s="255" t="s">
        <v>566</v>
      </c>
      <c r="C5" s="307" t="n">
        <v>44</v>
      </c>
    </row>
    <row r="6" customFormat="false" ht="13.8" hidden="false" customHeight="false" outlineLevel="0" collapsed="false">
      <c r="A6" s="312"/>
      <c r="B6" s="255" t="s">
        <v>567</v>
      </c>
      <c r="C6" s="343" t="n">
        <v>1192</v>
      </c>
    </row>
    <row r="7" customFormat="false" ht="13.8" hidden="false" customHeight="false" outlineLevel="0" collapsed="false">
      <c r="A7" s="312"/>
      <c r="B7" s="255" t="s">
        <v>568</v>
      </c>
      <c r="C7" s="307" t="n">
        <v>372</v>
      </c>
    </row>
    <row r="8" customFormat="false" ht="13.8" hidden="false" customHeight="false" outlineLevel="0" collapsed="false">
      <c r="A8" s="312"/>
      <c r="B8" s="255" t="s">
        <v>569</v>
      </c>
      <c r="C8" s="307" t="n">
        <v>22</v>
      </c>
    </row>
    <row r="9" customFormat="false" ht="13.8" hidden="false" customHeight="false" outlineLevel="0" collapsed="false">
      <c r="A9" s="312"/>
      <c r="B9" s="255" t="s">
        <v>570</v>
      </c>
      <c r="C9" s="307" t="n">
        <v>350</v>
      </c>
    </row>
    <row r="10" customFormat="false" ht="13.8" hidden="false" customHeight="false" outlineLevel="0" collapsed="false">
      <c r="A10" s="312"/>
      <c r="B10" s="255" t="s">
        <v>571</v>
      </c>
      <c r="C10" s="307" t="n">
        <v>1</v>
      </c>
    </row>
    <row r="11" customFormat="false" ht="13.8" hidden="false" customHeight="false" outlineLevel="0" collapsed="false">
      <c r="A11" s="312"/>
      <c r="B11" s="255" t="s">
        <v>572</v>
      </c>
      <c r="C11" s="307" t="n">
        <v>30</v>
      </c>
    </row>
    <row r="12" customFormat="false" ht="13.8" hidden="false" customHeight="false" outlineLevel="0" collapsed="false">
      <c r="A12" s="312"/>
      <c r="B12" s="344" t="s">
        <v>573</v>
      </c>
      <c r="C12" s="345" t="n">
        <v>0</v>
      </c>
    </row>
    <row r="13" customFormat="false" ht="13.8" hidden="false" customHeight="false" outlineLevel="0" collapsed="false">
      <c r="A13" s="312"/>
      <c r="B13" s="346" t="s">
        <v>574</v>
      </c>
      <c r="C13" s="345" t="n">
        <v>0</v>
      </c>
    </row>
    <row r="14" customFormat="false" ht="13.8" hidden="false" customHeight="false" outlineLevel="0" collapsed="false">
      <c r="A14" s="312" t="s">
        <v>575</v>
      </c>
      <c r="B14" s="338" t="s">
        <v>576</v>
      </c>
      <c r="C14" s="339"/>
    </row>
    <row r="15" customFormat="false" ht="13.8" hidden="false" customHeight="false" outlineLevel="0" collapsed="false">
      <c r="A15" s="312"/>
      <c r="B15" s="347" t="s">
        <v>577</v>
      </c>
      <c r="C15" s="348" t="n">
        <v>4625</v>
      </c>
    </row>
    <row r="16" customFormat="false" ht="13.8" hidden="false" customHeight="false" outlineLevel="0" collapsed="false">
      <c r="A16" s="312"/>
      <c r="B16" s="255" t="s">
        <v>578</v>
      </c>
      <c r="C16" s="343" t="n">
        <v>4694</v>
      </c>
    </row>
    <row r="17" customFormat="false" ht="13.8" hidden="false" customHeight="false" outlineLevel="0" collapsed="false">
      <c r="B17" s="255" t="s">
        <v>579</v>
      </c>
      <c r="C17" s="252" t="n">
        <f aca="false">C3-C4</f>
        <v>69</v>
      </c>
    </row>
    <row r="18" customFormat="false" ht="13.8" hidden="false" customHeight="false" outlineLevel="0" collapsed="false">
      <c r="B18" s="232"/>
      <c r="C18" s="349"/>
    </row>
    <row r="19" customFormat="false" ht="13.8" hidden="false" customHeight="false" outlineLevel="0" collapsed="false">
      <c r="A19" s="300"/>
      <c r="B19" s="340" t="s">
        <v>580</v>
      </c>
      <c r="C19" s="350" t="n">
        <f aca="false">MEDIAN(C15,C16)</f>
        <v>4659.5</v>
      </c>
      <c r="D19" s="300"/>
      <c r="E19" s="300"/>
      <c r="F19" s="300"/>
      <c r="G19" s="300"/>
      <c r="H19" s="300"/>
      <c r="I19" s="300"/>
      <c r="J19" s="300"/>
      <c r="K19" s="300"/>
      <c r="L19" s="300"/>
      <c r="M19" s="300"/>
      <c r="N19" s="300"/>
      <c r="O19" s="300"/>
      <c r="P19" s="300"/>
      <c r="Q19" s="300"/>
      <c r="R19" s="300"/>
      <c r="S19" s="300"/>
      <c r="T19" s="300"/>
      <c r="U19" s="300"/>
      <c r="V19" s="300"/>
      <c r="W19" s="300"/>
      <c r="X19" s="300"/>
      <c r="Y19" s="300"/>
      <c r="Z19" s="300"/>
      <c r="AA19" s="300"/>
      <c r="AB19" s="300"/>
      <c r="AC19" s="300"/>
      <c r="AD19" s="300"/>
      <c r="AE19" s="300"/>
      <c r="AF19" s="300"/>
      <c r="AG19" s="300"/>
      <c r="AH19" s="300"/>
      <c r="AI19" s="300"/>
      <c r="AJ19" s="300"/>
      <c r="AK19" s="300"/>
      <c r="AL19" s="300"/>
      <c r="AM19" s="300"/>
      <c r="AN19" s="300"/>
      <c r="AO19" s="300"/>
      <c r="AP19" s="300"/>
      <c r="AQ19" s="300"/>
      <c r="AR19" s="300"/>
      <c r="AS19" s="300"/>
      <c r="AT19" s="300"/>
      <c r="AU19" s="300"/>
      <c r="AV19" s="300"/>
      <c r="AW19" s="300"/>
      <c r="AX19" s="300"/>
      <c r="AY19" s="300"/>
      <c r="AZ19" s="300"/>
      <c r="BA19" s="300"/>
      <c r="BB19" s="300"/>
      <c r="BC19" s="300"/>
      <c r="BD19" s="300"/>
      <c r="BE19" s="300"/>
      <c r="BF19" s="300"/>
      <c r="BG19" s="300"/>
      <c r="BH19" s="300"/>
      <c r="BI19" s="300"/>
      <c r="BJ19" s="300"/>
      <c r="BK19" s="300"/>
      <c r="BL19" s="300"/>
    </row>
    <row r="20" customFormat="false" ht="13.8" hidden="false" customHeight="false" outlineLevel="0" collapsed="false">
      <c r="B20" s="342" t="s">
        <v>581</v>
      </c>
      <c r="C20" s="351" t="n">
        <f aca="false">C6/C19</f>
        <v>0.255821440068677</v>
      </c>
    </row>
    <row r="21" customFormat="false" ht="13.8" hidden="false" customHeight="false" outlineLevel="0" collapsed="false">
      <c r="B21" s="342" t="s">
        <v>582</v>
      </c>
      <c r="C21" s="351" t="n">
        <f aca="false">MEDIAN(C3,C4)/C19</f>
        <v>0.443287906427728</v>
      </c>
    </row>
    <row r="22" customFormat="false" ht="13.8" hidden="false" customHeight="false" outlineLevel="0" collapsed="false">
      <c r="A22" s="300"/>
      <c r="B22" s="342" t="s">
        <v>583</v>
      </c>
      <c r="C22" s="352" t="n">
        <f aca="false">12/C21</f>
        <v>27.0704429920116</v>
      </c>
      <c r="D22" s="300"/>
      <c r="E22" s="300"/>
      <c r="F22" s="300"/>
      <c r="G22" s="300"/>
      <c r="H22" s="300"/>
      <c r="I22" s="300"/>
      <c r="J22" s="300"/>
      <c r="K22" s="300"/>
      <c r="L22" s="300"/>
      <c r="M22" s="300"/>
      <c r="N22" s="300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  <c r="AA22" s="300"/>
      <c r="AB22" s="300"/>
      <c r="AC22" s="300"/>
      <c r="AD22" s="300"/>
      <c r="AE22" s="300"/>
      <c r="AF22" s="300"/>
      <c r="AG22" s="300"/>
      <c r="AH22" s="300"/>
      <c r="AI22" s="300"/>
      <c r="AJ22" s="300"/>
      <c r="AK22" s="300"/>
      <c r="AL22" s="300"/>
      <c r="AM22" s="300"/>
      <c r="AN22" s="300"/>
      <c r="AO22" s="300"/>
      <c r="AP22" s="300"/>
      <c r="AQ22" s="300"/>
      <c r="AR22" s="300"/>
      <c r="AS22" s="300"/>
      <c r="AT22" s="300"/>
      <c r="AU22" s="300"/>
      <c r="AV22" s="300"/>
      <c r="AW22" s="300"/>
      <c r="AX22" s="300"/>
      <c r="AY22" s="300"/>
      <c r="AZ22" s="300"/>
      <c r="BA22" s="300"/>
      <c r="BB22" s="300"/>
      <c r="BC22" s="300"/>
      <c r="BD22" s="300"/>
      <c r="BE22" s="300"/>
      <c r="BF22" s="300"/>
      <c r="BG22" s="300"/>
      <c r="BH22" s="300"/>
      <c r="BI22" s="300"/>
      <c r="BJ22" s="300"/>
      <c r="BK22" s="300"/>
      <c r="BL22" s="300"/>
    </row>
    <row r="23" customFormat="false" ht="13.8" hidden="false" customHeight="false" outlineLevel="0" collapsed="false">
      <c r="B23" s="342" t="s">
        <v>584</v>
      </c>
      <c r="C23" s="353" t="n">
        <v>360</v>
      </c>
    </row>
    <row r="24" customFormat="false" ht="13.8" hidden="false" customHeight="false" outlineLevel="0" collapsed="false">
      <c r="B24" s="342" t="s">
        <v>585</v>
      </c>
      <c r="C24" s="353" t="n">
        <v>10</v>
      </c>
    </row>
    <row r="25" customFormat="false" ht="13.8" hidden="false" customHeight="false" outlineLevel="0" collapsed="false">
      <c r="B25" s="340" t="s">
        <v>586</v>
      </c>
      <c r="C25" s="354" t="n">
        <v>30</v>
      </c>
    </row>
    <row r="26" customFormat="false" ht="13.8" hidden="false" customHeight="false" outlineLevel="0" collapsed="false">
      <c r="B26" s="340" t="s">
        <v>587</v>
      </c>
      <c r="C26" s="354" t="n">
        <v>30</v>
      </c>
    </row>
    <row r="27" customFormat="false" ht="13.8" hidden="false" customHeight="false" outlineLevel="0" collapsed="false">
      <c r="A27" s="300"/>
      <c r="B27" s="340" t="s">
        <v>588</v>
      </c>
      <c r="C27" s="354" t="n">
        <f aca="false">30+(3*TRUNC(1/C21))</f>
        <v>36</v>
      </c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300"/>
      <c r="BA27" s="300"/>
      <c r="BB27" s="300"/>
      <c r="BC27" s="300"/>
      <c r="BD27" s="300"/>
      <c r="BE27" s="300"/>
      <c r="BF27" s="300"/>
      <c r="BG27" s="300"/>
      <c r="BH27" s="300"/>
      <c r="BI27" s="300"/>
      <c r="BJ27" s="300"/>
      <c r="BK27" s="300"/>
      <c r="BL27" s="300"/>
    </row>
    <row r="28" customFormat="false" ht="13.8" hidden="false" customHeight="false" outlineLevel="0" collapsed="false">
      <c r="A28" s="300"/>
      <c r="B28" s="342" t="s">
        <v>526</v>
      </c>
      <c r="C28" s="355" t="n">
        <v>0.08</v>
      </c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0"/>
      <c r="T28" s="300"/>
      <c r="U28" s="300"/>
      <c r="V28" s="300"/>
      <c r="W28" s="300"/>
      <c r="X28" s="300"/>
      <c r="Y28" s="300"/>
      <c r="Z28" s="300"/>
      <c r="AA28" s="300"/>
      <c r="AB28" s="300"/>
      <c r="AC28" s="300"/>
      <c r="AD28" s="300"/>
      <c r="AE28" s="300"/>
      <c r="AF28" s="300"/>
      <c r="AG28" s="300"/>
      <c r="AH28" s="300"/>
      <c r="AI28" s="300"/>
      <c r="AJ28" s="300"/>
      <c r="AK28" s="300"/>
      <c r="AL28" s="300"/>
      <c r="AM28" s="300"/>
      <c r="AN28" s="300"/>
      <c r="AO28" s="300"/>
      <c r="AP28" s="300"/>
      <c r="AQ28" s="300"/>
      <c r="AR28" s="300"/>
      <c r="AS28" s="300"/>
      <c r="AT28" s="300"/>
      <c r="AU28" s="300"/>
      <c r="AV28" s="300"/>
      <c r="AW28" s="300"/>
      <c r="AX28" s="300"/>
      <c r="AY28" s="300"/>
      <c r="AZ28" s="300"/>
      <c r="BA28" s="300"/>
      <c r="BB28" s="300"/>
      <c r="BC28" s="300"/>
      <c r="BD28" s="300"/>
      <c r="BE28" s="300"/>
      <c r="BF28" s="300"/>
      <c r="BG28" s="300"/>
      <c r="BH28" s="300"/>
      <c r="BI28" s="300"/>
      <c r="BJ28" s="300"/>
      <c r="BK28" s="300"/>
      <c r="BL28" s="300"/>
    </row>
    <row r="29" customFormat="false" ht="13.8" hidden="false" customHeight="false" outlineLevel="0" collapsed="false">
      <c r="A29" s="300"/>
      <c r="B29" s="356" t="s">
        <v>589</v>
      </c>
      <c r="C29" s="357" t="n">
        <v>0.4</v>
      </c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0"/>
      <c r="T29" s="300"/>
      <c r="U29" s="300"/>
      <c r="V29" s="300"/>
      <c r="W29" s="300"/>
      <c r="X29" s="300"/>
      <c r="Y29" s="300"/>
      <c r="Z29" s="300"/>
      <c r="AA29" s="300"/>
      <c r="AB29" s="300"/>
      <c r="AC29" s="300"/>
      <c r="AD29" s="300"/>
      <c r="AE29" s="300"/>
      <c r="AF29" s="300"/>
      <c r="AG29" s="300"/>
      <c r="AH29" s="300"/>
      <c r="AI29" s="300"/>
      <c r="AJ29" s="300"/>
      <c r="AK29" s="300"/>
      <c r="AL29" s="300"/>
      <c r="AM29" s="300"/>
      <c r="AN29" s="300"/>
      <c r="AO29" s="300"/>
      <c r="AP29" s="300"/>
      <c r="AQ29" s="300"/>
      <c r="AR29" s="300"/>
      <c r="AS29" s="300"/>
      <c r="AT29" s="300"/>
      <c r="AU29" s="300"/>
      <c r="AV29" s="300"/>
      <c r="AW29" s="300"/>
      <c r="AX29" s="300"/>
      <c r="AY29" s="300"/>
      <c r="AZ29" s="300"/>
      <c r="BA29" s="300"/>
      <c r="BB29" s="300"/>
      <c r="BC29" s="300"/>
      <c r="BD29" s="300"/>
      <c r="BE29" s="300"/>
      <c r="BF29" s="300"/>
      <c r="BG29" s="300"/>
      <c r="BH29" s="300"/>
      <c r="BI29" s="300"/>
      <c r="BJ29" s="300"/>
      <c r="BK29" s="300"/>
      <c r="BL29" s="300"/>
    </row>
  </sheetData>
  <mergeCells count="1">
    <mergeCell ref="B1:C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9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7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A3" activeCellId="0" sqref="A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24.59"/>
    <col collapsed="false" customWidth="true" hidden="false" outlineLevel="0" max="2" min="2" style="115" width="22.49"/>
    <col collapsed="false" customWidth="true" hidden="false" outlineLevel="0" max="64" min="3" style="115" width="9.14"/>
    <col collapsed="false" customWidth="true" hidden="false" outlineLevel="0" max="1024" min="65" style="3" width="9.14"/>
  </cols>
  <sheetData>
    <row r="1" customFormat="false" ht="19.5" hidden="false" customHeight="true" outlineLevel="0" collapsed="false">
      <c r="A1" s="358" t="s">
        <v>590</v>
      </c>
      <c r="B1" s="358"/>
    </row>
    <row r="2" customFormat="false" ht="19.5" hidden="false" customHeight="true" outlineLevel="0" collapsed="false">
      <c r="A2" s="359" t="s">
        <v>591</v>
      </c>
      <c r="B2" s="360" t="s">
        <v>592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0"/>
      <c r="BT2" s="300"/>
      <c r="BU2" s="300"/>
      <c r="BV2" s="300"/>
      <c r="BW2" s="300"/>
      <c r="BX2" s="300"/>
      <c r="BY2" s="300"/>
      <c r="BZ2" s="300"/>
      <c r="CA2" s="300"/>
      <c r="CB2" s="300"/>
      <c r="CC2" s="300"/>
      <c r="CD2" s="300"/>
      <c r="CE2" s="300"/>
      <c r="CF2" s="300"/>
      <c r="CG2" s="300"/>
      <c r="CH2" s="300"/>
      <c r="CI2" s="300"/>
      <c r="CJ2" s="300"/>
      <c r="CK2" s="300"/>
      <c r="CL2" s="300"/>
      <c r="CM2" s="300"/>
      <c r="CN2" s="300"/>
      <c r="CO2" s="300"/>
      <c r="CP2" s="300"/>
      <c r="CQ2" s="300"/>
      <c r="CR2" s="300"/>
      <c r="CS2" s="300"/>
      <c r="CT2" s="300"/>
      <c r="CU2" s="300"/>
      <c r="CV2" s="300"/>
      <c r="CW2" s="300"/>
      <c r="CX2" s="300"/>
      <c r="CY2" s="300"/>
      <c r="CZ2" s="300"/>
      <c r="DA2" s="300"/>
      <c r="DB2" s="300"/>
      <c r="DC2" s="300"/>
      <c r="DD2" s="300"/>
      <c r="DE2" s="300"/>
      <c r="DF2" s="300"/>
      <c r="DG2" s="300"/>
      <c r="DH2" s="300"/>
      <c r="DI2" s="300"/>
      <c r="DJ2" s="300"/>
      <c r="DK2" s="300"/>
      <c r="DL2" s="300"/>
      <c r="DM2" s="300"/>
      <c r="DN2" s="300"/>
      <c r="DO2" s="300"/>
      <c r="DP2" s="300"/>
      <c r="DQ2" s="300"/>
      <c r="DR2" s="300"/>
      <c r="DS2" s="300"/>
      <c r="DT2" s="300"/>
      <c r="DU2" s="300"/>
      <c r="DV2" s="300"/>
      <c r="DW2" s="300"/>
      <c r="DX2" s="300"/>
      <c r="DY2" s="300"/>
      <c r="DZ2" s="300"/>
      <c r="EA2" s="300"/>
      <c r="EB2" s="300"/>
      <c r="EC2" s="300"/>
      <c r="ED2" s="300"/>
      <c r="EE2" s="300"/>
      <c r="EF2" s="300"/>
      <c r="EG2" s="300"/>
      <c r="EH2" s="300"/>
      <c r="EI2" s="300"/>
      <c r="EJ2" s="300"/>
      <c r="EK2" s="300"/>
      <c r="EL2" s="300"/>
      <c r="EM2" s="300"/>
      <c r="EN2" s="300"/>
      <c r="EO2" s="300"/>
      <c r="EP2" s="300"/>
      <c r="EQ2" s="300"/>
      <c r="ER2" s="300"/>
      <c r="ES2" s="300"/>
      <c r="ET2" s="300"/>
      <c r="EU2" s="300"/>
      <c r="EV2" s="300"/>
      <c r="EW2" s="300"/>
      <c r="EX2" s="300"/>
      <c r="EY2" s="300"/>
      <c r="EZ2" s="300"/>
      <c r="FA2" s="300"/>
      <c r="FB2" s="300"/>
      <c r="FC2" s="300"/>
      <c r="FD2" s="300"/>
      <c r="FE2" s="300"/>
      <c r="FF2" s="300"/>
      <c r="FG2" s="300"/>
      <c r="FH2" s="300"/>
      <c r="FI2" s="300"/>
      <c r="FJ2" s="300"/>
      <c r="FK2" s="300"/>
      <c r="FL2" s="300"/>
      <c r="FM2" s="300"/>
      <c r="FN2" s="300"/>
      <c r="FO2" s="300"/>
      <c r="FP2" s="300"/>
      <c r="FQ2" s="300"/>
      <c r="FR2" s="300"/>
      <c r="FS2" s="300"/>
      <c r="FT2" s="300"/>
      <c r="FU2" s="300"/>
      <c r="FV2" s="300"/>
      <c r="FW2" s="300"/>
      <c r="FX2" s="300"/>
      <c r="FY2" s="300"/>
      <c r="FZ2" s="300"/>
      <c r="GA2" s="300"/>
      <c r="GB2" s="300"/>
      <c r="GC2" s="300"/>
      <c r="GD2" s="300"/>
      <c r="GE2" s="300"/>
      <c r="GF2" s="300"/>
      <c r="GG2" s="300"/>
      <c r="GH2" s="300"/>
      <c r="GI2" s="300"/>
      <c r="GJ2" s="300"/>
      <c r="GK2" s="300"/>
      <c r="GL2" s="300"/>
      <c r="GM2" s="300"/>
      <c r="GN2" s="300"/>
      <c r="GO2" s="300"/>
      <c r="GP2" s="300"/>
      <c r="GQ2" s="300"/>
      <c r="GR2" s="300"/>
      <c r="GS2" s="300"/>
      <c r="GT2" s="300"/>
      <c r="GU2" s="300"/>
      <c r="GV2" s="300"/>
      <c r="GW2" s="300"/>
      <c r="GX2" s="300"/>
      <c r="GY2" s="300"/>
      <c r="GZ2" s="300"/>
      <c r="HA2" s="300"/>
      <c r="HB2" s="300"/>
      <c r="HC2" s="300"/>
      <c r="HD2" s="300"/>
      <c r="HE2" s="300"/>
      <c r="HF2" s="300"/>
      <c r="HG2" s="300"/>
      <c r="HH2" s="300"/>
      <c r="HI2" s="300"/>
      <c r="HJ2" s="300"/>
      <c r="HK2" s="300"/>
      <c r="HL2" s="300"/>
      <c r="HM2" s="300"/>
      <c r="HN2" s="300"/>
      <c r="HO2" s="300"/>
      <c r="HP2" s="300"/>
      <c r="HQ2" s="300"/>
      <c r="HR2" s="300"/>
      <c r="HS2" s="300"/>
      <c r="HT2" s="300"/>
      <c r="HU2" s="300"/>
      <c r="HV2" s="300"/>
      <c r="HW2" s="300"/>
      <c r="HX2" s="300"/>
      <c r="HY2" s="300"/>
      <c r="HZ2" s="300"/>
      <c r="IA2" s="300"/>
      <c r="IB2" s="300"/>
      <c r="IC2" s="300"/>
      <c r="ID2" s="300"/>
      <c r="IE2" s="300"/>
      <c r="IF2" s="300"/>
      <c r="IG2" s="300"/>
      <c r="IH2" s="300"/>
      <c r="II2" s="300"/>
      <c r="IJ2" s="300"/>
      <c r="IK2" s="300"/>
      <c r="IL2" s="300"/>
      <c r="IM2" s="300"/>
      <c r="IN2" s="300"/>
      <c r="IO2" s="300"/>
      <c r="IP2" s="300"/>
      <c r="IQ2" s="300"/>
      <c r="IR2" s="300"/>
      <c r="IS2" s="300"/>
      <c r="IT2" s="300"/>
      <c r="IU2" s="300"/>
      <c r="IV2" s="300"/>
      <c r="IW2" s="300"/>
      <c r="IX2" s="300"/>
      <c r="IY2" s="300"/>
      <c r="IZ2" s="300"/>
      <c r="JA2" s="300"/>
      <c r="JB2" s="300"/>
      <c r="JC2" s="300"/>
      <c r="JD2" s="300"/>
      <c r="JE2" s="300"/>
      <c r="JF2" s="300"/>
      <c r="JG2" s="300"/>
      <c r="JH2" s="300"/>
      <c r="JI2" s="300"/>
      <c r="JJ2" s="300"/>
      <c r="JK2" s="300"/>
      <c r="JL2" s="300"/>
      <c r="JM2" s="300"/>
      <c r="JN2" s="300"/>
      <c r="JO2" s="300"/>
      <c r="JP2" s="300"/>
      <c r="JQ2" s="300"/>
      <c r="JR2" s="300"/>
      <c r="JS2" s="300"/>
      <c r="JT2" s="300"/>
      <c r="JU2" s="300"/>
      <c r="JV2" s="300"/>
      <c r="JW2" s="300"/>
      <c r="JX2" s="300"/>
      <c r="JY2" s="300"/>
      <c r="JZ2" s="300"/>
      <c r="KA2" s="300"/>
      <c r="KB2" s="300"/>
      <c r="KC2" s="300"/>
      <c r="KD2" s="300"/>
      <c r="KE2" s="300"/>
      <c r="KF2" s="300"/>
      <c r="KG2" s="300"/>
      <c r="KH2" s="300"/>
      <c r="KI2" s="300"/>
      <c r="KJ2" s="300"/>
      <c r="KK2" s="300"/>
      <c r="KL2" s="300"/>
      <c r="KM2" s="300"/>
      <c r="KN2" s="300"/>
      <c r="KO2" s="300"/>
      <c r="KP2" s="300"/>
      <c r="KQ2" s="300"/>
      <c r="KR2" s="300"/>
      <c r="KS2" s="300"/>
      <c r="KT2" s="300"/>
      <c r="KU2" s="300"/>
      <c r="KV2" s="300"/>
      <c r="KW2" s="300"/>
      <c r="KX2" s="300"/>
      <c r="KY2" s="300"/>
      <c r="KZ2" s="300"/>
      <c r="LA2" s="300"/>
      <c r="LB2" s="300"/>
      <c r="LC2" s="300"/>
      <c r="LD2" s="300"/>
      <c r="LE2" s="300"/>
      <c r="LF2" s="300"/>
      <c r="LG2" s="300"/>
      <c r="LH2" s="300"/>
      <c r="LI2" s="300"/>
      <c r="LJ2" s="300"/>
      <c r="LK2" s="300"/>
      <c r="LL2" s="300"/>
      <c r="LM2" s="300"/>
      <c r="LN2" s="300"/>
      <c r="LO2" s="300"/>
      <c r="LP2" s="300"/>
      <c r="LQ2" s="300"/>
      <c r="LR2" s="300"/>
      <c r="LS2" s="300"/>
      <c r="LT2" s="300"/>
      <c r="LU2" s="300"/>
      <c r="LV2" s="300"/>
      <c r="LW2" s="300"/>
      <c r="LX2" s="300"/>
      <c r="LY2" s="300"/>
      <c r="LZ2" s="300"/>
      <c r="MA2" s="300"/>
      <c r="MB2" s="300"/>
      <c r="MC2" s="300"/>
      <c r="MD2" s="300"/>
      <c r="ME2" s="300"/>
      <c r="MF2" s="300"/>
      <c r="MG2" s="300"/>
      <c r="MH2" s="300"/>
      <c r="MI2" s="300"/>
      <c r="MJ2" s="300"/>
      <c r="MK2" s="300"/>
      <c r="ML2" s="300"/>
      <c r="MM2" s="300"/>
      <c r="MN2" s="300"/>
      <c r="MO2" s="300"/>
      <c r="MP2" s="300"/>
      <c r="MQ2" s="300"/>
      <c r="MR2" s="300"/>
      <c r="MS2" s="300"/>
      <c r="MT2" s="300"/>
      <c r="MU2" s="300"/>
      <c r="MV2" s="300"/>
      <c r="MW2" s="300"/>
      <c r="MX2" s="300"/>
      <c r="MY2" s="300"/>
      <c r="MZ2" s="300"/>
      <c r="NA2" s="300"/>
      <c r="NB2" s="300"/>
      <c r="NC2" s="300"/>
      <c r="ND2" s="300"/>
      <c r="NE2" s="300"/>
      <c r="NF2" s="300"/>
      <c r="NG2" s="300"/>
      <c r="NH2" s="300"/>
      <c r="NI2" s="300"/>
      <c r="NJ2" s="300"/>
      <c r="NK2" s="300"/>
      <c r="NL2" s="300"/>
      <c r="NM2" s="300"/>
      <c r="NN2" s="300"/>
      <c r="NO2" s="300"/>
      <c r="NP2" s="300"/>
      <c r="NQ2" s="300"/>
      <c r="NR2" s="300"/>
      <c r="NS2" s="300"/>
      <c r="NT2" s="300"/>
      <c r="NU2" s="300"/>
      <c r="NV2" s="300"/>
      <c r="NW2" s="300"/>
      <c r="NX2" s="300"/>
      <c r="NY2" s="300"/>
      <c r="NZ2" s="300"/>
      <c r="OA2" s="300"/>
      <c r="OB2" s="300"/>
      <c r="OC2" s="300"/>
      <c r="OD2" s="300"/>
      <c r="OE2" s="300"/>
      <c r="OF2" s="300"/>
      <c r="OG2" s="300"/>
      <c r="OH2" s="300"/>
      <c r="OI2" s="300"/>
      <c r="OJ2" s="300"/>
      <c r="OK2" s="300"/>
      <c r="OL2" s="300"/>
      <c r="OM2" s="300"/>
      <c r="ON2" s="300"/>
      <c r="OO2" s="300"/>
      <c r="OP2" s="300"/>
      <c r="OQ2" s="300"/>
      <c r="OR2" s="300"/>
      <c r="OS2" s="300"/>
      <c r="OT2" s="300"/>
      <c r="OU2" s="300"/>
      <c r="OV2" s="300"/>
      <c r="OW2" s="300"/>
      <c r="OX2" s="300"/>
      <c r="OY2" s="300"/>
      <c r="OZ2" s="300"/>
      <c r="PA2" s="300"/>
      <c r="PB2" s="300"/>
      <c r="PC2" s="300"/>
      <c r="PD2" s="300"/>
      <c r="PE2" s="300"/>
      <c r="PF2" s="300"/>
      <c r="PG2" s="300"/>
      <c r="PH2" s="300"/>
      <c r="PI2" s="300"/>
      <c r="PJ2" s="300"/>
      <c r="PK2" s="300"/>
      <c r="PL2" s="300"/>
      <c r="PM2" s="300"/>
      <c r="PN2" s="300"/>
      <c r="PO2" s="300"/>
      <c r="PP2" s="300"/>
      <c r="PQ2" s="300"/>
      <c r="PR2" s="300"/>
      <c r="PS2" s="300"/>
      <c r="PT2" s="300"/>
      <c r="PU2" s="300"/>
      <c r="PV2" s="300"/>
      <c r="PW2" s="300"/>
      <c r="PX2" s="300"/>
      <c r="PY2" s="300"/>
      <c r="PZ2" s="300"/>
      <c r="QA2" s="300"/>
      <c r="QB2" s="300"/>
      <c r="QC2" s="300"/>
      <c r="QD2" s="300"/>
      <c r="QE2" s="300"/>
      <c r="QF2" s="300"/>
      <c r="QG2" s="300"/>
      <c r="QH2" s="300"/>
      <c r="QI2" s="300"/>
      <c r="QJ2" s="300"/>
      <c r="QK2" s="300"/>
      <c r="QL2" s="300"/>
      <c r="QM2" s="300"/>
      <c r="QN2" s="300"/>
      <c r="QO2" s="300"/>
      <c r="QP2" s="300"/>
      <c r="QQ2" s="300"/>
      <c r="QR2" s="300"/>
      <c r="QS2" s="300"/>
      <c r="QT2" s="300"/>
      <c r="QU2" s="300"/>
      <c r="QV2" s="300"/>
      <c r="QW2" s="300"/>
      <c r="QX2" s="300"/>
      <c r="QY2" s="300"/>
      <c r="QZ2" s="300"/>
      <c r="RA2" s="300"/>
      <c r="RB2" s="300"/>
      <c r="RC2" s="300"/>
      <c r="RD2" s="300"/>
      <c r="RE2" s="300"/>
      <c r="RF2" s="300"/>
      <c r="RG2" s="300"/>
      <c r="RH2" s="300"/>
      <c r="RI2" s="300"/>
      <c r="RJ2" s="300"/>
      <c r="RK2" s="300"/>
      <c r="RL2" s="300"/>
      <c r="RM2" s="300"/>
      <c r="RN2" s="300"/>
      <c r="RO2" s="300"/>
      <c r="RP2" s="300"/>
      <c r="RQ2" s="300"/>
      <c r="RR2" s="300"/>
      <c r="RS2" s="300"/>
      <c r="RT2" s="300"/>
      <c r="RU2" s="300"/>
      <c r="RV2" s="300"/>
      <c r="RW2" s="300"/>
      <c r="RX2" s="300"/>
      <c r="RY2" s="300"/>
      <c r="RZ2" s="300"/>
      <c r="SA2" s="300"/>
      <c r="SB2" s="300"/>
      <c r="SC2" s="300"/>
      <c r="SD2" s="300"/>
      <c r="SE2" s="300"/>
      <c r="SF2" s="300"/>
      <c r="SG2" s="300"/>
      <c r="SH2" s="300"/>
      <c r="SI2" s="300"/>
      <c r="SJ2" s="300"/>
      <c r="SK2" s="300"/>
      <c r="SL2" s="300"/>
      <c r="SM2" s="300"/>
      <c r="SN2" s="300"/>
      <c r="SO2" s="300"/>
      <c r="SP2" s="300"/>
      <c r="SQ2" s="300"/>
      <c r="SR2" s="300"/>
      <c r="SS2" s="300"/>
      <c r="ST2" s="300"/>
      <c r="SU2" s="300"/>
      <c r="SV2" s="300"/>
      <c r="SW2" s="300"/>
      <c r="SX2" s="300"/>
      <c r="SY2" s="300"/>
      <c r="SZ2" s="300"/>
      <c r="TA2" s="300"/>
      <c r="TB2" s="300"/>
      <c r="TC2" s="300"/>
      <c r="TD2" s="300"/>
      <c r="TE2" s="300"/>
      <c r="TF2" s="300"/>
      <c r="TG2" s="300"/>
      <c r="TH2" s="300"/>
      <c r="TI2" s="300"/>
      <c r="TJ2" s="300"/>
      <c r="TK2" s="300"/>
      <c r="TL2" s="300"/>
      <c r="TM2" s="300"/>
      <c r="TN2" s="300"/>
      <c r="TO2" s="300"/>
      <c r="TP2" s="300"/>
      <c r="TQ2" s="300"/>
      <c r="TR2" s="300"/>
      <c r="TS2" s="300"/>
      <c r="TT2" s="300"/>
      <c r="TU2" s="300"/>
      <c r="TV2" s="300"/>
      <c r="TW2" s="300"/>
      <c r="TX2" s="300"/>
      <c r="TY2" s="300"/>
      <c r="TZ2" s="300"/>
      <c r="UA2" s="300"/>
      <c r="UB2" s="300"/>
      <c r="UC2" s="300"/>
      <c r="UD2" s="300"/>
      <c r="UE2" s="300"/>
      <c r="UF2" s="300"/>
      <c r="UG2" s="300"/>
      <c r="UH2" s="300"/>
      <c r="UI2" s="300"/>
      <c r="UJ2" s="300"/>
      <c r="UK2" s="300"/>
      <c r="UL2" s="300"/>
      <c r="UM2" s="300"/>
      <c r="UN2" s="300"/>
      <c r="UO2" s="300"/>
      <c r="UP2" s="300"/>
      <c r="UQ2" s="300"/>
      <c r="UR2" s="300"/>
      <c r="US2" s="300"/>
      <c r="UT2" s="300"/>
      <c r="UU2" s="300"/>
      <c r="UV2" s="300"/>
      <c r="UW2" s="300"/>
      <c r="UX2" s="300"/>
      <c r="UY2" s="300"/>
      <c r="UZ2" s="300"/>
      <c r="VA2" s="300"/>
      <c r="VB2" s="300"/>
      <c r="VC2" s="300"/>
      <c r="VD2" s="300"/>
      <c r="VE2" s="300"/>
      <c r="VF2" s="300"/>
      <c r="VG2" s="300"/>
      <c r="VH2" s="300"/>
      <c r="VI2" s="300"/>
      <c r="VJ2" s="300"/>
      <c r="VK2" s="300"/>
      <c r="VL2" s="300"/>
      <c r="VM2" s="300"/>
      <c r="VN2" s="300"/>
      <c r="VO2" s="300"/>
      <c r="VP2" s="300"/>
      <c r="VQ2" s="300"/>
      <c r="VR2" s="300"/>
      <c r="VS2" s="300"/>
      <c r="VT2" s="300"/>
      <c r="VU2" s="300"/>
      <c r="VV2" s="300"/>
      <c r="VW2" s="300"/>
      <c r="VX2" s="300"/>
      <c r="VY2" s="300"/>
      <c r="VZ2" s="300"/>
      <c r="WA2" s="300"/>
      <c r="WB2" s="300"/>
      <c r="WC2" s="300"/>
      <c r="WD2" s="300"/>
      <c r="WE2" s="300"/>
      <c r="WF2" s="300"/>
      <c r="WG2" s="300"/>
      <c r="WH2" s="300"/>
      <c r="WI2" s="300"/>
      <c r="WJ2" s="300"/>
      <c r="WK2" s="300"/>
      <c r="WL2" s="300"/>
      <c r="WM2" s="300"/>
      <c r="WN2" s="300"/>
      <c r="WO2" s="300"/>
      <c r="WP2" s="300"/>
      <c r="WQ2" s="300"/>
      <c r="WR2" s="300"/>
      <c r="WS2" s="300"/>
      <c r="WT2" s="300"/>
      <c r="WU2" s="300"/>
      <c r="WV2" s="300"/>
      <c r="WW2" s="300"/>
      <c r="WX2" s="300"/>
      <c r="WY2" s="300"/>
      <c r="WZ2" s="300"/>
      <c r="XA2" s="300"/>
      <c r="XB2" s="300"/>
      <c r="XC2" s="300"/>
      <c r="XD2" s="300"/>
      <c r="XE2" s="300"/>
      <c r="XF2" s="300"/>
      <c r="XG2" s="300"/>
      <c r="XH2" s="300"/>
      <c r="XI2" s="300"/>
      <c r="XJ2" s="300"/>
      <c r="XK2" s="300"/>
      <c r="XL2" s="300"/>
      <c r="XM2" s="300"/>
      <c r="XN2" s="300"/>
      <c r="XO2" s="300"/>
      <c r="XP2" s="300"/>
      <c r="XQ2" s="300"/>
      <c r="XR2" s="300"/>
      <c r="XS2" s="300"/>
      <c r="XT2" s="300"/>
      <c r="XU2" s="300"/>
      <c r="XV2" s="300"/>
      <c r="XW2" s="300"/>
      <c r="XX2" s="300"/>
      <c r="XY2" s="300"/>
      <c r="XZ2" s="300"/>
      <c r="YA2" s="300"/>
      <c r="YB2" s="300"/>
      <c r="YC2" s="300"/>
      <c r="YD2" s="300"/>
      <c r="YE2" s="300"/>
      <c r="YF2" s="300"/>
      <c r="YG2" s="300"/>
      <c r="YH2" s="300"/>
      <c r="YI2" s="300"/>
      <c r="YJ2" s="300"/>
      <c r="YK2" s="300"/>
      <c r="YL2" s="300"/>
      <c r="YM2" s="300"/>
      <c r="YN2" s="300"/>
      <c r="YO2" s="300"/>
      <c r="YP2" s="300"/>
      <c r="YQ2" s="300"/>
      <c r="YR2" s="300"/>
      <c r="YS2" s="300"/>
      <c r="YT2" s="300"/>
      <c r="YU2" s="300"/>
      <c r="YV2" s="300"/>
      <c r="YW2" s="300"/>
      <c r="YX2" s="300"/>
      <c r="YY2" s="300"/>
      <c r="YZ2" s="300"/>
      <c r="ZA2" s="300"/>
      <c r="ZB2" s="300"/>
      <c r="ZC2" s="300"/>
      <c r="ZD2" s="300"/>
      <c r="ZE2" s="300"/>
      <c r="ZF2" s="300"/>
      <c r="ZG2" s="300"/>
      <c r="ZH2" s="300"/>
      <c r="ZI2" s="300"/>
      <c r="ZJ2" s="300"/>
      <c r="ZK2" s="300"/>
      <c r="ZL2" s="300"/>
      <c r="ZM2" s="300"/>
      <c r="ZN2" s="300"/>
      <c r="ZO2" s="300"/>
      <c r="ZP2" s="300"/>
      <c r="ZQ2" s="300"/>
      <c r="ZR2" s="300"/>
      <c r="ZS2" s="300"/>
      <c r="ZT2" s="300"/>
      <c r="ZU2" s="300"/>
      <c r="ZV2" s="300"/>
      <c r="ZW2" s="300"/>
      <c r="ZX2" s="300"/>
      <c r="ZY2" s="300"/>
      <c r="ZZ2" s="300"/>
      <c r="AAA2" s="300"/>
      <c r="AAB2" s="300"/>
      <c r="AAC2" s="300"/>
      <c r="AAD2" s="300"/>
      <c r="AAE2" s="300"/>
      <c r="AAF2" s="300"/>
      <c r="AAG2" s="300"/>
      <c r="AAH2" s="300"/>
      <c r="AAI2" s="300"/>
      <c r="AAJ2" s="300"/>
      <c r="AAK2" s="300"/>
      <c r="AAL2" s="300"/>
      <c r="AAM2" s="300"/>
      <c r="AAN2" s="300"/>
      <c r="AAO2" s="300"/>
      <c r="AAP2" s="300"/>
      <c r="AAQ2" s="300"/>
      <c r="AAR2" s="300"/>
      <c r="AAS2" s="300"/>
      <c r="AAT2" s="300"/>
      <c r="AAU2" s="300"/>
      <c r="AAV2" s="300"/>
      <c r="AAW2" s="300"/>
      <c r="AAX2" s="300"/>
      <c r="AAY2" s="300"/>
      <c r="AAZ2" s="300"/>
      <c r="ABA2" s="300"/>
      <c r="ABB2" s="300"/>
      <c r="ABC2" s="300"/>
      <c r="ABD2" s="300"/>
      <c r="ABE2" s="300"/>
      <c r="ABF2" s="300"/>
      <c r="ABG2" s="300"/>
      <c r="ABH2" s="300"/>
      <c r="ABI2" s="300"/>
      <c r="ABJ2" s="300"/>
      <c r="ABK2" s="300"/>
      <c r="ABL2" s="300"/>
      <c r="ABM2" s="300"/>
      <c r="ABN2" s="300"/>
      <c r="ABO2" s="300"/>
      <c r="ABP2" s="300"/>
      <c r="ABQ2" s="300"/>
      <c r="ABR2" s="300"/>
      <c r="ABS2" s="300"/>
      <c r="ABT2" s="300"/>
      <c r="ABU2" s="300"/>
      <c r="ABV2" s="300"/>
      <c r="ABW2" s="300"/>
      <c r="ABX2" s="300"/>
      <c r="ABY2" s="300"/>
      <c r="ABZ2" s="300"/>
      <c r="ACA2" s="300"/>
      <c r="ACB2" s="300"/>
      <c r="ACC2" s="300"/>
      <c r="ACD2" s="300"/>
      <c r="ACE2" s="300"/>
      <c r="ACF2" s="300"/>
      <c r="ACG2" s="300"/>
      <c r="ACH2" s="300"/>
      <c r="ACI2" s="300"/>
      <c r="ACJ2" s="300"/>
      <c r="ACK2" s="300"/>
      <c r="ACL2" s="300"/>
      <c r="ACM2" s="300"/>
      <c r="ACN2" s="300"/>
      <c r="ACO2" s="300"/>
      <c r="ACP2" s="300"/>
      <c r="ACQ2" s="300"/>
      <c r="ACR2" s="300"/>
      <c r="ACS2" s="300"/>
      <c r="ACT2" s="300"/>
      <c r="ACU2" s="300"/>
      <c r="ACV2" s="300"/>
      <c r="ACW2" s="300"/>
      <c r="ACX2" s="300"/>
      <c r="ACY2" s="300"/>
      <c r="ACZ2" s="300"/>
      <c r="ADA2" s="300"/>
      <c r="ADB2" s="300"/>
      <c r="ADC2" s="300"/>
      <c r="ADD2" s="300"/>
      <c r="ADE2" s="300"/>
      <c r="ADF2" s="300"/>
      <c r="ADG2" s="300"/>
      <c r="ADH2" s="300"/>
      <c r="ADI2" s="300"/>
      <c r="ADJ2" s="300"/>
      <c r="ADK2" s="300"/>
      <c r="ADL2" s="300"/>
      <c r="ADM2" s="300"/>
      <c r="ADN2" s="300"/>
      <c r="ADO2" s="300"/>
      <c r="ADP2" s="300"/>
      <c r="ADQ2" s="300"/>
      <c r="ADR2" s="300"/>
      <c r="ADS2" s="300"/>
      <c r="ADT2" s="300"/>
      <c r="ADU2" s="300"/>
      <c r="ADV2" s="300"/>
      <c r="ADW2" s="300"/>
      <c r="ADX2" s="300"/>
      <c r="ADY2" s="300"/>
      <c r="ADZ2" s="300"/>
      <c r="AEA2" s="300"/>
      <c r="AEB2" s="300"/>
      <c r="AEC2" s="300"/>
      <c r="AED2" s="300"/>
      <c r="AEE2" s="300"/>
      <c r="AEF2" s="300"/>
      <c r="AEG2" s="300"/>
      <c r="AEH2" s="300"/>
      <c r="AEI2" s="300"/>
      <c r="AEJ2" s="300"/>
      <c r="AEK2" s="300"/>
      <c r="AEL2" s="300"/>
      <c r="AEM2" s="300"/>
      <c r="AEN2" s="300"/>
      <c r="AEO2" s="300"/>
      <c r="AEP2" s="300"/>
      <c r="AEQ2" s="300"/>
      <c r="AER2" s="300"/>
      <c r="AES2" s="300"/>
      <c r="AET2" s="300"/>
      <c r="AEU2" s="300"/>
      <c r="AEV2" s="300"/>
      <c r="AEW2" s="300"/>
      <c r="AEX2" s="300"/>
      <c r="AEY2" s="300"/>
      <c r="AEZ2" s="300"/>
      <c r="AFA2" s="300"/>
      <c r="AFB2" s="300"/>
      <c r="AFC2" s="300"/>
      <c r="AFD2" s="300"/>
      <c r="AFE2" s="300"/>
      <c r="AFF2" s="300"/>
      <c r="AFG2" s="300"/>
      <c r="AFH2" s="300"/>
      <c r="AFI2" s="300"/>
      <c r="AFJ2" s="300"/>
      <c r="AFK2" s="300"/>
      <c r="AFL2" s="300"/>
      <c r="AFM2" s="300"/>
      <c r="AFN2" s="300"/>
      <c r="AFO2" s="300"/>
      <c r="AFP2" s="300"/>
      <c r="AFQ2" s="300"/>
      <c r="AFR2" s="300"/>
      <c r="AFS2" s="300"/>
      <c r="AFT2" s="300"/>
      <c r="AFU2" s="300"/>
      <c r="AFV2" s="300"/>
      <c r="AFW2" s="300"/>
      <c r="AFX2" s="300"/>
      <c r="AFY2" s="300"/>
      <c r="AFZ2" s="300"/>
      <c r="AGA2" s="300"/>
      <c r="AGB2" s="300"/>
      <c r="AGC2" s="300"/>
      <c r="AGD2" s="300"/>
      <c r="AGE2" s="300"/>
      <c r="AGF2" s="300"/>
      <c r="AGG2" s="300"/>
      <c r="AGH2" s="300"/>
      <c r="AGI2" s="300"/>
      <c r="AGJ2" s="300"/>
      <c r="AGK2" s="300"/>
      <c r="AGL2" s="300"/>
      <c r="AGM2" s="300"/>
      <c r="AGN2" s="300"/>
      <c r="AGO2" s="300"/>
      <c r="AGP2" s="300"/>
      <c r="AGQ2" s="300"/>
      <c r="AGR2" s="300"/>
      <c r="AGS2" s="300"/>
      <c r="AGT2" s="300"/>
      <c r="AGU2" s="300"/>
      <c r="AGV2" s="300"/>
      <c r="AGW2" s="300"/>
      <c r="AGX2" s="300"/>
      <c r="AGY2" s="300"/>
      <c r="AGZ2" s="300"/>
      <c r="AHA2" s="300"/>
      <c r="AHB2" s="300"/>
      <c r="AHC2" s="300"/>
      <c r="AHD2" s="300"/>
      <c r="AHE2" s="300"/>
      <c r="AHF2" s="300"/>
      <c r="AHG2" s="300"/>
      <c r="AHH2" s="300"/>
      <c r="AHI2" s="300"/>
      <c r="AHJ2" s="300"/>
      <c r="AHK2" s="300"/>
      <c r="AHL2" s="300"/>
      <c r="AHM2" s="300"/>
      <c r="AHN2" s="300"/>
      <c r="AHO2" s="300"/>
      <c r="AHP2" s="300"/>
      <c r="AHQ2" s="300"/>
      <c r="AHR2" s="300"/>
      <c r="AHS2" s="300"/>
      <c r="AHT2" s="300"/>
      <c r="AHU2" s="300"/>
      <c r="AHV2" s="300"/>
      <c r="AHW2" s="300"/>
      <c r="AHX2" s="300"/>
      <c r="AHY2" s="300"/>
      <c r="AHZ2" s="300"/>
      <c r="AIA2" s="300"/>
      <c r="AIB2" s="300"/>
      <c r="AIC2" s="300"/>
      <c r="AID2" s="300"/>
      <c r="AIE2" s="300"/>
      <c r="AIF2" s="300"/>
      <c r="AIG2" s="300"/>
      <c r="AIH2" s="300"/>
      <c r="AII2" s="300"/>
      <c r="AIJ2" s="300"/>
      <c r="AIK2" s="300"/>
      <c r="AIL2" s="300"/>
      <c r="AIM2" s="300"/>
      <c r="AIN2" s="300"/>
      <c r="AIO2" s="300"/>
      <c r="AIP2" s="300"/>
      <c r="AIQ2" s="300"/>
      <c r="AIR2" s="300"/>
      <c r="AIS2" s="300"/>
      <c r="AIT2" s="300"/>
      <c r="AIU2" s="300"/>
      <c r="AIV2" s="300"/>
      <c r="AIW2" s="300"/>
      <c r="AIX2" s="300"/>
      <c r="AIY2" s="300"/>
      <c r="AIZ2" s="300"/>
      <c r="AJA2" s="300"/>
      <c r="AJB2" s="300"/>
      <c r="AJC2" s="300"/>
      <c r="AJD2" s="300"/>
      <c r="AJE2" s="300"/>
      <c r="AJF2" s="300"/>
      <c r="AJG2" s="300"/>
      <c r="AJH2" s="300"/>
      <c r="AJI2" s="300"/>
      <c r="AJJ2" s="300"/>
      <c r="AJK2" s="300"/>
      <c r="AJL2" s="300"/>
      <c r="AJM2" s="300"/>
      <c r="AJN2" s="300"/>
      <c r="AJO2" s="300"/>
      <c r="AJP2" s="300"/>
      <c r="AJQ2" s="300"/>
      <c r="AJR2" s="300"/>
      <c r="AJS2" s="300"/>
      <c r="AJT2" s="300"/>
      <c r="AJU2" s="300"/>
      <c r="AJV2" s="300"/>
      <c r="AJW2" s="300"/>
      <c r="AJX2" s="300"/>
      <c r="AJY2" s="300"/>
      <c r="AJZ2" s="300"/>
      <c r="AKA2" s="300"/>
      <c r="AKB2" s="300"/>
      <c r="AKC2" s="300"/>
      <c r="AKD2" s="300"/>
      <c r="AKE2" s="300"/>
      <c r="AKF2" s="300"/>
      <c r="AKG2" s="300"/>
      <c r="AKH2" s="300"/>
      <c r="AKI2" s="300"/>
      <c r="AKJ2" s="300"/>
      <c r="AKK2" s="300"/>
      <c r="AKL2" s="300"/>
      <c r="AKM2" s="300"/>
      <c r="AKN2" s="300"/>
      <c r="AKO2" s="300"/>
      <c r="AKP2" s="300"/>
      <c r="AKQ2" s="300"/>
      <c r="AKR2" s="300"/>
      <c r="AKS2" s="300"/>
      <c r="AKT2" s="300"/>
      <c r="AKU2" s="300"/>
      <c r="AKV2" s="300"/>
      <c r="AKW2" s="300"/>
      <c r="AKX2" s="300"/>
      <c r="AKY2" s="300"/>
      <c r="AKZ2" s="300"/>
      <c r="ALA2" s="300"/>
      <c r="ALB2" s="300"/>
      <c r="ALC2" s="300"/>
      <c r="ALD2" s="300"/>
      <c r="ALE2" s="300"/>
      <c r="ALF2" s="300"/>
      <c r="ALG2" s="300"/>
      <c r="ALH2" s="300"/>
      <c r="ALI2" s="300"/>
      <c r="ALJ2" s="300"/>
      <c r="ALK2" s="300"/>
      <c r="ALL2" s="300"/>
      <c r="ALM2" s="300"/>
      <c r="ALN2" s="300"/>
      <c r="ALO2" s="300"/>
      <c r="ALP2" s="300"/>
      <c r="ALQ2" s="300"/>
      <c r="ALR2" s="300"/>
      <c r="ALS2" s="300"/>
      <c r="ALT2" s="300"/>
      <c r="ALU2" s="300"/>
      <c r="ALV2" s="300"/>
      <c r="ALW2" s="300"/>
      <c r="ALX2" s="300"/>
      <c r="ALY2" s="300"/>
      <c r="ALZ2" s="300"/>
      <c r="AMA2" s="300"/>
      <c r="AMB2" s="300"/>
      <c r="AMC2" s="300"/>
      <c r="AMD2" s="300"/>
      <c r="AME2" s="300"/>
      <c r="AMF2" s="300"/>
      <c r="AMG2" s="300"/>
      <c r="AMH2" s="300"/>
      <c r="AMI2" s="300"/>
      <c r="AMJ2" s="300"/>
    </row>
    <row r="3" customFormat="false" ht="19.5" hidden="false" customHeight="true" outlineLevel="0" collapsed="false">
      <c r="A3" s="361" t="n">
        <v>1</v>
      </c>
      <c r="B3" s="362" t="n">
        <v>33.63</v>
      </c>
    </row>
    <row r="4" customFormat="false" ht="19.5" hidden="false" customHeight="true" outlineLevel="0" collapsed="false">
      <c r="A4" s="361" t="n">
        <v>2</v>
      </c>
      <c r="B4" s="362" t="n">
        <v>43.13</v>
      </c>
    </row>
    <row r="5" customFormat="false" ht="19.5" hidden="false" customHeight="true" outlineLevel="0" collapsed="false">
      <c r="A5" s="361" t="n">
        <v>3</v>
      </c>
      <c r="B5" s="362" t="n">
        <v>48.68</v>
      </c>
    </row>
    <row r="6" customFormat="false" ht="19.5" hidden="false" customHeight="true" outlineLevel="0" collapsed="false">
      <c r="A6" s="361" t="n">
        <v>4</v>
      </c>
      <c r="B6" s="362" t="n">
        <v>52.62</v>
      </c>
    </row>
    <row r="7" customFormat="false" ht="19.5" hidden="false" customHeight="true" outlineLevel="0" collapsed="false">
      <c r="A7" s="361" t="n">
        <v>5</v>
      </c>
      <c r="B7" s="362" t="n">
        <v>55.68</v>
      </c>
    </row>
    <row r="8" customFormat="false" ht="19.5" hidden="false" customHeight="true" outlineLevel="0" collapsed="false">
      <c r="A8" s="361" t="n">
        <v>6</v>
      </c>
      <c r="B8" s="362" t="n">
        <v>58.18</v>
      </c>
    </row>
    <row r="9" customFormat="false" ht="19.5" hidden="false" customHeight="true" outlineLevel="0" collapsed="false">
      <c r="A9" s="361" t="n">
        <v>7</v>
      </c>
      <c r="B9" s="362" t="n">
        <v>60.29</v>
      </c>
    </row>
    <row r="10" customFormat="false" ht="19.5" hidden="false" customHeight="true" outlineLevel="0" collapsed="false">
      <c r="A10" s="361" t="n">
        <v>8</v>
      </c>
      <c r="B10" s="362" t="n">
        <v>62.12</v>
      </c>
    </row>
    <row r="11" customFormat="false" ht="19.5" hidden="false" customHeight="true" outlineLevel="0" collapsed="false">
      <c r="A11" s="361" t="n">
        <v>9</v>
      </c>
      <c r="B11" s="362" t="n">
        <v>63.73</v>
      </c>
    </row>
    <row r="12" customFormat="false" ht="19.5" hidden="false" customHeight="true" outlineLevel="0" collapsed="false">
      <c r="A12" s="361" t="n">
        <v>10</v>
      </c>
      <c r="B12" s="362" t="n">
        <v>65.18</v>
      </c>
    </row>
    <row r="13" customFormat="false" ht="19.5" hidden="false" customHeight="true" outlineLevel="0" collapsed="false">
      <c r="A13" s="361" t="n">
        <v>11</v>
      </c>
      <c r="B13" s="362" t="n">
        <v>66.48</v>
      </c>
    </row>
    <row r="14" customFormat="false" ht="19.5" hidden="false" customHeight="true" outlineLevel="0" collapsed="false">
      <c r="A14" s="361" t="n">
        <v>12</v>
      </c>
      <c r="B14" s="362" t="n">
        <v>67.67</v>
      </c>
    </row>
    <row r="15" customFormat="false" ht="19.5" hidden="false" customHeight="true" outlineLevel="0" collapsed="false">
      <c r="A15" s="361" t="n">
        <v>13</v>
      </c>
      <c r="B15" s="362" t="n">
        <v>68.77</v>
      </c>
    </row>
    <row r="16" customFormat="false" ht="19.5" hidden="false" customHeight="true" outlineLevel="0" collapsed="false">
      <c r="A16" s="361" t="n">
        <v>14</v>
      </c>
      <c r="B16" s="362" t="n">
        <v>69.79</v>
      </c>
    </row>
    <row r="17" customFormat="false" ht="19.5" hidden="false" customHeight="true" outlineLevel="0" collapsed="false">
      <c r="A17" s="363" t="n">
        <v>15</v>
      </c>
      <c r="B17" s="364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20" zoomScaleNormal="100" zoomScalePageLayoutView="120" workbookViewId="0">
      <selection pane="topLeft" activeCell="A24" activeCellId="0" sqref="A2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5" width="70.49"/>
    <col collapsed="false" customWidth="true" hidden="false" outlineLevel="0" max="3" min="2" style="115" width="9.14"/>
    <col collapsed="false" customWidth="true" hidden="false" outlineLevel="0" max="4" min="4" style="115" width="12.88"/>
    <col collapsed="false" customWidth="true" hidden="false" outlineLevel="0" max="64" min="5" style="115" width="9.14"/>
  </cols>
  <sheetData>
    <row r="1" customFormat="false" ht="17.35" hidden="false" customHeight="false" outlineLevel="0" collapsed="false">
      <c r="A1" s="365" t="s">
        <v>593</v>
      </c>
    </row>
    <row r="2" customFormat="false" ht="12.8" hidden="false" customHeight="false" outlineLevel="0" collapsed="false">
      <c r="A2" s="366"/>
    </row>
    <row r="3" customFormat="false" ht="12.8" hidden="false" customHeight="false" outlineLevel="0" collapsed="false">
      <c r="A3" s="366" t="s">
        <v>594</v>
      </c>
    </row>
    <row r="4" customFormat="false" ht="12.8" hidden="false" customHeight="false" outlineLevel="0" collapsed="false">
      <c r="A4" s="366"/>
    </row>
    <row r="5" customFormat="false" ht="12.8" hidden="false" customHeight="false" outlineLevel="0" collapsed="false">
      <c r="A5" s="366"/>
    </row>
    <row r="6" customFormat="false" ht="12.8" hidden="false" customHeight="false" outlineLevel="0" collapsed="false">
      <c r="A6" s="366"/>
    </row>
    <row r="7" customFormat="false" ht="12.8" hidden="false" customHeight="false" outlineLevel="0" collapsed="false">
      <c r="A7" s="366"/>
    </row>
    <row r="8" customFormat="false" ht="12.8" hidden="false" customHeight="false" outlineLevel="0" collapsed="false">
      <c r="A8" s="366"/>
    </row>
    <row r="9" customFormat="false" ht="12.8" hidden="false" customHeight="false" outlineLevel="0" collapsed="false">
      <c r="A9" s="366"/>
    </row>
    <row r="10" customFormat="false" ht="12.8" hidden="false" customHeight="false" outlineLevel="0" collapsed="false">
      <c r="A10" s="366"/>
    </row>
    <row r="11" customFormat="false" ht="12.8" hidden="false" customHeight="false" outlineLevel="0" collapsed="false">
      <c r="A11" s="366"/>
    </row>
    <row r="12" customFormat="false" ht="15" hidden="false" customHeight="false" outlineLevel="0" collapsed="false">
      <c r="A12" s="367" t="s">
        <v>595</v>
      </c>
    </row>
    <row r="13" customFormat="false" ht="15" hidden="false" customHeight="false" outlineLevel="0" collapsed="false">
      <c r="A13" s="367" t="s">
        <v>596</v>
      </c>
    </row>
    <row r="14" customFormat="false" ht="15" hidden="false" customHeight="false" outlineLevel="0" collapsed="false">
      <c r="A14" s="367" t="s">
        <v>597</v>
      </c>
    </row>
    <row r="15" customFormat="false" ht="15" hidden="false" customHeight="false" outlineLevel="0" collapsed="false">
      <c r="A15" s="367" t="s">
        <v>598</v>
      </c>
    </row>
    <row r="16" customFormat="false" ht="15" hidden="false" customHeight="false" outlineLevel="0" collapsed="false">
      <c r="A16" s="367" t="s">
        <v>599</v>
      </c>
    </row>
    <row r="17" customFormat="false" ht="15" hidden="false" customHeight="false" outlineLevel="0" collapsed="false">
      <c r="A17" s="368" t="s">
        <v>600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5823</TotalTime>
  <Application>LibreOffice/25.8.7.3$Windows_X86_64 LibreOffice_project/30742500f2d3eb4366ac312fa33d3dcabdb3eba5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2026-06-19T13:35:39Z</cp:lastPrinted>
  <dcterms:modified xsi:type="dcterms:W3CDTF">2026-06-19T14:09:02Z</dcterms:modified>
  <cp:revision>242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