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5.xml" ContentType="application/vnd.openxmlformats-officedocument.spreadsheetml.comments+xml"/>
  <Override PartName="/xl/styles.xml" ContentType="application/vnd.openxmlformats-officedocument.spreadsheetml.styles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comments5.xml" ContentType="application/vnd.openxmlformats-officedocument.spreadsheetml.comments+xml"/>
  <Override PartName="/xl/comments11.xml" ContentType="application/vnd.openxmlformats-officedocument.spreadsheetml.comments+xml"/>
  <Override PartName="/xl/comments16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9"/>
  </bookViews>
  <sheets>
    <sheet name="ORGÂNICOS" sheetId="1" state="visible" r:id="rId3"/>
    <sheet name="RECICLÁVEIS" sheetId="2" state="visible" r:id="rId4"/>
    <sheet name="LOTE" sheetId="3" state="visible" r:id="rId5"/>
    <sheet name="SERIE HISTORICA" sheetId="4" state="visible" r:id="rId6"/>
    <sheet name="VALORES BASE" sheetId="5" state="visible" r:id="rId7"/>
    <sheet name="CAMINHOES FIPE" sheetId="6" state="visible" r:id="rId8"/>
    <sheet name="Roteiros Coleta_URBANO" sheetId="7" state="visible" r:id="rId9"/>
    <sheet name="Roteiros Coleta_RURAL" sheetId="8" state="visible" r:id="rId10"/>
    <sheet name="COLETAS BECOS" sheetId="9" state="visible" r:id="rId11"/>
    <sheet name="Roteiros Coleta_URBANO_CENTRAL" sheetId="10" state="visible" r:id="rId12"/>
    <sheet name="4.BDI" sheetId="11" state="visible" r:id="rId13"/>
    <sheet name="FATOR FU_OFICIAL" sheetId="12" state="visible" r:id="rId14"/>
    <sheet name="Estimativa Pesagem Ticket" sheetId="13" state="visible" r:id="rId15"/>
    <sheet name="COTAÇÕES" sheetId="14" state="visible" r:id="rId16"/>
    <sheet name="7. Dimensionamento - organicos" sheetId="15" state="visible" r:id="rId17"/>
    <sheet name="7. Dimensionamento - reciclavei" sheetId="16" state="visible" r:id="rId18"/>
    <sheet name="2.Encargos Sociais" sheetId="17" state="visible" r:id="rId19"/>
    <sheet name="3.CAGED" sheetId="18" state="visible" r:id="rId20"/>
    <sheet name="5. Depreciação" sheetId="19" state="visible" r:id="rId21"/>
    <sheet name="6.Remuneração de capital" sheetId="20" state="visible" r:id="rId22"/>
  </sheets>
  <definedNames>
    <definedName function="false" hidden="false" localSheetId="16" name="_xlnm.Print_Area" vbProcedure="false">'2.Encargos Sociais'!$A$1:$C$33</definedName>
    <definedName function="false" hidden="false" localSheetId="0" name="_xlnm.Print_Area" vbProcedure="false">ORGÂNICOS!$A$1:$F$537</definedName>
    <definedName function="false" hidden="false" localSheetId="0" name="_xlnm.Print_Titles" vbProcedure="false">ORGÂNICOS!$1:$1</definedName>
    <definedName function="false" hidden="false" localSheetId="1" name="_xlnm.Print_Area" vbProcedure="false">RECICLÁVEIS!$A$1:$F$443</definedName>
    <definedName function="false" hidden="false" localSheetId="1" name="_xlnm.Print_Titles" vbProcedure="false">RECICLÁVEIS!$1:$1</definedName>
    <definedName function="false" hidden="false" name="AbaDeprec" vbProcedure="false">'5. Depreciação'!$A$1</definedName>
    <definedName function="false" hidden="false" name="AbaRemun" vbProcedure="false">'6.Remuneração de capital'!$A$1</definedName>
    <definedName function="false" hidden="false" localSheetId="0" name="_xlnm.Print_Titles_0" vbProcedure="false">ORGÂNICOS!$A$1:$AMJ$1</definedName>
    <definedName function="false" hidden="false" localSheetId="0" name="_xlnm.Print_Titles_0_0" vbProcedure="false">ORGÂNICOS!$A$1:$AMJ$1</definedName>
    <definedName function="false" hidden="false" localSheetId="1" name="_xlnm.Print_Titles_0" vbProcedure="false">#ref!</definedName>
    <definedName function="false" hidden="false" localSheetId="1" name="_xlnm.Print_Titles_0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A5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17</xdr:colOff>
                <xdr:row>2</xdr:row>
                <xdr:rowOff>19</xdr:rowOff>
              </xdr:from>
              <xdr:to>
                <xdr:col>7</xdr:col>
                <xdr:colOff>1</xdr:colOff>
                <xdr:row>7</xdr:row>
                <xdr:rowOff>4</xdr:rowOff>
              </xdr:to>
            </anchor>
          </commentPr>
        </mc:Choice>
        <mc:Fallback/>
      </mc:AlternateContent>
    </comment>
    <comment ref="A52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4</xdr:colOff>
                <xdr:row>48</xdr:row>
                <xdr:rowOff>3</xdr:rowOff>
              </xdr:from>
              <xdr:to>
                <xdr:col>2</xdr:col>
                <xdr:colOff>106</xdr:colOff>
                <xdr:row>54</xdr:row>
                <xdr:rowOff>11</xdr:rowOff>
              </xdr:to>
            </anchor>
          </commentPr>
        </mc:Choice>
        <mc:Fallback/>
      </mc:AlternateContent>
    </comment>
    <comment ref="A65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4</xdr:colOff>
                <xdr:row>61</xdr:row>
                <xdr:rowOff>7</xdr:rowOff>
              </xdr:from>
              <xdr:to>
                <xdr:col>2</xdr:col>
                <xdr:colOff>106</xdr:colOff>
                <xdr:row>67</xdr:row>
                <xdr:rowOff>8</xdr:rowOff>
              </xdr:to>
            </anchor>
          </commentPr>
        </mc:Choice>
        <mc:Fallback/>
      </mc:AlternateContent>
    </comment>
    <comment ref="A83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1</xdr:col>
                <xdr:colOff>15</xdr:colOff>
                <xdr:row>68</xdr:row>
                <xdr:rowOff>8</xdr:rowOff>
              </xdr:from>
              <xdr:to>
                <xdr:col>3</xdr:col>
                <xdr:colOff>3</xdr:colOff>
                <xdr:row>92</xdr:row>
                <xdr:rowOff>15</xdr:rowOff>
              </xdr:to>
            </anchor>
          </commentPr>
        </mc:Choice>
        <mc:Fallback/>
      </mc:AlternateContent>
    </comment>
    <comment ref="A97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93</xdr:row>
                <xdr:rowOff>2</xdr:rowOff>
              </xdr:from>
              <xdr:to>
                <xdr:col>3</xdr:col>
                <xdr:colOff>3</xdr:colOff>
                <xdr:row>99</xdr:row>
                <xdr:rowOff>11</xdr:rowOff>
              </xdr:to>
            </anchor>
          </commentPr>
        </mc:Choice>
        <mc:Fallback/>
      </mc:AlternateContent>
    </comment>
    <comment ref="A112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107</xdr:row>
                <xdr:rowOff>11</xdr:rowOff>
              </xdr:from>
              <xdr:to>
                <xdr:col>3</xdr:col>
                <xdr:colOff>3</xdr:colOff>
                <xdr:row>115</xdr:row>
                <xdr:rowOff>3</xdr:rowOff>
              </xdr:to>
            </anchor>
          </commentPr>
        </mc:Choice>
        <mc:Fallback/>
      </mc:AlternateContent>
    </comment>
    <comment ref="A134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1</xdr:col>
                <xdr:colOff>15</xdr:colOff>
                <xdr:row>115</xdr:row>
                <xdr:rowOff>12</xdr:rowOff>
              </xdr:from>
              <xdr:to>
                <xdr:col>3</xdr:col>
                <xdr:colOff>3</xdr:colOff>
                <xdr:row>145</xdr:row>
                <xdr:rowOff>4</xdr:rowOff>
              </xdr:to>
            </anchor>
          </commentPr>
        </mc:Choice>
        <mc:Fallback/>
      </mc:AlternateContent>
    </comment>
    <comment ref="A150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145</xdr:row>
                <xdr:rowOff>11</xdr:rowOff>
              </xdr:from>
              <xdr:to>
                <xdr:col>3</xdr:col>
                <xdr:colOff>3</xdr:colOff>
                <xdr:row>153</xdr:row>
                <xdr:rowOff>3</xdr:rowOff>
              </xdr:to>
            </anchor>
          </commentPr>
        </mc:Choice>
        <mc:Fallback/>
      </mc:AlternateContent>
    </comment>
    <comment ref="A501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497</xdr:row>
                <xdr:rowOff>1</xdr:rowOff>
              </xdr:from>
              <xdr:to>
                <xdr:col>2</xdr:col>
                <xdr:colOff>37</xdr:colOff>
                <xdr:row>505</xdr:row>
                <xdr:rowOff>4</xdr:rowOff>
              </xdr:to>
            </anchor>
          </commentPr>
        </mc:Choice>
        <mc:Fallback/>
      </mc:AlternateContent>
    </comment>
    <comment ref="A512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508</xdr:row>
                <xdr:rowOff>1</xdr:rowOff>
              </xdr:from>
              <xdr:to>
                <xdr:col>2</xdr:col>
                <xdr:colOff>37</xdr:colOff>
                <xdr:row>516</xdr:row>
                <xdr:rowOff>4</xdr:rowOff>
              </xdr:to>
            </anchor>
          </commentPr>
        </mc:Choice>
        <mc:Fallback/>
      </mc:AlternateContent>
    </comment>
    <comment ref="B304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300</xdr:row>
                <xdr:rowOff>9</xdr:rowOff>
              </xdr:from>
              <xdr:to>
                <xdr:col>3</xdr:col>
                <xdr:colOff>50</xdr:colOff>
                <xdr:row>305</xdr:row>
                <xdr:rowOff>8</xdr:rowOff>
              </xdr:to>
            </anchor>
          </commentPr>
        </mc:Choice>
        <mc:Fallback/>
      </mc:AlternateContent>
    </comment>
    <comment ref="B383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379</xdr:row>
                <xdr:rowOff>5</xdr:rowOff>
              </xdr:from>
              <xdr:to>
                <xdr:col>3</xdr:col>
                <xdr:colOff>50</xdr:colOff>
                <xdr:row>384</xdr:row>
                <xdr:rowOff>12</xdr:rowOff>
              </xdr:to>
            </anchor>
          </commentPr>
        </mc:Choice>
        <mc:Fallback/>
      </mc:AlternateContent>
    </comment>
    <comment ref="B454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450</xdr:row>
                <xdr:rowOff>5</xdr:rowOff>
              </xdr:from>
              <xdr:to>
                <xdr:col>3</xdr:col>
                <xdr:colOff>50</xdr:colOff>
                <xdr:row>455</xdr:row>
                <xdr:rowOff>12</xdr:rowOff>
              </xdr:to>
            </anchor>
          </commentPr>
        </mc:Choice>
        <mc:Fallback/>
      </mc:AlternateContent>
    </comment>
    <comment ref="C51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47</xdr:row>
                <xdr:rowOff>2</xdr:rowOff>
              </xdr:from>
              <xdr:to>
                <xdr:col>4</xdr:col>
                <xdr:colOff>44</xdr:colOff>
                <xdr:row>52</xdr:row>
                <xdr:rowOff>11</xdr:rowOff>
              </xdr:to>
            </anchor>
          </commentPr>
        </mc:Choice>
        <mc:Fallback/>
      </mc:AlternateContent>
    </comment>
    <comment ref="C55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48</xdr:row>
                <xdr:rowOff>4</xdr:rowOff>
              </xdr:from>
              <xdr:to>
                <xdr:col>4</xdr:col>
                <xdr:colOff>44</xdr:colOff>
                <xdr:row>52</xdr:row>
                <xdr:rowOff>2</xdr:rowOff>
              </xdr:to>
            </anchor>
          </commentPr>
        </mc:Choice>
        <mc:Fallback/>
      </mc:AlternateContent>
    </comment>
    <comment ref="C57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48</xdr:row>
                <xdr:rowOff>10</xdr:rowOff>
              </xdr:from>
              <xdr:to>
                <xdr:col>4</xdr:col>
                <xdr:colOff>44</xdr:colOff>
                <xdr:row>51</xdr:row>
                <xdr:rowOff>10</xdr:rowOff>
              </xdr:to>
            </anchor>
          </commentPr>
        </mc:Choice>
        <mc:Fallback/>
      </mc:AlternateContent>
    </comment>
    <comment ref="C64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60</xdr:row>
                <xdr:rowOff>4</xdr:rowOff>
              </xdr:from>
              <xdr:to>
                <xdr:col>4</xdr:col>
                <xdr:colOff>44</xdr:colOff>
                <xdr:row>65</xdr:row>
                <xdr:rowOff>9</xdr:rowOff>
              </xdr:to>
            </anchor>
          </commentPr>
        </mc:Choice>
        <mc:Fallback/>
      </mc:AlternateContent>
    </comment>
    <comment ref="C68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61</xdr:row>
                <xdr:rowOff>12</xdr:rowOff>
              </xdr:from>
              <xdr:to>
                <xdr:col>4</xdr:col>
                <xdr:colOff>44</xdr:colOff>
                <xdr:row>65</xdr:row>
                <xdr:rowOff>5</xdr:rowOff>
              </xdr:to>
            </anchor>
          </commentPr>
        </mc:Choice>
        <mc:Fallback/>
      </mc:AlternateContent>
    </comment>
    <comment ref="C70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62</xdr:row>
                <xdr:rowOff>2</xdr:rowOff>
              </xdr:from>
              <xdr:to>
                <xdr:col>4</xdr:col>
                <xdr:colOff>44</xdr:colOff>
                <xdr:row>64</xdr:row>
                <xdr:rowOff>17</xdr:rowOff>
              </xdr:to>
            </anchor>
          </commentPr>
        </mc:Choice>
        <mc:Fallback/>
      </mc:AlternateContent>
    </comment>
    <comment ref="C75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68</xdr:row>
                <xdr:rowOff>13</xdr:rowOff>
              </xdr:from>
              <xdr:to>
                <xdr:col>4</xdr:col>
                <xdr:colOff>44</xdr:colOff>
                <xdr:row>91</xdr:row>
                <xdr:rowOff>8</xdr:rowOff>
              </xdr:to>
            </anchor>
          </commentPr>
        </mc:Choice>
        <mc:Fallback/>
      </mc:AlternateContent>
    </comment>
    <comment ref="C77" authorId="0">
      <text>
        <r>
          <rPr>
            <sz val="10"/>
            <rFont val="Arial"/>
            <family val="2"/>
          </rPr>
          <t xml:space="preserve">Informar o número de horas extras trabalhadas em horário diurno nos domingos e feriados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68</xdr:row>
                <xdr:rowOff>11</xdr:rowOff>
              </xdr:from>
              <xdr:to>
                <xdr:col>4</xdr:col>
                <xdr:colOff>44</xdr:colOff>
                <xdr:row>92</xdr:row>
                <xdr:rowOff>7</xdr:rowOff>
              </xdr:to>
            </anchor>
          </commentPr>
        </mc:Choice>
        <mc:Fallback/>
      </mc:AlternateContent>
    </comment>
    <comment ref="C78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68</xdr:row>
                <xdr:rowOff>1</xdr:rowOff>
              </xdr:from>
              <xdr:to>
                <xdr:col>4</xdr:col>
                <xdr:colOff>76</xdr:colOff>
                <xdr:row>91</xdr:row>
                <xdr:rowOff>11</xdr:rowOff>
              </xdr:to>
            </anchor>
          </commentPr>
        </mc:Choice>
        <mc:Fallback/>
      </mc:AlternateContent>
    </comment>
    <comment ref="C80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68</xdr:row>
                <xdr:rowOff>9</xdr:rowOff>
              </xdr:from>
              <xdr:to>
                <xdr:col>4</xdr:col>
                <xdr:colOff>78</xdr:colOff>
                <xdr:row>92</xdr:row>
                <xdr:rowOff>5</xdr:rowOff>
              </xdr:to>
            </anchor>
          </commentPr>
        </mc:Choice>
        <mc:Fallback/>
      </mc:AlternateContent>
    </comment>
    <comment ref="C81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68</xdr:row>
                <xdr:rowOff>9</xdr:rowOff>
              </xdr:from>
              <xdr:to>
                <xdr:col>4</xdr:col>
                <xdr:colOff>116</xdr:colOff>
                <xdr:row>92</xdr:row>
                <xdr:rowOff>7</xdr:rowOff>
              </xdr:to>
            </anchor>
          </commentPr>
        </mc:Choice>
        <mc:Fallback/>
      </mc:AlternateContent>
    </comment>
    <comment ref="C86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69</xdr:row>
                <xdr:rowOff>7</xdr:rowOff>
              </xdr:from>
              <xdr:to>
                <xdr:col>4</xdr:col>
                <xdr:colOff>42</xdr:colOff>
                <xdr:row>91</xdr:row>
                <xdr:rowOff>6</xdr:rowOff>
              </xdr:to>
            </anchor>
          </commentPr>
        </mc:Choice>
        <mc:Fallback/>
      </mc:AlternateContent>
    </comment>
    <comment ref="C88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64</xdr:row>
                <xdr:rowOff>8</xdr:rowOff>
              </xdr:from>
              <xdr:to>
                <xdr:col>4</xdr:col>
                <xdr:colOff>44</xdr:colOff>
                <xdr:row>67</xdr:row>
                <xdr:rowOff>5</xdr:rowOff>
              </xdr:to>
            </anchor>
          </commentPr>
        </mc:Choice>
        <mc:Fallback/>
      </mc:AlternateContent>
    </comment>
    <comment ref="C96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92</xdr:row>
                <xdr:rowOff>10</xdr:rowOff>
              </xdr:from>
              <xdr:to>
                <xdr:col>4</xdr:col>
                <xdr:colOff>44</xdr:colOff>
                <xdr:row>98</xdr:row>
                <xdr:rowOff>4</xdr:rowOff>
              </xdr:to>
            </anchor>
          </commentPr>
        </mc:Choice>
        <mc:Fallback/>
      </mc:AlternateContent>
    </comment>
    <comment ref="C99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94</xdr:row>
                <xdr:rowOff>13</xdr:rowOff>
              </xdr:from>
              <xdr:to>
                <xdr:col>4</xdr:col>
                <xdr:colOff>104</xdr:colOff>
                <xdr:row>99</xdr:row>
                <xdr:rowOff>9</xdr:rowOff>
              </xdr:to>
            </anchor>
          </commentPr>
        </mc:Choice>
        <mc:Fallback/>
      </mc:AlternateContent>
    </comment>
    <comment ref="C101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98</xdr:row>
                <xdr:rowOff>4</xdr:rowOff>
              </xdr:from>
              <xdr:to>
                <xdr:col>4</xdr:col>
                <xdr:colOff>42</xdr:colOff>
                <xdr:row>102</xdr:row>
                <xdr:rowOff>4</xdr:rowOff>
              </xdr:to>
            </anchor>
          </commentPr>
        </mc:Choice>
        <mc:Fallback/>
      </mc:AlternateContent>
    </comment>
    <comment ref="C103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94</xdr:row>
                <xdr:rowOff>10</xdr:rowOff>
              </xdr:from>
              <xdr:to>
                <xdr:col>4</xdr:col>
                <xdr:colOff>44</xdr:colOff>
                <xdr:row>97</xdr:row>
                <xdr:rowOff>11</xdr:rowOff>
              </xdr:to>
            </anchor>
          </commentPr>
        </mc:Choice>
        <mc:Fallback/>
      </mc:AlternateContent>
    </comment>
    <comment ref="C111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107</xdr:row>
                <xdr:rowOff>4</xdr:rowOff>
              </xdr:from>
              <xdr:to>
                <xdr:col>4</xdr:col>
                <xdr:colOff>44</xdr:colOff>
                <xdr:row>113</xdr:row>
                <xdr:rowOff>11</xdr:rowOff>
              </xdr:to>
            </anchor>
          </commentPr>
        </mc:Choice>
        <mc:Fallback/>
      </mc:AlternateContent>
    </comment>
    <comment ref="C114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109</xdr:row>
                <xdr:rowOff>4</xdr:rowOff>
              </xdr:from>
              <xdr:to>
                <xdr:col>4</xdr:col>
                <xdr:colOff>104</xdr:colOff>
                <xdr:row>114</xdr:row>
                <xdr:rowOff>11</xdr:rowOff>
              </xdr:to>
            </anchor>
          </commentPr>
        </mc:Choice>
        <mc:Fallback/>
      </mc:AlternateContent>
    </comment>
    <comment ref="C116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112</xdr:row>
                <xdr:rowOff>15</xdr:rowOff>
              </xdr:from>
              <xdr:to>
                <xdr:col>4</xdr:col>
                <xdr:colOff>42</xdr:colOff>
                <xdr:row>117</xdr:row>
                <xdr:rowOff>8</xdr:rowOff>
              </xdr:to>
            </anchor>
          </commentPr>
        </mc:Choice>
        <mc:Fallback/>
      </mc:AlternateContent>
    </comment>
    <comment ref="C118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108</xdr:row>
                <xdr:rowOff>8</xdr:rowOff>
              </xdr:from>
              <xdr:to>
                <xdr:col>4</xdr:col>
                <xdr:colOff>44</xdr:colOff>
                <xdr:row>111</xdr:row>
                <xdr:rowOff>15</xdr:rowOff>
              </xdr:to>
            </anchor>
          </commentPr>
        </mc:Choice>
        <mc:Fallback/>
      </mc:AlternateContent>
    </comment>
    <comment ref="C126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115</xdr:row>
                <xdr:rowOff>14</xdr:rowOff>
              </xdr:from>
              <xdr:to>
                <xdr:col>4</xdr:col>
                <xdr:colOff>68</xdr:colOff>
                <xdr:row>146</xdr:row>
                <xdr:rowOff>6</xdr:rowOff>
              </xdr:to>
            </anchor>
          </commentPr>
        </mc:Choice>
        <mc:Fallback/>
      </mc:AlternateContent>
    </comment>
    <comment ref="C128" authorId="0">
      <text>
        <r>
          <rPr>
            <sz val="10"/>
            <rFont val="Arial"/>
            <family val="2"/>
          </rPr>
          <t xml:space="preserve">Informar o número de horas extras trabalhadas em horário noturno nos domingos e feriados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116</xdr:row>
                <xdr:rowOff>0</xdr:rowOff>
              </xdr:from>
              <xdr:to>
                <xdr:col>4</xdr:col>
                <xdr:colOff>44</xdr:colOff>
                <xdr:row>144</xdr:row>
                <xdr:rowOff>12</xdr:rowOff>
              </xdr:to>
            </anchor>
          </commentPr>
        </mc:Choice>
        <mc:Fallback/>
      </mc:AlternateContent>
    </comment>
    <comment ref="C129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115</xdr:row>
                <xdr:rowOff>5</xdr:rowOff>
              </xdr:from>
              <xdr:to>
                <xdr:col>4</xdr:col>
                <xdr:colOff>76</xdr:colOff>
                <xdr:row>143</xdr:row>
                <xdr:rowOff>12</xdr:rowOff>
              </xdr:to>
            </anchor>
          </commentPr>
        </mc:Choice>
        <mc:Fallback/>
      </mc:AlternateContent>
    </comment>
    <comment ref="C131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115</xdr:row>
                <xdr:rowOff>13</xdr:rowOff>
              </xdr:from>
              <xdr:to>
                <xdr:col>4</xdr:col>
                <xdr:colOff>68</xdr:colOff>
                <xdr:row>144</xdr:row>
                <xdr:rowOff>10</xdr:rowOff>
              </xdr:to>
            </anchor>
          </commentPr>
        </mc:Choice>
        <mc:Fallback/>
      </mc:AlternateContent>
    </comment>
    <comment ref="C132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115</xdr:row>
                <xdr:rowOff>13</xdr:rowOff>
              </xdr:from>
              <xdr:to>
                <xdr:col>4</xdr:col>
                <xdr:colOff>106</xdr:colOff>
                <xdr:row>144</xdr:row>
                <xdr:rowOff>11</xdr:rowOff>
              </xdr:to>
            </anchor>
          </commentPr>
        </mc:Choice>
        <mc:Fallback/>
      </mc:AlternateContent>
    </comment>
    <comment ref="C135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115</xdr:row>
                <xdr:rowOff>12</xdr:rowOff>
              </xdr:from>
              <xdr:to>
                <xdr:col>5</xdr:col>
                <xdr:colOff>10</xdr:colOff>
                <xdr:row>144</xdr:row>
                <xdr:rowOff>8</xdr:rowOff>
              </xdr:to>
            </anchor>
          </commentPr>
        </mc:Choice>
        <mc:Fallback/>
      </mc:AlternateContent>
    </comment>
    <comment ref="C138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116</xdr:row>
                <xdr:rowOff>15</xdr:rowOff>
              </xdr:from>
              <xdr:to>
                <xdr:col>4</xdr:col>
                <xdr:colOff>42</xdr:colOff>
                <xdr:row>143</xdr:row>
                <xdr:rowOff>8</xdr:rowOff>
              </xdr:to>
            </anchor>
          </commentPr>
        </mc:Choice>
        <mc:Fallback/>
      </mc:AlternateContent>
    </comment>
    <comment ref="C140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116</xdr:row>
                <xdr:rowOff>2</xdr:rowOff>
              </xdr:from>
              <xdr:to>
                <xdr:col>4</xdr:col>
                <xdr:colOff>68</xdr:colOff>
                <xdr:row>141</xdr:row>
                <xdr:rowOff>9</xdr:rowOff>
              </xdr:to>
            </anchor>
          </commentPr>
        </mc:Choice>
        <mc:Fallback/>
      </mc:AlternateContent>
    </comment>
    <comment ref="C149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145</xdr:row>
                <xdr:rowOff>4</xdr:rowOff>
              </xdr:from>
              <xdr:to>
                <xdr:col>4</xdr:col>
                <xdr:colOff>44</xdr:colOff>
                <xdr:row>151</xdr:row>
                <xdr:rowOff>11</xdr:rowOff>
              </xdr:to>
            </anchor>
          </commentPr>
        </mc:Choice>
        <mc:Fallback/>
      </mc:AlternateContent>
    </comment>
    <comment ref="C152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147</xdr:row>
                <xdr:rowOff>4</xdr:rowOff>
              </xdr:from>
              <xdr:to>
                <xdr:col>4</xdr:col>
                <xdr:colOff>104</xdr:colOff>
                <xdr:row>152</xdr:row>
                <xdr:rowOff>11</xdr:rowOff>
              </xdr:to>
            </anchor>
          </commentPr>
        </mc:Choice>
        <mc:Fallback/>
      </mc:AlternateContent>
    </comment>
    <comment ref="C154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150</xdr:row>
                <xdr:rowOff>15</xdr:rowOff>
              </xdr:from>
              <xdr:to>
                <xdr:col>4</xdr:col>
                <xdr:colOff>42</xdr:colOff>
                <xdr:row>155</xdr:row>
                <xdr:rowOff>8</xdr:rowOff>
              </xdr:to>
            </anchor>
          </commentPr>
        </mc:Choice>
        <mc:Fallback/>
      </mc:AlternateContent>
    </comment>
    <comment ref="C156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146</xdr:row>
                <xdr:rowOff>8</xdr:rowOff>
              </xdr:from>
              <xdr:to>
                <xdr:col>4</xdr:col>
                <xdr:colOff>44</xdr:colOff>
                <xdr:row>149</xdr:row>
                <xdr:rowOff>15</xdr:rowOff>
              </xdr:to>
            </anchor>
          </commentPr>
        </mc:Choice>
        <mc:Fallback/>
      </mc:AlternateContent>
    </comment>
    <comment ref="C163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159</xdr:row>
                <xdr:rowOff>8</xdr:rowOff>
              </xdr:from>
              <xdr:to>
                <xdr:col>4</xdr:col>
                <xdr:colOff>68</xdr:colOff>
                <xdr:row>164</xdr:row>
                <xdr:rowOff>4</xdr:rowOff>
              </xdr:to>
            </anchor>
          </commentPr>
        </mc:Choice>
        <mc:Fallback/>
      </mc:AlternateContent>
    </comment>
    <comment ref="C21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209</xdr:row>
                <xdr:rowOff>8</xdr:rowOff>
              </xdr:from>
              <xdr:to>
                <xdr:col>5</xdr:col>
                <xdr:colOff>68</xdr:colOff>
                <xdr:row>218</xdr:row>
                <xdr:rowOff>16</xdr:rowOff>
              </xdr:to>
            </anchor>
          </commentPr>
        </mc:Choice>
        <mc:Fallback/>
      </mc:AlternateContent>
    </comment>
    <comment ref="C21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211</xdr:row>
                <xdr:rowOff>30</xdr:rowOff>
              </xdr:from>
              <xdr:to>
                <xdr:col>5</xdr:col>
                <xdr:colOff>21</xdr:colOff>
                <xdr:row>225</xdr:row>
                <xdr:rowOff>14</xdr:rowOff>
              </xdr:to>
            </anchor>
          </commentPr>
        </mc:Choice>
        <mc:Fallback/>
      </mc:AlternateContent>
    </comment>
    <comment ref="C21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212</xdr:row>
                <xdr:rowOff>4</xdr:rowOff>
              </xdr:from>
              <xdr:to>
                <xdr:col>5</xdr:col>
                <xdr:colOff>21</xdr:colOff>
                <xdr:row>223</xdr:row>
                <xdr:rowOff>16</xdr:rowOff>
              </xdr:to>
            </anchor>
          </commentPr>
        </mc:Choice>
        <mc:Fallback/>
      </mc:AlternateContent>
    </comment>
    <comment ref="C21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213</xdr:row>
                <xdr:rowOff>4</xdr:rowOff>
              </xdr:from>
              <xdr:to>
                <xdr:col>5</xdr:col>
                <xdr:colOff>21</xdr:colOff>
                <xdr:row>223</xdr:row>
                <xdr:rowOff>9</xdr:rowOff>
              </xdr:to>
            </anchor>
          </commentPr>
        </mc:Choice>
        <mc:Fallback/>
      </mc:AlternateContent>
    </comment>
    <comment ref="C21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215</xdr:row>
                <xdr:rowOff>4</xdr:rowOff>
              </xdr:from>
              <xdr:to>
                <xdr:col>5</xdr:col>
                <xdr:colOff>21</xdr:colOff>
                <xdr:row>225</xdr:row>
                <xdr:rowOff>3</xdr:rowOff>
              </xdr:to>
            </anchor>
          </commentPr>
        </mc:Choice>
        <mc:Fallback/>
      </mc:AlternateContent>
    </comment>
    <comment ref="C21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216</xdr:row>
                <xdr:rowOff>8</xdr:rowOff>
              </xdr:from>
              <xdr:to>
                <xdr:col>5</xdr:col>
                <xdr:colOff>21</xdr:colOff>
                <xdr:row>227</xdr:row>
                <xdr:rowOff>6</xdr:rowOff>
              </xdr:to>
            </anchor>
          </commentPr>
        </mc:Choice>
        <mc:Fallback/>
      </mc:AlternateContent>
    </comment>
    <comment ref="C22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217</xdr:row>
                <xdr:rowOff>6</xdr:rowOff>
              </xdr:from>
              <xdr:to>
                <xdr:col>5</xdr:col>
                <xdr:colOff>21</xdr:colOff>
                <xdr:row>227</xdr:row>
                <xdr:rowOff>9</xdr:rowOff>
              </xdr:to>
            </anchor>
          </commentPr>
        </mc:Choice>
        <mc:Fallback/>
      </mc:AlternateContent>
    </comment>
    <comment ref="C22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218</xdr:row>
                <xdr:rowOff>4</xdr:rowOff>
              </xdr:from>
              <xdr:to>
                <xdr:col>5</xdr:col>
                <xdr:colOff>21</xdr:colOff>
                <xdr:row>229</xdr:row>
                <xdr:rowOff>28</xdr:rowOff>
              </xdr:to>
            </anchor>
          </commentPr>
        </mc:Choice>
        <mc:Fallback/>
      </mc:AlternateContent>
    </comment>
    <comment ref="C22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219</xdr:row>
                <xdr:rowOff>4</xdr:rowOff>
              </xdr:from>
              <xdr:to>
                <xdr:col>5</xdr:col>
                <xdr:colOff>21</xdr:colOff>
                <xdr:row>229</xdr:row>
                <xdr:rowOff>28</xdr:rowOff>
              </xdr:to>
            </anchor>
          </commentPr>
        </mc:Choice>
        <mc:Fallback/>
      </mc:AlternateContent>
    </comment>
    <comment ref="C22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220</xdr:row>
                <xdr:rowOff>4</xdr:rowOff>
              </xdr:from>
              <xdr:to>
                <xdr:col>5</xdr:col>
                <xdr:colOff>21</xdr:colOff>
                <xdr:row>229</xdr:row>
                <xdr:rowOff>28</xdr:rowOff>
              </xdr:to>
            </anchor>
          </commentPr>
        </mc:Choice>
        <mc:Fallback/>
      </mc:AlternateContent>
    </comment>
    <comment ref="C23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229</xdr:row>
                <xdr:rowOff>26</xdr:rowOff>
              </xdr:from>
              <xdr:to>
                <xdr:col>5</xdr:col>
                <xdr:colOff>21</xdr:colOff>
                <xdr:row>241</xdr:row>
                <xdr:rowOff>2</xdr:rowOff>
              </xdr:to>
            </anchor>
          </commentPr>
        </mc:Choice>
        <mc:Fallback/>
      </mc:AlternateContent>
    </comment>
    <comment ref="C23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229</xdr:row>
                <xdr:rowOff>26</xdr:rowOff>
              </xdr:from>
              <xdr:to>
                <xdr:col>5</xdr:col>
                <xdr:colOff>21</xdr:colOff>
                <xdr:row>243</xdr:row>
                <xdr:rowOff>3</xdr:rowOff>
              </xdr:to>
            </anchor>
          </commentPr>
        </mc:Choice>
        <mc:Fallback/>
      </mc:AlternateContent>
    </comment>
    <comment ref="C23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230</xdr:row>
                <xdr:rowOff>4</xdr:rowOff>
              </xdr:from>
              <xdr:to>
                <xdr:col>5</xdr:col>
                <xdr:colOff>21</xdr:colOff>
                <xdr:row>241</xdr:row>
                <xdr:rowOff>2</xdr:rowOff>
              </xdr:to>
            </anchor>
          </commentPr>
        </mc:Choice>
        <mc:Fallback/>
      </mc:AlternateContent>
    </comment>
    <comment ref="C23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232</xdr:row>
                <xdr:rowOff>4</xdr:rowOff>
              </xdr:from>
              <xdr:to>
                <xdr:col>5</xdr:col>
                <xdr:colOff>21</xdr:colOff>
                <xdr:row>243</xdr:row>
                <xdr:rowOff>5</xdr:rowOff>
              </xdr:to>
            </anchor>
          </commentPr>
        </mc:Choice>
        <mc:Fallback/>
      </mc:AlternateContent>
    </comment>
    <comment ref="C23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233</xdr:row>
                <xdr:rowOff>4</xdr:rowOff>
              </xdr:from>
              <xdr:to>
                <xdr:col>5</xdr:col>
                <xdr:colOff>21</xdr:colOff>
                <xdr:row>243</xdr:row>
                <xdr:rowOff>10</xdr:rowOff>
              </xdr:to>
            </anchor>
          </commentPr>
        </mc:Choice>
        <mc:Fallback/>
      </mc:AlternateContent>
    </comment>
    <comment ref="C23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234</xdr:row>
                <xdr:rowOff>4</xdr:rowOff>
              </xdr:from>
              <xdr:to>
                <xdr:col>5</xdr:col>
                <xdr:colOff>21</xdr:colOff>
                <xdr:row>244</xdr:row>
                <xdr:rowOff>7</xdr:rowOff>
              </xdr:to>
            </anchor>
          </commentPr>
        </mc:Choice>
        <mc:Fallback/>
      </mc:AlternateContent>
    </comment>
    <comment ref="C24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243</xdr:row>
                <xdr:rowOff>23</xdr:rowOff>
              </xdr:from>
              <xdr:to>
                <xdr:col>5</xdr:col>
                <xdr:colOff>21</xdr:colOff>
                <xdr:row>256</xdr:row>
                <xdr:rowOff>6</xdr:rowOff>
              </xdr:to>
            </anchor>
          </commentPr>
        </mc:Choice>
        <mc:Fallback/>
      </mc:AlternateContent>
    </comment>
    <comment ref="C24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243</xdr:row>
                <xdr:rowOff>21</xdr:rowOff>
              </xdr:from>
              <xdr:to>
                <xdr:col>5</xdr:col>
                <xdr:colOff>21</xdr:colOff>
                <xdr:row>258</xdr:row>
                <xdr:rowOff>4</xdr:rowOff>
              </xdr:to>
            </anchor>
          </commentPr>
        </mc:Choice>
        <mc:Fallback/>
      </mc:AlternateContent>
    </comment>
    <comment ref="C24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243</xdr:row>
                <xdr:rowOff>30</xdr:rowOff>
              </xdr:from>
              <xdr:to>
                <xdr:col>5</xdr:col>
                <xdr:colOff>21</xdr:colOff>
                <xdr:row>256</xdr:row>
                <xdr:rowOff>2</xdr:rowOff>
              </xdr:to>
            </anchor>
          </commentPr>
        </mc:Choice>
        <mc:Fallback/>
      </mc:AlternateContent>
    </comment>
    <comment ref="C24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246</xdr:row>
                <xdr:rowOff>0</xdr:rowOff>
              </xdr:from>
              <xdr:to>
                <xdr:col>5</xdr:col>
                <xdr:colOff>21</xdr:colOff>
                <xdr:row>257</xdr:row>
                <xdr:rowOff>17</xdr:rowOff>
              </xdr:to>
            </anchor>
          </commentPr>
        </mc:Choice>
        <mc:Fallback/>
      </mc:AlternateContent>
    </comment>
    <comment ref="C25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247</xdr:row>
                <xdr:rowOff>0</xdr:rowOff>
              </xdr:from>
              <xdr:to>
                <xdr:col>5</xdr:col>
                <xdr:colOff>21</xdr:colOff>
                <xdr:row>258</xdr:row>
                <xdr:rowOff>3</xdr:rowOff>
              </xdr:to>
            </anchor>
          </commentPr>
        </mc:Choice>
        <mc:Fallback/>
      </mc:AlternateContent>
    </comment>
    <comment ref="C25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247</xdr:row>
                <xdr:rowOff>15</xdr:rowOff>
              </xdr:from>
              <xdr:to>
                <xdr:col>5</xdr:col>
                <xdr:colOff>21</xdr:colOff>
                <xdr:row>259</xdr:row>
                <xdr:rowOff>13</xdr:rowOff>
              </xdr:to>
            </anchor>
          </commentPr>
        </mc:Choice>
        <mc:Fallback/>
      </mc:AlternateContent>
    </comment>
    <comment ref="C265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258</xdr:row>
                <xdr:rowOff>15</xdr:rowOff>
              </xdr:from>
              <xdr:to>
                <xdr:col>4</xdr:col>
                <xdr:colOff>68</xdr:colOff>
                <xdr:row>262</xdr:row>
                <xdr:rowOff>14</xdr:rowOff>
              </xdr:to>
            </anchor>
          </commentPr>
        </mc:Choice>
        <mc:Fallback/>
      </mc:AlternateContent>
    </comment>
    <comment ref="C266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260</xdr:row>
                <xdr:rowOff>11</xdr:rowOff>
              </xdr:from>
              <xdr:to>
                <xdr:col>5</xdr:col>
                <xdr:colOff>60</xdr:colOff>
                <xdr:row>268</xdr:row>
                <xdr:rowOff>13</xdr:rowOff>
              </xdr:to>
            </anchor>
          </commentPr>
        </mc:Choice>
        <mc:Fallback/>
      </mc:AlternateContent>
    </comment>
    <comment ref="C267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261</xdr:row>
                <xdr:rowOff>8</xdr:rowOff>
              </xdr:from>
              <xdr:to>
                <xdr:col>4</xdr:col>
                <xdr:colOff>44</xdr:colOff>
                <xdr:row>269</xdr:row>
                <xdr:rowOff>16</xdr:rowOff>
              </xdr:to>
            </anchor>
          </commentPr>
        </mc:Choice>
        <mc:Fallback/>
      </mc:AlternateContent>
    </comment>
    <comment ref="C270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261</xdr:row>
                <xdr:rowOff>14</xdr:rowOff>
              </xdr:from>
              <xdr:to>
                <xdr:col>4</xdr:col>
                <xdr:colOff>44</xdr:colOff>
                <xdr:row>265</xdr:row>
                <xdr:rowOff>13</xdr:rowOff>
              </xdr:to>
            </anchor>
          </commentPr>
        </mc:Choice>
        <mc:Fallback/>
      </mc:AlternateContent>
    </comment>
    <comment ref="C271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265</xdr:row>
                <xdr:rowOff>8</xdr:rowOff>
              </xdr:from>
              <xdr:to>
                <xdr:col>5</xdr:col>
                <xdr:colOff>60</xdr:colOff>
                <xdr:row>270</xdr:row>
                <xdr:rowOff>5</xdr:rowOff>
              </xdr:to>
            </anchor>
          </commentPr>
        </mc:Choice>
        <mc:Fallback/>
      </mc:AlternateContent>
    </comment>
    <comment ref="C272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266</xdr:row>
                <xdr:rowOff>6</xdr:rowOff>
              </xdr:from>
              <xdr:to>
                <xdr:col>4</xdr:col>
                <xdr:colOff>68</xdr:colOff>
                <xdr:row>273</xdr:row>
                <xdr:rowOff>17</xdr:rowOff>
              </xdr:to>
            </anchor>
          </commentPr>
        </mc:Choice>
        <mc:Fallback/>
      </mc:AlternateContent>
    </comment>
    <comment ref="C275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272</xdr:row>
                <xdr:rowOff>2</xdr:rowOff>
              </xdr:from>
              <xdr:to>
                <xdr:col>4</xdr:col>
                <xdr:colOff>104</xdr:colOff>
                <xdr:row>275</xdr:row>
                <xdr:rowOff>3</xdr:rowOff>
              </xdr:to>
            </anchor>
          </commentPr>
        </mc:Choice>
        <mc:Fallback/>
      </mc:AlternateContent>
    </comment>
    <comment ref="C281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274</xdr:row>
                <xdr:rowOff>14</xdr:rowOff>
              </xdr:from>
              <xdr:to>
                <xdr:col>5</xdr:col>
                <xdr:colOff>39</xdr:colOff>
                <xdr:row>280</xdr:row>
                <xdr:rowOff>8</xdr:rowOff>
              </xdr:to>
            </anchor>
          </commentPr>
        </mc:Choice>
        <mc:Fallback/>
      </mc:AlternateContent>
    </comment>
    <comment ref="C307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304</xdr:row>
                <xdr:rowOff>4</xdr:rowOff>
              </xdr:from>
              <xdr:to>
                <xdr:col>4</xdr:col>
                <xdr:colOff>44</xdr:colOff>
                <xdr:row>307</xdr:row>
                <xdr:rowOff>10</xdr:rowOff>
              </xdr:to>
            </anchor>
          </commentPr>
        </mc:Choice>
        <mc:Fallback/>
      </mc:AlternateContent>
    </comment>
    <comment ref="C309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303</xdr:row>
                <xdr:rowOff>4</xdr:rowOff>
              </xdr:from>
              <xdr:to>
                <xdr:col>4</xdr:col>
                <xdr:colOff>59</xdr:colOff>
                <xdr:row>309</xdr:row>
                <xdr:rowOff>11</xdr:rowOff>
              </xdr:to>
            </anchor>
          </commentPr>
        </mc:Choice>
        <mc:Fallback/>
      </mc:AlternateContent>
    </comment>
    <comment ref="C311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308</xdr:row>
                <xdr:rowOff>0</xdr:rowOff>
              </xdr:from>
              <xdr:to>
                <xdr:col>4</xdr:col>
                <xdr:colOff>104</xdr:colOff>
                <xdr:row>311</xdr:row>
                <xdr:rowOff>1</xdr:rowOff>
              </xdr:to>
            </anchor>
          </commentPr>
        </mc:Choice>
        <mc:Fallback/>
      </mc:AlternateContent>
    </comment>
    <comment ref="C313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306</xdr:row>
                <xdr:rowOff>10</xdr:rowOff>
              </xdr:from>
              <xdr:to>
                <xdr:col>4</xdr:col>
                <xdr:colOff>59</xdr:colOff>
                <xdr:row>309</xdr:row>
                <xdr:rowOff>11</xdr:rowOff>
              </xdr:to>
            </anchor>
          </commentPr>
        </mc:Choice>
        <mc:Fallback/>
      </mc:AlternateContent>
    </comment>
    <comment ref="C315" authorId="0">
      <text>
        <r>
          <rPr>
            <sz val="10"/>
            <rFont val="Arial"/>
            <family val="2"/>
          </rPr>
          <t xml:space="preserve">Informar o consumo de graxa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312</xdr:row>
                <xdr:rowOff>0</xdr:rowOff>
              </xdr:from>
              <xdr:to>
                <xdr:col>4</xdr:col>
                <xdr:colOff>58</xdr:colOff>
                <xdr:row>316</xdr:row>
                <xdr:rowOff>4</xdr:rowOff>
              </xdr:to>
            </anchor>
          </commentPr>
        </mc:Choice>
        <mc:Fallback/>
      </mc:AlternateContent>
    </comment>
    <comment ref="C328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322</xdr:row>
                <xdr:rowOff>9</xdr:rowOff>
              </xdr:from>
              <xdr:to>
                <xdr:col>4</xdr:col>
                <xdr:colOff>115</xdr:colOff>
                <xdr:row>325</xdr:row>
                <xdr:rowOff>13</xdr:rowOff>
              </xdr:to>
            </anchor>
          </commentPr>
        </mc:Choice>
        <mc:Fallback/>
      </mc:AlternateContent>
    </comment>
    <comment ref="C329" authorId="0">
      <text>
        <r>
          <rPr>
            <sz val="10"/>
            <rFont val="Arial"/>
            <family val="2"/>
          </rPr>
          <t xml:space="preserve">Informar o número de recapagens por pneu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326</xdr:row>
                <xdr:rowOff>0</xdr:rowOff>
              </xdr:from>
              <xdr:to>
                <xdr:col>4</xdr:col>
                <xdr:colOff>42</xdr:colOff>
                <xdr:row>330</xdr:row>
                <xdr:rowOff>14</xdr:rowOff>
              </xdr:to>
            </anchor>
          </commentPr>
        </mc:Choice>
        <mc:Fallback/>
      </mc:AlternateContent>
    </comment>
    <comment ref="C331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327</xdr:row>
                <xdr:rowOff>14</xdr:rowOff>
              </xdr:from>
              <xdr:to>
                <xdr:col>4</xdr:col>
                <xdr:colOff>104</xdr:colOff>
                <xdr:row>331</xdr:row>
                <xdr:rowOff>13</xdr:rowOff>
              </xdr:to>
            </anchor>
          </commentPr>
        </mc:Choice>
        <mc:Fallback/>
      </mc:AlternateContent>
    </comment>
    <comment ref="C352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345</xdr:row>
                <xdr:rowOff>7</xdr:rowOff>
              </xdr:from>
              <xdr:to>
                <xdr:col>4</xdr:col>
                <xdr:colOff>68</xdr:colOff>
                <xdr:row>349</xdr:row>
                <xdr:rowOff>10</xdr:rowOff>
              </xdr:to>
            </anchor>
          </commentPr>
        </mc:Choice>
        <mc:Fallback/>
      </mc:AlternateContent>
    </comment>
    <comment ref="C353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347</xdr:row>
                <xdr:rowOff>3</xdr:rowOff>
              </xdr:from>
              <xdr:to>
                <xdr:col>5</xdr:col>
                <xdr:colOff>60</xdr:colOff>
                <xdr:row>356</xdr:row>
                <xdr:rowOff>4</xdr:rowOff>
              </xdr:to>
            </anchor>
          </commentPr>
        </mc:Choice>
        <mc:Fallback/>
      </mc:AlternateContent>
    </comment>
    <comment ref="C354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347</xdr:row>
                <xdr:rowOff>13</xdr:rowOff>
              </xdr:from>
              <xdr:to>
                <xdr:col>4</xdr:col>
                <xdr:colOff>44</xdr:colOff>
                <xdr:row>357</xdr:row>
                <xdr:rowOff>7</xdr:rowOff>
              </xdr:to>
            </anchor>
          </commentPr>
        </mc:Choice>
        <mc:Fallback/>
      </mc:AlternateContent>
    </comment>
    <comment ref="C358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354</xdr:row>
                <xdr:rowOff>13</xdr:rowOff>
              </xdr:from>
              <xdr:to>
                <xdr:col>4</xdr:col>
                <xdr:colOff>104</xdr:colOff>
                <xdr:row>358</xdr:row>
                <xdr:rowOff>5</xdr:rowOff>
              </xdr:to>
            </anchor>
          </commentPr>
        </mc:Choice>
        <mc:Fallback/>
      </mc:AlternateContent>
    </comment>
    <comment ref="C364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357</xdr:row>
                <xdr:rowOff>4</xdr:rowOff>
              </xdr:from>
              <xdr:to>
                <xdr:col>5</xdr:col>
                <xdr:colOff>39</xdr:colOff>
                <xdr:row>363</xdr:row>
                <xdr:rowOff>8</xdr:rowOff>
              </xdr:to>
            </anchor>
          </commentPr>
        </mc:Choice>
        <mc:Fallback/>
      </mc:AlternateContent>
    </comment>
    <comment ref="C386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383</xdr:row>
                <xdr:rowOff>0</xdr:rowOff>
              </xdr:from>
              <xdr:to>
                <xdr:col>4</xdr:col>
                <xdr:colOff>44</xdr:colOff>
                <xdr:row>386</xdr:row>
                <xdr:rowOff>12</xdr:rowOff>
              </xdr:to>
            </anchor>
          </commentPr>
        </mc:Choice>
        <mc:Fallback/>
      </mc:AlternateContent>
    </comment>
    <comment ref="C388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381</xdr:row>
                <xdr:rowOff>9</xdr:rowOff>
              </xdr:from>
              <xdr:to>
                <xdr:col>4</xdr:col>
                <xdr:colOff>59</xdr:colOff>
                <xdr:row>388</xdr:row>
                <xdr:rowOff>13</xdr:rowOff>
              </xdr:to>
            </anchor>
          </commentPr>
        </mc:Choice>
        <mc:Fallback/>
      </mc:AlternateContent>
    </comment>
    <comment ref="C400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394</xdr:row>
                <xdr:rowOff>1</xdr:rowOff>
              </xdr:from>
              <xdr:to>
                <xdr:col>4</xdr:col>
                <xdr:colOff>115</xdr:colOff>
                <xdr:row>397</xdr:row>
                <xdr:rowOff>9</xdr:rowOff>
              </xdr:to>
            </anchor>
          </commentPr>
        </mc:Choice>
        <mc:Fallback/>
      </mc:AlternateContent>
    </comment>
    <comment ref="C401" authorId="0">
      <text>
        <r>
          <rPr>
            <sz val="10"/>
            <rFont val="Arial"/>
            <family val="2"/>
          </rPr>
          <t xml:space="preserve">Informar o número de recapagens por pneu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397</xdr:row>
                <xdr:rowOff>11</xdr:rowOff>
              </xdr:from>
              <xdr:to>
                <xdr:col>4</xdr:col>
                <xdr:colOff>42</xdr:colOff>
                <xdr:row>403</xdr:row>
                <xdr:rowOff>3</xdr:rowOff>
              </xdr:to>
            </anchor>
          </commentPr>
        </mc:Choice>
        <mc:Fallback/>
      </mc:AlternateContent>
    </comment>
    <comment ref="C403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399</xdr:row>
                <xdr:rowOff>8</xdr:rowOff>
              </xdr:from>
              <xdr:to>
                <xdr:col>4</xdr:col>
                <xdr:colOff>104</xdr:colOff>
                <xdr:row>403</xdr:row>
                <xdr:rowOff>15</xdr:rowOff>
              </xdr:to>
            </anchor>
          </commentPr>
        </mc:Choice>
        <mc:Fallback/>
      </mc:AlternateContent>
    </comment>
    <comment ref="C413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406</xdr:row>
                <xdr:rowOff>7</xdr:rowOff>
              </xdr:from>
              <xdr:to>
                <xdr:col>4</xdr:col>
                <xdr:colOff>68</xdr:colOff>
                <xdr:row>410</xdr:row>
                <xdr:rowOff>10</xdr:rowOff>
              </xdr:to>
            </anchor>
          </commentPr>
        </mc:Choice>
        <mc:Fallback/>
      </mc:AlternateContent>
    </comment>
    <comment ref="C414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408</xdr:row>
                <xdr:rowOff>3</xdr:rowOff>
              </xdr:from>
              <xdr:to>
                <xdr:col>5</xdr:col>
                <xdr:colOff>60</xdr:colOff>
                <xdr:row>417</xdr:row>
                <xdr:rowOff>4</xdr:rowOff>
              </xdr:to>
            </anchor>
          </commentPr>
        </mc:Choice>
        <mc:Fallback/>
      </mc:AlternateContent>
    </comment>
    <comment ref="C415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408</xdr:row>
                <xdr:rowOff>13</xdr:rowOff>
              </xdr:from>
              <xdr:to>
                <xdr:col>4</xdr:col>
                <xdr:colOff>44</xdr:colOff>
                <xdr:row>418</xdr:row>
                <xdr:rowOff>7</xdr:rowOff>
              </xdr:to>
            </anchor>
          </commentPr>
        </mc:Choice>
        <mc:Fallback/>
      </mc:AlternateContent>
    </comment>
    <comment ref="C418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408</xdr:row>
                <xdr:rowOff>13</xdr:rowOff>
              </xdr:from>
              <xdr:to>
                <xdr:col>4</xdr:col>
                <xdr:colOff>44</xdr:colOff>
                <xdr:row>413</xdr:row>
                <xdr:rowOff>5</xdr:rowOff>
              </xdr:to>
            </anchor>
          </commentPr>
        </mc:Choice>
        <mc:Fallback/>
      </mc:AlternateContent>
    </comment>
    <comment ref="C419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412</xdr:row>
                <xdr:rowOff>13</xdr:rowOff>
              </xdr:from>
              <xdr:to>
                <xdr:col>5</xdr:col>
                <xdr:colOff>60</xdr:colOff>
                <xdr:row>418</xdr:row>
                <xdr:rowOff>5</xdr:rowOff>
              </xdr:to>
            </anchor>
          </commentPr>
        </mc:Choice>
        <mc:Fallback/>
      </mc:AlternateContent>
    </comment>
    <comment ref="C420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413</xdr:row>
                <xdr:rowOff>11</xdr:rowOff>
              </xdr:from>
              <xdr:to>
                <xdr:col>4</xdr:col>
                <xdr:colOff>68</xdr:colOff>
                <xdr:row>422</xdr:row>
                <xdr:rowOff>6</xdr:rowOff>
              </xdr:to>
            </anchor>
          </commentPr>
        </mc:Choice>
        <mc:Fallback/>
      </mc:AlternateContent>
    </comment>
    <comment ref="C424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420</xdr:row>
                <xdr:rowOff>13</xdr:rowOff>
              </xdr:from>
              <xdr:to>
                <xdr:col>4</xdr:col>
                <xdr:colOff>104</xdr:colOff>
                <xdr:row>424</xdr:row>
                <xdr:rowOff>5</xdr:rowOff>
              </xdr:to>
            </anchor>
          </commentPr>
        </mc:Choice>
        <mc:Fallback/>
      </mc:AlternateContent>
    </comment>
    <comment ref="C430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423</xdr:row>
                <xdr:rowOff>4</xdr:rowOff>
              </xdr:from>
              <xdr:to>
                <xdr:col>5</xdr:col>
                <xdr:colOff>39</xdr:colOff>
                <xdr:row>429</xdr:row>
                <xdr:rowOff>8</xdr:rowOff>
              </xdr:to>
            </anchor>
          </commentPr>
        </mc:Choice>
        <mc:Fallback/>
      </mc:AlternateContent>
    </comment>
    <comment ref="C457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454</xdr:row>
                <xdr:rowOff>0</xdr:rowOff>
              </xdr:from>
              <xdr:to>
                <xdr:col>4</xdr:col>
                <xdr:colOff>44</xdr:colOff>
                <xdr:row>457</xdr:row>
                <xdr:rowOff>12</xdr:rowOff>
              </xdr:to>
            </anchor>
          </commentPr>
        </mc:Choice>
        <mc:Fallback/>
      </mc:AlternateContent>
    </comment>
    <comment ref="C459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452</xdr:row>
                <xdr:rowOff>9</xdr:rowOff>
              </xdr:from>
              <xdr:to>
                <xdr:col>4</xdr:col>
                <xdr:colOff>59</xdr:colOff>
                <xdr:row>459</xdr:row>
                <xdr:rowOff>13</xdr:rowOff>
              </xdr:to>
            </anchor>
          </commentPr>
        </mc:Choice>
        <mc:Fallback/>
      </mc:AlternateContent>
    </comment>
    <comment ref="C461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457</xdr:row>
                <xdr:rowOff>11</xdr:rowOff>
              </xdr:from>
              <xdr:to>
                <xdr:col>4</xdr:col>
                <xdr:colOff>104</xdr:colOff>
                <xdr:row>461</xdr:row>
                <xdr:rowOff>3</xdr:rowOff>
              </xdr:to>
            </anchor>
          </commentPr>
        </mc:Choice>
        <mc:Fallback/>
      </mc:AlternateContent>
    </comment>
    <comment ref="C463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455</xdr:row>
                <xdr:rowOff>13</xdr:rowOff>
              </xdr:from>
              <xdr:to>
                <xdr:col>4</xdr:col>
                <xdr:colOff>59</xdr:colOff>
                <xdr:row>459</xdr:row>
                <xdr:rowOff>5</xdr:rowOff>
              </xdr:to>
            </anchor>
          </commentPr>
        </mc:Choice>
        <mc:Fallback/>
      </mc:AlternateContent>
    </comment>
    <comment ref="C465" authorId="0">
      <text>
        <r>
          <rPr>
            <sz val="10"/>
            <rFont val="Arial"/>
            <family val="2"/>
          </rPr>
          <t xml:space="preserve">Informar o consumo de graxa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461</xdr:row>
                <xdr:rowOff>11</xdr:rowOff>
              </xdr:from>
              <xdr:to>
                <xdr:col>4</xdr:col>
                <xdr:colOff>58</xdr:colOff>
                <xdr:row>466</xdr:row>
                <xdr:rowOff>8</xdr:rowOff>
              </xdr:to>
            </anchor>
          </commentPr>
        </mc:Choice>
        <mc:Fallback/>
      </mc:AlternateContent>
    </comment>
    <comment ref="C478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472</xdr:row>
                <xdr:rowOff>1</xdr:rowOff>
              </xdr:from>
              <xdr:to>
                <xdr:col>4</xdr:col>
                <xdr:colOff>115</xdr:colOff>
                <xdr:row>475</xdr:row>
                <xdr:rowOff>9</xdr:rowOff>
              </xdr:to>
            </anchor>
          </commentPr>
        </mc:Choice>
        <mc:Fallback/>
      </mc:AlternateContent>
    </comment>
    <comment ref="C479" authorId="0">
      <text>
        <r>
          <rPr>
            <sz val="10"/>
            <rFont val="Arial"/>
            <family val="2"/>
          </rPr>
          <t xml:space="preserve">Informar o número de recapagens por pneu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475</xdr:row>
                <xdr:rowOff>11</xdr:rowOff>
              </xdr:from>
              <xdr:to>
                <xdr:col>4</xdr:col>
                <xdr:colOff>42</xdr:colOff>
                <xdr:row>481</xdr:row>
                <xdr:rowOff>3</xdr:rowOff>
              </xdr:to>
            </anchor>
          </commentPr>
        </mc:Choice>
        <mc:Fallback/>
      </mc:AlternateContent>
    </comment>
    <comment ref="C481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477</xdr:row>
                <xdr:rowOff>8</xdr:rowOff>
              </xdr:from>
              <xdr:to>
                <xdr:col>4</xdr:col>
                <xdr:colOff>104</xdr:colOff>
                <xdr:row>481</xdr:row>
                <xdr:rowOff>15</xdr:rowOff>
              </xdr:to>
            </anchor>
          </commentPr>
        </mc:Choice>
        <mc:Fallback/>
      </mc:AlternateContent>
    </comment>
    <comment ref="C491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487</xdr:row>
                <xdr:rowOff>13</xdr:rowOff>
              </xdr:from>
              <xdr:to>
                <xdr:col>5</xdr:col>
                <xdr:colOff>32</xdr:colOff>
                <xdr:row>495</xdr:row>
                <xdr:rowOff>1</xdr:rowOff>
              </xdr:to>
            </anchor>
          </commentPr>
        </mc:Choice>
        <mc:Fallback/>
      </mc:AlternateContent>
    </comment>
    <comment ref="C492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486</xdr:row>
                <xdr:rowOff>4</xdr:rowOff>
              </xdr:from>
              <xdr:to>
                <xdr:col>5</xdr:col>
                <xdr:colOff>68</xdr:colOff>
                <xdr:row>491</xdr:row>
                <xdr:rowOff>16</xdr:rowOff>
              </xdr:to>
            </anchor>
          </commentPr>
        </mc:Choice>
        <mc:Fallback/>
      </mc:AlternateContent>
    </comment>
    <comment ref="C493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486</xdr:row>
                <xdr:rowOff>8</xdr:rowOff>
              </xdr:from>
              <xdr:to>
                <xdr:col>5</xdr:col>
                <xdr:colOff>68</xdr:colOff>
                <xdr:row>492</xdr:row>
                <xdr:rowOff>4</xdr:rowOff>
              </xdr:to>
            </anchor>
          </commentPr>
        </mc:Choice>
        <mc:Fallback/>
      </mc:AlternateContent>
    </comment>
    <comment ref="C494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489</xdr:row>
                <xdr:rowOff>17</xdr:rowOff>
              </xdr:from>
              <xdr:to>
                <xdr:col>5</xdr:col>
                <xdr:colOff>21</xdr:colOff>
                <xdr:row>495</xdr:row>
                <xdr:rowOff>12</xdr:rowOff>
              </xdr:to>
            </anchor>
          </commentPr>
        </mc:Choice>
        <mc:Fallback/>
      </mc:AlternateContent>
    </comment>
    <comment ref="C495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489</xdr:row>
                <xdr:rowOff>6</xdr:rowOff>
              </xdr:from>
              <xdr:to>
                <xdr:col>5</xdr:col>
                <xdr:colOff>68</xdr:colOff>
                <xdr:row>495</xdr:row>
                <xdr:rowOff>1</xdr:rowOff>
              </xdr:to>
            </anchor>
          </commentPr>
        </mc:Choice>
        <mc:Fallback/>
      </mc:AlternateContent>
    </comment>
    <comment ref="C527" authorId="0">
      <text>
        <r>
          <rPr>
            <sz val="10"/>
            <rFont val="Arial"/>
            <family val="2"/>
          </rPr>
          <t xml:space="preserve">Preencher a aba 4.BDI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523</xdr:row>
                <xdr:rowOff>4</xdr:rowOff>
              </xdr:from>
              <xdr:to>
                <xdr:col>4</xdr:col>
                <xdr:colOff>51</xdr:colOff>
                <xdr:row>528</xdr:row>
                <xdr:rowOff>6</xdr:rowOff>
              </xdr:to>
            </anchor>
          </commentPr>
        </mc:Choice>
        <mc:Fallback/>
      </mc:AlternateContent>
    </comment>
    <comment ref="D49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13</xdr:colOff>
                <xdr:row>40</xdr:row>
                <xdr:rowOff>0</xdr:rowOff>
              </xdr:from>
              <xdr:to>
                <xdr:col>5</xdr:col>
                <xdr:colOff>19</xdr:colOff>
                <xdr:row>44</xdr:row>
                <xdr:rowOff>9</xdr:rowOff>
              </xdr:to>
            </anchor>
          </commentPr>
        </mc:Choice>
        <mc:Fallback/>
      </mc:AlternateContent>
    </comment>
    <comment ref="D62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13</xdr:colOff>
                <xdr:row>53</xdr:row>
                <xdr:rowOff>15</xdr:rowOff>
              </xdr:from>
              <xdr:to>
                <xdr:col>5</xdr:col>
                <xdr:colOff>19</xdr:colOff>
                <xdr:row>57</xdr:row>
                <xdr:rowOff>14</xdr:rowOff>
              </xdr:to>
            </anchor>
          </commentPr>
        </mc:Choice>
        <mc:Fallback/>
      </mc:AlternateContent>
    </comment>
    <comment ref="D93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89</xdr:row>
                <xdr:rowOff>1</xdr:rowOff>
              </xdr:from>
              <xdr:to>
                <xdr:col>5</xdr:col>
                <xdr:colOff>51</xdr:colOff>
                <xdr:row>92</xdr:row>
                <xdr:rowOff>13</xdr:rowOff>
              </xdr:to>
            </anchor>
          </commentPr>
        </mc:Choice>
        <mc:Fallback/>
      </mc:AlternateContent>
    </comment>
    <comment ref="D94" authorId="0">
      <text>
        <r>
          <rPr>
            <sz val="10"/>
            <rFont val="Arial"/>
            <family val="2"/>
          </rPr>
          <t xml:space="preserve">Informar o valor do salário Mínimo Nacional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90</xdr:row>
                <xdr:rowOff>5</xdr:rowOff>
              </xdr:from>
              <xdr:to>
                <xdr:col>5</xdr:col>
                <xdr:colOff>74</xdr:colOff>
                <xdr:row>94</xdr:row>
                <xdr:rowOff>7</xdr:rowOff>
              </xdr:to>
            </anchor>
          </commentPr>
        </mc:Choice>
        <mc:Fallback/>
      </mc:AlternateContent>
    </comment>
    <comment ref="D108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103</xdr:row>
                <xdr:rowOff>14</xdr:rowOff>
              </xdr:from>
              <xdr:to>
                <xdr:col>5</xdr:col>
                <xdr:colOff>51</xdr:colOff>
                <xdr:row>107</xdr:row>
                <xdr:rowOff>13</xdr:rowOff>
              </xdr:to>
            </anchor>
          </commentPr>
        </mc:Choice>
        <mc:Fallback/>
      </mc:AlternateContent>
    </comment>
    <comment ref="D109" authorId="0">
      <text>
        <r>
          <rPr>
            <sz val="10"/>
            <rFont val="Arial"/>
            <family val="2"/>
          </rPr>
          <t xml:space="preserve">Informar o valor do salário Mínimo Nacional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104</xdr:row>
                <xdr:rowOff>13</xdr:rowOff>
              </xdr:from>
              <xdr:to>
                <xdr:col>5</xdr:col>
                <xdr:colOff>74</xdr:colOff>
                <xdr:row>109</xdr:row>
                <xdr:rowOff>9</xdr:rowOff>
              </xdr:to>
            </anchor>
          </commentPr>
        </mc:Choice>
        <mc:Fallback/>
      </mc:AlternateContent>
    </comment>
    <comment ref="D145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118</xdr:row>
                <xdr:rowOff>11</xdr:rowOff>
              </xdr:from>
              <xdr:to>
                <xdr:col>5</xdr:col>
                <xdr:colOff>51</xdr:colOff>
                <xdr:row>144</xdr:row>
                <xdr:rowOff>13</xdr:rowOff>
              </xdr:to>
            </anchor>
          </commentPr>
        </mc:Choice>
        <mc:Fallback/>
      </mc:AlternateContent>
    </comment>
    <comment ref="D147" authorId="0">
      <text>
        <r>
          <rPr>
            <sz val="10"/>
            <rFont val="Arial"/>
            <family val="2"/>
          </rPr>
          <t xml:space="preserve">Informar o valor do salário Mínimo Nacional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142</xdr:row>
                <xdr:rowOff>13</xdr:rowOff>
              </xdr:from>
              <xdr:to>
                <xdr:col>5</xdr:col>
                <xdr:colOff>74</xdr:colOff>
                <xdr:row>147</xdr:row>
                <xdr:rowOff>9</xdr:rowOff>
              </xdr:to>
            </anchor>
          </commentPr>
        </mc:Choice>
        <mc:Fallback/>
      </mc:AlternateContent>
    </comment>
    <comment ref="D162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155</xdr:row>
                <xdr:rowOff>9</xdr:rowOff>
              </xdr:from>
              <xdr:to>
                <xdr:col>5</xdr:col>
                <xdr:colOff>51</xdr:colOff>
                <xdr:row>159</xdr:row>
                <xdr:rowOff>6</xdr:rowOff>
              </xdr:to>
            </anchor>
          </commentPr>
        </mc:Choice>
        <mc:Fallback/>
      </mc:AlternateContent>
    </comment>
    <comment ref="D164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160</xdr:row>
                <xdr:rowOff>7</xdr:rowOff>
              </xdr:from>
              <xdr:to>
                <xdr:col>5</xdr:col>
                <xdr:colOff>76</xdr:colOff>
                <xdr:row>164</xdr:row>
                <xdr:rowOff>17</xdr:rowOff>
              </xdr:to>
            </anchor>
          </commentPr>
        </mc:Choice>
        <mc:Fallback/>
      </mc:AlternateContent>
    </comment>
    <comment ref="D165" authorId="0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160</xdr:row>
                <xdr:rowOff>15</xdr:rowOff>
              </xdr:from>
              <xdr:to>
                <xdr:col>5</xdr:col>
                <xdr:colOff>76</xdr:colOff>
                <xdr:row>165</xdr:row>
                <xdr:rowOff>12</xdr:rowOff>
              </xdr:to>
            </anchor>
          </commentPr>
        </mc:Choice>
        <mc:Fallback/>
      </mc:AlternateContent>
    </comment>
    <comment ref="D171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61</xdr:colOff>
                <xdr:row>170</xdr:row>
                <xdr:rowOff>12</xdr:rowOff>
              </xdr:from>
              <xdr:to>
                <xdr:col>6</xdr:col>
                <xdr:colOff>70</xdr:colOff>
                <xdr:row>174</xdr:row>
                <xdr:rowOff>11</xdr:rowOff>
              </xdr:to>
            </anchor>
          </commentPr>
        </mc:Choice>
        <mc:Fallback/>
      </mc:AlternateContent>
    </comment>
    <comment ref="D172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168</xdr:row>
                <xdr:rowOff>10</xdr:rowOff>
              </xdr:from>
              <xdr:to>
                <xdr:col>6</xdr:col>
                <xdr:colOff>21</xdr:colOff>
                <xdr:row>172</xdr:row>
                <xdr:rowOff>15</xdr:rowOff>
              </xdr:to>
            </anchor>
          </commentPr>
        </mc:Choice>
        <mc:Fallback/>
      </mc:AlternateContent>
    </comment>
    <comment ref="D178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53</xdr:colOff>
                <xdr:row>169</xdr:row>
                <xdr:rowOff>6</xdr:rowOff>
              </xdr:from>
              <xdr:to>
                <xdr:col>5</xdr:col>
                <xdr:colOff>38</xdr:colOff>
                <xdr:row>174</xdr:row>
                <xdr:rowOff>8</xdr:rowOff>
              </xdr:to>
            </anchor>
          </commentPr>
        </mc:Choice>
        <mc:Fallback/>
      </mc:AlternateContent>
    </comment>
    <comment ref="D179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175</xdr:row>
                <xdr:rowOff>13</xdr:rowOff>
              </xdr:from>
              <xdr:to>
                <xdr:col>6</xdr:col>
                <xdr:colOff>34</xdr:colOff>
                <xdr:row>181</xdr:row>
                <xdr:rowOff>7</xdr:rowOff>
              </xdr:to>
            </anchor>
          </commentPr>
        </mc:Choice>
        <mc:Fallback/>
      </mc:AlternateContent>
    </comment>
    <comment ref="D184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180</xdr:row>
                <xdr:rowOff>13</xdr:rowOff>
              </xdr:from>
              <xdr:to>
                <xdr:col>6</xdr:col>
                <xdr:colOff>34</xdr:colOff>
                <xdr:row>186</xdr:row>
                <xdr:rowOff>7</xdr:rowOff>
              </xdr:to>
            </anchor>
          </commentPr>
        </mc:Choice>
        <mc:Fallback/>
      </mc:AlternateContent>
    </comment>
    <comment ref="D21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209</xdr:row>
                <xdr:rowOff>8</xdr:rowOff>
              </xdr:from>
              <xdr:to>
                <xdr:col>5</xdr:col>
                <xdr:colOff>84</xdr:colOff>
                <xdr:row>218</xdr:row>
                <xdr:rowOff>16</xdr:rowOff>
              </xdr:to>
            </anchor>
          </commentPr>
        </mc:Choice>
        <mc:Fallback/>
      </mc:AlternateContent>
    </comment>
    <comment ref="D21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211</xdr:row>
                <xdr:rowOff>30</xdr:rowOff>
              </xdr:from>
              <xdr:to>
                <xdr:col>5</xdr:col>
                <xdr:colOff>84</xdr:colOff>
                <xdr:row>215</xdr:row>
                <xdr:rowOff>7</xdr:rowOff>
              </xdr:to>
            </anchor>
          </commentPr>
        </mc:Choice>
        <mc:Fallback/>
      </mc:AlternateContent>
    </comment>
    <comment ref="D21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211</xdr:row>
                <xdr:rowOff>30</xdr:rowOff>
              </xdr:from>
              <xdr:to>
                <xdr:col>5</xdr:col>
                <xdr:colOff>84</xdr:colOff>
                <xdr:row>218</xdr:row>
                <xdr:rowOff>4</xdr:rowOff>
              </xdr:to>
            </anchor>
          </commentPr>
        </mc:Choice>
        <mc:Fallback/>
      </mc:AlternateContent>
    </comment>
    <comment ref="D21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211</xdr:row>
                <xdr:rowOff>30</xdr:rowOff>
              </xdr:from>
              <xdr:to>
                <xdr:col>5</xdr:col>
                <xdr:colOff>84</xdr:colOff>
                <xdr:row>220</xdr:row>
                <xdr:rowOff>6</xdr:rowOff>
              </xdr:to>
            </anchor>
          </commentPr>
        </mc:Choice>
        <mc:Fallback/>
      </mc:AlternateContent>
    </comment>
    <comment ref="D21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213</xdr:row>
                <xdr:rowOff>9</xdr:rowOff>
              </xdr:from>
              <xdr:to>
                <xdr:col>5</xdr:col>
                <xdr:colOff>84</xdr:colOff>
                <xdr:row>219</xdr:row>
                <xdr:rowOff>1</xdr:rowOff>
              </xdr:to>
            </anchor>
          </commentPr>
        </mc:Choice>
        <mc:Fallback/>
      </mc:AlternateContent>
    </comment>
    <comment ref="D21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214</xdr:row>
                <xdr:rowOff>10</xdr:rowOff>
              </xdr:from>
              <xdr:to>
                <xdr:col>5</xdr:col>
                <xdr:colOff>84</xdr:colOff>
                <xdr:row>218</xdr:row>
                <xdr:rowOff>15</xdr:rowOff>
              </xdr:to>
            </anchor>
          </commentPr>
        </mc:Choice>
        <mc:Fallback/>
      </mc:AlternateContent>
    </comment>
    <comment ref="D22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215</xdr:row>
                <xdr:rowOff>11</xdr:rowOff>
              </xdr:from>
              <xdr:to>
                <xdr:col>5</xdr:col>
                <xdr:colOff>84</xdr:colOff>
                <xdr:row>219</xdr:row>
                <xdr:rowOff>4</xdr:rowOff>
              </xdr:to>
            </anchor>
          </commentPr>
        </mc:Choice>
        <mc:Fallback/>
      </mc:AlternateContent>
    </comment>
    <comment ref="D22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216</xdr:row>
                <xdr:rowOff>12</xdr:rowOff>
              </xdr:from>
              <xdr:to>
                <xdr:col>5</xdr:col>
                <xdr:colOff>84</xdr:colOff>
                <xdr:row>223</xdr:row>
                <xdr:rowOff>16</xdr:rowOff>
              </xdr:to>
            </anchor>
          </commentPr>
        </mc:Choice>
        <mc:Fallback/>
      </mc:AlternateContent>
    </comment>
    <comment ref="D22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217</xdr:row>
                <xdr:rowOff>10</xdr:rowOff>
              </xdr:from>
              <xdr:to>
                <xdr:col>5</xdr:col>
                <xdr:colOff>84</xdr:colOff>
                <xdr:row>223</xdr:row>
                <xdr:rowOff>1</xdr:rowOff>
              </xdr:to>
            </anchor>
          </commentPr>
        </mc:Choice>
        <mc:Fallback/>
      </mc:AlternateContent>
    </comment>
    <comment ref="D22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218</xdr:row>
                <xdr:rowOff>8</xdr:rowOff>
              </xdr:from>
              <xdr:to>
                <xdr:col>5</xdr:col>
                <xdr:colOff>84</xdr:colOff>
                <xdr:row>222</xdr:row>
                <xdr:rowOff>15</xdr:rowOff>
              </xdr:to>
            </anchor>
          </commentPr>
        </mc:Choice>
        <mc:Fallback/>
      </mc:AlternateContent>
    </comment>
    <comment ref="D224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219</xdr:row>
                <xdr:rowOff>8</xdr:rowOff>
              </xdr:from>
              <xdr:to>
                <xdr:col>5</xdr:col>
                <xdr:colOff>84</xdr:colOff>
                <xdr:row>223</xdr:row>
                <xdr:rowOff>8</xdr:rowOff>
              </xdr:to>
            </anchor>
          </commentPr>
        </mc:Choice>
        <mc:Fallback/>
      </mc:AlternateContent>
    </comment>
    <comment ref="D238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232</xdr:row>
                <xdr:rowOff>9</xdr:rowOff>
              </xdr:from>
              <xdr:to>
                <xdr:col>5</xdr:col>
                <xdr:colOff>84</xdr:colOff>
                <xdr:row>236</xdr:row>
                <xdr:rowOff>8</xdr:rowOff>
              </xdr:to>
            </anchor>
          </commentPr>
        </mc:Choice>
        <mc:Fallback/>
      </mc:AlternateContent>
    </comment>
    <comment ref="D252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245</xdr:row>
                <xdr:rowOff>14</xdr:rowOff>
              </xdr:from>
              <xdr:to>
                <xdr:col>5</xdr:col>
                <xdr:colOff>84</xdr:colOff>
                <xdr:row>250</xdr:row>
                <xdr:rowOff>6</xdr:rowOff>
              </xdr:to>
            </anchor>
          </commentPr>
        </mc:Choice>
        <mc:Fallback/>
      </mc:AlternateContent>
    </comment>
    <comment ref="D264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256</xdr:row>
                <xdr:rowOff>0</xdr:rowOff>
              </xdr:from>
              <xdr:to>
                <xdr:col>5</xdr:col>
                <xdr:colOff>114</xdr:colOff>
                <xdr:row>258</xdr:row>
                <xdr:rowOff>12</xdr:rowOff>
              </xdr:to>
            </anchor>
          </commentPr>
        </mc:Choice>
        <mc:Fallback/>
      </mc:AlternateContent>
    </comment>
    <comment ref="D269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261</xdr:row>
                <xdr:rowOff>5</xdr:rowOff>
              </xdr:from>
              <xdr:to>
                <xdr:col>5</xdr:col>
                <xdr:colOff>51</xdr:colOff>
                <xdr:row>265</xdr:row>
                <xdr:rowOff>4</xdr:rowOff>
              </xdr:to>
            </anchor>
          </commentPr>
        </mc:Choice>
        <mc:Fallback/>
      </mc:AlternateContent>
    </comment>
    <comment ref="D297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294</xdr:row>
                <xdr:rowOff>3</xdr:rowOff>
              </xdr:from>
              <xdr:to>
                <xdr:col>5</xdr:col>
                <xdr:colOff>49</xdr:colOff>
                <xdr:row>298</xdr:row>
                <xdr:rowOff>17</xdr:rowOff>
              </xdr:to>
            </anchor>
          </commentPr>
        </mc:Choice>
        <mc:Fallback/>
      </mc:AlternateContent>
    </comment>
    <comment ref="D298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294</xdr:row>
                <xdr:rowOff>17</xdr:rowOff>
              </xdr:from>
              <xdr:to>
                <xdr:col>5</xdr:col>
                <xdr:colOff>49</xdr:colOff>
                <xdr:row>300</xdr:row>
                <xdr:rowOff>12</xdr:rowOff>
              </xdr:to>
            </anchor>
          </commentPr>
        </mc:Choice>
        <mc:Fallback/>
      </mc:AlternateContent>
    </comment>
    <comment ref="D307" authorId="0">
      <text>
        <r>
          <rPr>
            <sz val="10"/>
            <rFont val="Arial"/>
            <family val="2"/>
          </rPr>
          <t xml:space="preserve">Informar o preço unitário do combustivel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301</xdr:row>
                <xdr:rowOff>7</xdr:rowOff>
              </xdr:from>
              <xdr:to>
                <xdr:col>5</xdr:col>
                <xdr:colOff>75</xdr:colOff>
                <xdr:row>304</xdr:row>
                <xdr:rowOff>8</xdr:rowOff>
              </xdr:to>
            </anchor>
          </commentPr>
        </mc:Choice>
        <mc:Fallback/>
      </mc:AlternateContent>
    </comment>
    <comment ref="D309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303</xdr:row>
                <xdr:rowOff>4</xdr:rowOff>
              </xdr:from>
              <xdr:to>
                <xdr:col>5</xdr:col>
                <xdr:colOff>50</xdr:colOff>
                <xdr:row>309</xdr:row>
                <xdr:rowOff>11</xdr:rowOff>
              </xdr:to>
            </anchor>
          </commentPr>
        </mc:Choice>
        <mc:Fallback/>
      </mc:AlternateContent>
    </comment>
    <comment ref="D311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304</xdr:row>
                <xdr:rowOff>16</xdr:rowOff>
              </xdr:from>
              <xdr:to>
                <xdr:col>5</xdr:col>
                <xdr:colOff>50</xdr:colOff>
                <xdr:row>308</xdr:row>
                <xdr:rowOff>15</xdr:rowOff>
              </xdr:to>
            </anchor>
          </commentPr>
        </mc:Choice>
        <mc:Fallback/>
      </mc:AlternateContent>
    </comment>
    <comment ref="D313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307</xdr:row>
                <xdr:rowOff>4</xdr:rowOff>
              </xdr:from>
              <xdr:to>
                <xdr:col>5</xdr:col>
                <xdr:colOff>75</xdr:colOff>
                <xdr:row>311</xdr:row>
                <xdr:rowOff>3</xdr:rowOff>
              </xdr:to>
            </anchor>
          </commentPr>
        </mc:Choice>
        <mc:Fallback/>
      </mc:AlternateContent>
    </comment>
    <comment ref="D315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312</xdr:row>
                <xdr:rowOff>0</xdr:rowOff>
              </xdr:from>
              <xdr:to>
                <xdr:col>5</xdr:col>
                <xdr:colOff>49</xdr:colOff>
                <xdr:row>316</xdr:row>
                <xdr:rowOff>1</xdr:rowOff>
              </xdr:to>
            </anchor>
          </commentPr>
        </mc:Choice>
        <mc:Fallback/>
      </mc:AlternateContent>
    </comment>
    <comment ref="D323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317</xdr:row>
                <xdr:rowOff>9</xdr:rowOff>
              </xdr:from>
              <xdr:to>
                <xdr:col>5</xdr:col>
                <xdr:colOff>110</xdr:colOff>
                <xdr:row>321</xdr:row>
                <xdr:rowOff>10</xdr:rowOff>
              </xdr:to>
            </anchor>
          </commentPr>
        </mc:Choice>
        <mc:Fallback/>
      </mc:AlternateContent>
    </comment>
    <comment ref="D328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325</xdr:row>
                <xdr:rowOff>2</xdr:rowOff>
              </xdr:from>
              <xdr:to>
                <xdr:col>5</xdr:col>
                <xdr:colOff>49</xdr:colOff>
                <xdr:row>328</xdr:row>
                <xdr:rowOff>3</xdr:rowOff>
              </xdr:to>
            </anchor>
          </commentPr>
        </mc:Choice>
        <mc:Fallback/>
      </mc:AlternateContent>
    </comment>
    <comment ref="D330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326</xdr:row>
                <xdr:rowOff>16</xdr:rowOff>
              </xdr:from>
              <xdr:to>
                <xdr:col>5</xdr:col>
                <xdr:colOff>49</xdr:colOff>
                <xdr:row>331</xdr:row>
                <xdr:rowOff>12</xdr:rowOff>
              </xdr:to>
            </anchor>
          </commentPr>
        </mc:Choice>
        <mc:Fallback/>
      </mc:AlternateContent>
    </comment>
    <comment ref="D351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342</xdr:row>
                <xdr:rowOff>7</xdr:rowOff>
              </xdr:from>
              <xdr:to>
                <xdr:col>5</xdr:col>
                <xdr:colOff>114</xdr:colOff>
                <xdr:row>345</xdr:row>
                <xdr:rowOff>6</xdr:rowOff>
              </xdr:to>
            </anchor>
          </commentPr>
        </mc:Choice>
        <mc:Fallback/>
      </mc:AlternateContent>
    </comment>
    <comment ref="D376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372</xdr:row>
                <xdr:rowOff>14</xdr:rowOff>
              </xdr:from>
              <xdr:to>
                <xdr:col>5</xdr:col>
                <xdr:colOff>49</xdr:colOff>
                <xdr:row>378</xdr:row>
                <xdr:rowOff>6</xdr:rowOff>
              </xdr:to>
            </anchor>
          </commentPr>
        </mc:Choice>
        <mc:Fallback/>
      </mc:AlternateContent>
    </comment>
    <comment ref="D377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373</xdr:row>
                <xdr:rowOff>11</xdr:rowOff>
              </xdr:from>
              <xdr:to>
                <xdr:col>5</xdr:col>
                <xdr:colOff>49</xdr:colOff>
                <xdr:row>380</xdr:row>
                <xdr:rowOff>3</xdr:rowOff>
              </xdr:to>
            </anchor>
          </commentPr>
        </mc:Choice>
        <mc:Fallback/>
      </mc:AlternateContent>
    </comment>
    <comment ref="D386" authorId="0">
      <text>
        <r>
          <rPr>
            <sz val="10"/>
            <rFont val="Arial"/>
            <family val="2"/>
          </rPr>
          <t xml:space="preserve">Informar o preço unitário do combustivel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379</xdr:row>
                <xdr:rowOff>12</xdr:rowOff>
              </xdr:from>
              <xdr:to>
                <xdr:col>5</xdr:col>
                <xdr:colOff>75</xdr:colOff>
                <xdr:row>383</xdr:row>
                <xdr:rowOff>4</xdr:rowOff>
              </xdr:to>
            </anchor>
          </commentPr>
        </mc:Choice>
        <mc:Fallback/>
      </mc:AlternateContent>
    </comment>
    <comment ref="D388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381</xdr:row>
                <xdr:rowOff>9</xdr:rowOff>
              </xdr:from>
              <xdr:to>
                <xdr:col>5</xdr:col>
                <xdr:colOff>50</xdr:colOff>
                <xdr:row>388</xdr:row>
                <xdr:rowOff>13</xdr:rowOff>
              </xdr:to>
            </anchor>
          </commentPr>
        </mc:Choice>
        <mc:Fallback/>
      </mc:AlternateContent>
    </comment>
    <comment ref="D395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389</xdr:row>
                <xdr:rowOff>1</xdr:rowOff>
              </xdr:from>
              <xdr:to>
                <xdr:col>5</xdr:col>
                <xdr:colOff>110</xdr:colOff>
                <xdr:row>393</xdr:row>
                <xdr:rowOff>8</xdr:rowOff>
              </xdr:to>
            </anchor>
          </commentPr>
        </mc:Choice>
        <mc:Fallback/>
      </mc:AlternateContent>
    </comment>
    <comment ref="D400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396</xdr:row>
                <xdr:rowOff>13</xdr:rowOff>
              </xdr:from>
              <xdr:to>
                <xdr:col>5</xdr:col>
                <xdr:colOff>49</xdr:colOff>
                <xdr:row>400</xdr:row>
                <xdr:rowOff>5</xdr:rowOff>
              </xdr:to>
            </anchor>
          </commentPr>
        </mc:Choice>
        <mc:Fallback/>
      </mc:AlternateContent>
    </comment>
    <comment ref="D402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398</xdr:row>
                <xdr:rowOff>10</xdr:rowOff>
              </xdr:from>
              <xdr:to>
                <xdr:col>5</xdr:col>
                <xdr:colOff>49</xdr:colOff>
                <xdr:row>404</xdr:row>
                <xdr:rowOff>1</xdr:rowOff>
              </xdr:to>
            </anchor>
          </commentPr>
        </mc:Choice>
        <mc:Fallback/>
      </mc:AlternateContent>
    </comment>
    <comment ref="D412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403</xdr:row>
                <xdr:rowOff>7</xdr:rowOff>
              </xdr:from>
              <xdr:to>
                <xdr:col>5</xdr:col>
                <xdr:colOff>114</xdr:colOff>
                <xdr:row>406</xdr:row>
                <xdr:rowOff>6</xdr:rowOff>
              </xdr:to>
            </anchor>
          </commentPr>
        </mc:Choice>
        <mc:Fallback/>
      </mc:AlternateContent>
    </comment>
    <comment ref="D417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408</xdr:row>
                <xdr:rowOff>6</xdr:rowOff>
              </xdr:from>
              <xdr:to>
                <xdr:col>5</xdr:col>
                <xdr:colOff>51</xdr:colOff>
                <xdr:row>412</xdr:row>
                <xdr:rowOff>13</xdr:rowOff>
              </xdr:to>
            </anchor>
          </commentPr>
        </mc:Choice>
        <mc:Fallback/>
      </mc:AlternateContent>
    </comment>
    <comment ref="D447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443</xdr:row>
                <xdr:rowOff>14</xdr:rowOff>
              </xdr:from>
              <xdr:to>
                <xdr:col>5</xdr:col>
                <xdr:colOff>49</xdr:colOff>
                <xdr:row>449</xdr:row>
                <xdr:rowOff>6</xdr:rowOff>
              </xdr:to>
            </anchor>
          </commentPr>
        </mc:Choice>
        <mc:Fallback/>
      </mc:AlternateContent>
    </comment>
    <comment ref="D448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444</xdr:row>
                <xdr:rowOff>11</xdr:rowOff>
              </xdr:from>
              <xdr:to>
                <xdr:col>5</xdr:col>
                <xdr:colOff>49</xdr:colOff>
                <xdr:row>451</xdr:row>
                <xdr:rowOff>3</xdr:rowOff>
              </xdr:to>
            </anchor>
          </commentPr>
        </mc:Choice>
        <mc:Fallback/>
      </mc:AlternateContent>
    </comment>
    <comment ref="D457" authorId="0">
      <text>
        <r>
          <rPr>
            <sz val="10"/>
            <rFont val="Arial"/>
            <family val="2"/>
          </rPr>
          <t xml:space="preserve">Informar o preço unitário do combustivel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450</xdr:row>
                <xdr:rowOff>12</xdr:rowOff>
              </xdr:from>
              <xdr:to>
                <xdr:col>5</xdr:col>
                <xdr:colOff>75</xdr:colOff>
                <xdr:row>454</xdr:row>
                <xdr:rowOff>4</xdr:rowOff>
              </xdr:to>
            </anchor>
          </commentPr>
        </mc:Choice>
        <mc:Fallback/>
      </mc:AlternateContent>
    </comment>
    <comment ref="D459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452</xdr:row>
                <xdr:rowOff>9</xdr:rowOff>
              </xdr:from>
              <xdr:to>
                <xdr:col>5</xdr:col>
                <xdr:colOff>50</xdr:colOff>
                <xdr:row>459</xdr:row>
                <xdr:rowOff>13</xdr:rowOff>
              </xdr:to>
            </anchor>
          </commentPr>
        </mc:Choice>
        <mc:Fallback/>
      </mc:AlternateContent>
    </comment>
    <comment ref="D461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454</xdr:row>
                <xdr:rowOff>4</xdr:rowOff>
              </xdr:from>
              <xdr:to>
                <xdr:col>5</xdr:col>
                <xdr:colOff>50</xdr:colOff>
                <xdr:row>458</xdr:row>
                <xdr:rowOff>11</xdr:rowOff>
              </xdr:to>
            </anchor>
          </commentPr>
        </mc:Choice>
        <mc:Fallback/>
      </mc:AlternateContent>
    </comment>
    <comment ref="D463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456</xdr:row>
                <xdr:rowOff>9</xdr:rowOff>
              </xdr:from>
              <xdr:to>
                <xdr:col>5</xdr:col>
                <xdr:colOff>75</xdr:colOff>
                <xdr:row>461</xdr:row>
                <xdr:rowOff>1</xdr:rowOff>
              </xdr:to>
            </anchor>
          </commentPr>
        </mc:Choice>
        <mc:Fallback/>
      </mc:AlternateContent>
    </comment>
    <comment ref="D465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461</xdr:row>
                <xdr:rowOff>11</xdr:rowOff>
              </xdr:from>
              <xdr:to>
                <xdr:col>5</xdr:col>
                <xdr:colOff>49</xdr:colOff>
                <xdr:row>466</xdr:row>
                <xdr:rowOff>5</xdr:rowOff>
              </xdr:to>
            </anchor>
          </commentPr>
        </mc:Choice>
        <mc:Fallback/>
      </mc:AlternateContent>
    </comment>
    <comment ref="D473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467</xdr:row>
                <xdr:rowOff>1</xdr:rowOff>
              </xdr:from>
              <xdr:to>
                <xdr:col>5</xdr:col>
                <xdr:colOff>110</xdr:colOff>
                <xdr:row>471</xdr:row>
                <xdr:rowOff>8</xdr:rowOff>
              </xdr:to>
            </anchor>
          </commentPr>
        </mc:Choice>
        <mc:Fallback/>
      </mc:AlternateContent>
    </comment>
    <comment ref="D478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474</xdr:row>
                <xdr:rowOff>13</xdr:rowOff>
              </xdr:from>
              <xdr:to>
                <xdr:col>5</xdr:col>
                <xdr:colOff>49</xdr:colOff>
                <xdr:row>478</xdr:row>
                <xdr:rowOff>5</xdr:rowOff>
              </xdr:to>
            </anchor>
          </commentPr>
        </mc:Choice>
        <mc:Fallback/>
      </mc:AlternateContent>
    </comment>
    <comment ref="D480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476</xdr:row>
                <xdr:rowOff>10</xdr:rowOff>
              </xdr:from>
              <xdr:to>
                <xdr:col>5</xdr:col>
                <xdr:colOff>49</xdr:colOff>
                <xdr:row>482</xdr:row>
                <xdr:rowOff>1</xdr:rowOff>
              </xdr:to>
            </anchor>
          </commentPr>
        </mc:Choice>
        <mc:Fallback/>
      </mc:AlternateContent>
    </comment>
    <comment ref="D491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487</xdr:row>
                <xdr:rowOff>7</xdr:rowOff>
              </xdr:from>
              <xdr:to>
                <xdr:col>5</xdr:col>
                <xdr:colOff>49</xdr:colOff>
                <xdr:row>494</xdr:row>
                <xdr:rowOff>12</xdr:rowOff>
              </xdr:to>
            </anchor>
          </commentPr>
        </mc:Choice>
        <mc:Fallback/>
      </mc:AlternateContent>
    </comment>
    <comment ref="D492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485</xdr:row>
                <xdr:rowOff>15</xdr:rowOff>
              </xdr:from>
              <xdr:to>
                <xdr:col>5</xdr:col>
                <xdr:colOff>84</xdr:colOff>
                <xdr:row>490</xdr:row>
                <xdr:rowOff>3</xdr:rowOff>
              </xdr:to>
            </anchor>
          </commentPr>
        </mc:Choice>
        <mc:Fallback/>
      </mc:AlternateContent>
    </comment>
    <comment ref="D493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486</xdr:row>
                <xdr:rowOff>8</xdr:rowOff>
              </xdr:from>
              <xdr:to>
                <xdr:col>5</xdr:col>
                <xdr:colOff>84</xdr:colOff>
                <xdr:row>492</xdr:row>
                <xdr:rowOff>4</xdr:rowOff>
              </xdr:to>
            </anchor>
          </commentPr>
        </mc:Choice>
        <mc:Fallback/>
      </mc:AlternateContent>
    </comment>
    <comment ref="D494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</xdr:colOff>
                <xdr:row>490</xdr:row>
                <xdr:rowOff>16</xdr:rowOff>
              </xdr:from>
              <xdr:to>
                <xdr:col>5</xdr:col>
                <xdr:colOff>38</xdr:colOff>
                <xdr:row>494</xdr:row>
                <xdr:rowOff>15</xdr:rowOff>
              </xdr:to>
            </anchor>
          </commentPr>
        </mc:Choice>
        <mc:Fallback/>
      </mc:AlternateContent>
    </comment>
    <comment ref="D495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488</xdr:row>
                <xdr:rowOff>17</xdr:rowOff>
              </xdr:from>
              <xdr:to>
                <xdr:col>5</xdr:col>
                <xdr:colOff>84</xdr:colOff>
                <xdr:row>494</xdr:row>
                <xdr:rowOff>1</xdr:rowOff>
              </xdr:to>
            </anchor>
          </commentPr>
        </mc:Choice>
        <mc:Fallback/>
      </mc:AlternateContent>
    </comment>
    <comment ref="D504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</xdr:colOff>
                <xdr:row>500</xdr:row>
                <xdr:rowOff>8</xdr:rowOff>
              </xdr:from>
              <xdr:to>
                <xdr:col>5</xdr:col>
                <xdr:colOff>109</xdr:colOff>
                <xdr:row>506</xdr:row>
                <xdr:rowOff>10</xdr:rowOff>
              </xdr:to>
            </anchor>
          </commentPr>
        </mc:Choice>
        <mc:Fallback/>
      </mc:AlternateContent>
    </comment>
    <comment ref="D506" authorId="0">
      <text>
        <r>
          <rPr>
            <sz val="10"/>
            <rFont val="Arial"/>
            <family val="2"/>
          </rPr>
          <t xml:space="preserve">Informar o valor unitário mensal para manutenção dos equipamentos de monitoramento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498</xdr:row>
                <xdr:rowOff>17</xdr:rowOff>
              </xdr:from>
              <xdr:to>
                <xdr:col>5</xdr:col>
                <xdr:colOff>84</xdr:colOff>
                <xdr:row>503</xdr:row>
                <xdr:rowOff>14</xdr:rowOff>
              </xdr:to>
            </anchor>
          </commentPr>
        </mc:Choice>
        <mc:Fallback/>
      </mc:AlternateContent>
    </comment>
    <comment ref="D515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</xdr:colOff>
                <xdr:row>511</xdr:row>
                <xdr:rowOff>8</xdr:rowOff>
              </xdr:from>
              <xdr:to>
                <xdr:col>5</xdr:col>
                <xdr:colOff>109</xdr:colOff>
                <xdr:row>517</xdr:row>
                <xdr:rowOff>10</xdr:rowOff>
              </xdr:to>
            </anchor>
          </commentPr>
        </mc:Choice>
        <mc:Fallback/>
      </mc:AlternateContent>
    </comment>
    <comment ref="D535" authorId="0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32</xdr:colOff>
                <xdr:row>525</xdr:row>
                <xdr:rowOff>15</xdr:rowOff>
              </xdr:from>
              <xdr:to>
                <xdr:col>8</xdr:col>
                <xdr:colOff>11</xdr:colOff>
                <xdr:row>531</xdr:row>
                <xdr:rowOff>11</xdr:rowOff>
              </xdr:to>
            </anchor>
          </commentPr>
        </mc:Choice>
        <mc:Fallback/>
      </mc:AlternateContent>
    </comment>
  </commentList>
</comments>
</file>

<file path=xl/comments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A5" authorId="0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17</xdr:colOff>
                <xdr:row>2</xdr:row>
                <xdr:rowOff>19</xdr:rowOff>
              </xdr:from>
              <xdr:to>
                <xdr:col>7</xdr:col>
                <xdr:colOff>1</xdr:colOff>
                <xdr:row>7</xdr:row>
                <xdr:rowOff>4</xdr:rowOff>
              </xdr:to>
            </anchor>
          </commentPr>
        </mc:Choice>
        <mc:Fallback/>
      </mc:AlternateContent>
    </comment>
    <comment ref="A49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4</xdr:colOff>
                <xdr:row>45</xdr:row>
                <xdr:rowOff>3</xdr:rowOff>
              </xdr:from>
              <xdr:to>
                <xdr:col>2</xdr:col>
                <xdr:colOff>96</xdr:colOff>
                <xdr:row>51</xdr:row>
                <xdr:rowOff>11</xdr:rowOff>
              </xdr:to>
            </anchor>
          </commentPr>
        </mc:Choice>
        <mc:Fallback/>
      </mc:AlternateContent>
    </comment>
    <comment ref="A68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1</xdr:col>
                <xdr:colOff>15</xdr:colOff>
                <xdr:row>53</xdr:row>
                <xdr:rowOff>3</xdr:rowOff>
              </xdr:from>
              <xdr:to>
                <xdr:col>2</xdr:col>
                <xdr:colOff>107</xdr:colOff>
                <xdr:row>77</xdr:row>
                <xdr:rowOff>15</xdr:rowOff>
              </xdr:to>
            </anchor>
          </commentPr>
        </mc:Choice>
        <mc:Fallback/>
      </mc:AlternateContent>
    </comment>
    <comment ref="A82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78</xdr:row>
                <xdr:rowOff>2</xdr:rowOff>
              </xdr:from>
              <xdr:to>
                <xdr:col>2</xdr:col>
                <xdr:colOff>107</xdr:colOff>
                <xdr:row>84</xdr:row>
                <xdr:rowOff>11</xdr:rowOff>
              </xdr:to>
            </anchor>
          </commentPr>
        </mc:Choice>
        <mc:Fallback/>
      </mc:AlternateContent>
    </comment>
    <comment ref="A97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1</xdr:col>
                <xdr:colOff>15</xdr:colOff>
                <xdr:row>87</xdr:row>
                <xdr:rowOff>0</xdr:rowOff>
              </xdr:from>
              <xdr:to>
                <xdr:col>2</xdr:col>
                <xdr:colOff>107</xdr:colOff>
                <xdr:row>127</xdr:row>
                <xdr:rowOff>14</xdr:rowOff>
              </xdr:to>
            </anchor>
          </commentPr>
        </mc:Choice>
        <mc:Fallback/>
      </mc:AlternateContent>
    </comment>
    <comment ref="A118" authorId="0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Considerados 63 feriados + domingos e 302 dias trabalhados por ano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1</xdr:col>
                <xdr:colOff>15</xdr:colOff>
                <xdr:row>87</xdr:row>
                <xdr:rowOff>16</xdr:rowOff>
              </xdr:from>
              <xdr:to>
                <xdr:col>2</xdr:col>
                <xdr:colOff>107</xdr:colOff>
                <xdr:row>128</xdr:row>
                <xdr:rowOff>13</xdr:rowOff>
              </xdr:to>
            </anchor>
          </commentPr>
        </mc:Choice>
        <mc:Fallback/>
      </mc:AlternateContent>
    </comment>
    <comment ref="A419" authorId="0">
      <text>
        <r>
          <rPr>
            <sz val="10"/>
            <rFont val="Arial"/>
            <family val="2"/>
          </rPr>
          <t xml:space="preserve">Especificar somente quando for exigido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15</xdr:colOff>
                <xdr:row>415</xdr:row>
                <xdr:rowOff>1</xdr:rowOff>
              </xdr:from>
              <xdr:to>
                <xdr:col>2</xdr:col>
                <xdr:colOff>27</xdr:colOff>
                <xdr:row>423</xdr:row>
                <xdr:rowOff>4</xdr:rowOff>
              </xdr:to>
            </anchor>
          </commentPr>
        </mc:Choice>
        <mc:Fallback/>
      </mc:AlternateContent>
    </comment>
    <comment ref="B263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259</xdr:row>
                <xdr:rowOff>9</xdr:rowOff>
              </xdr:from>
              <xdr:to>
                <xdr:col>3</xdr:col>
                <xdr:colOff>-78</xdr:colOff>
                <xdr:row>264</xdr:row>
                <xdr:rowOff>8</xdr:rowOff>
              </xdr:to>
            </anchor>
          </commentPr>
        </mc:Choice>
        <mc:Fallback/>
      </mc:AlternateContent>
    </comment>
    <comment ref="B360" authorId="0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2</xdr:col>
                <xdr:colOff>15</xdr:colOff>
                <xdr:row>310</xdr:row>
                <xdr:rowOff>5</xdr:rowOff>
              </xdr:from>
              <xdr:to>
                <xdr:col>3</xdr:col>
                <xdr:colOff>-78</xdr:colOff>
                <xdr:row>392</xdr:row>
                <xdr:rowOff>8</xdr:rowOff>
              </xdr:to>
            </anchor>
          </commentPr>
        </mc:Choice>
        <mc:Fallback/>
      </mc:AlternateContent>
    </comment>
    <comment ref="C48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44</xdr:row>
                <xdr:rowOff>2</xdr:rowOff>
              </xdr:from>
              <xdr:to>
                <xdr:col>4</xdr:col>
                <xdr:colOff>9</xdr:colOff>
                <xdr:row>49</xdr:row>
                <xdr:rowOff>11</xdr:rowOff>
              </xdr:to>
            </anchor>
          </commentPr>
        </mc:Choice>
        <mc:Fallback/>
      </mc:AlternateContent>
    </comment>
    <comment ref="C52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45</xdr:row>
                <xdr:rowOff>4</xdr:rowOff>
              </xdr:from>
              <xdr:to>
                <xdr:col>4</xdr:col>
                <xdr:colOff>9</xdr:colOff>
                <xdr:row>49</xdr:row>
                <xdr:rowOff>2</xdr:rowOff>
              </xdr:to>
            </anchor>
          </commentPr>
        </mc:Choice>
        <mc:Fallback/>
      </mc:AlternateContent>
    </comment>
    <comment ref="C54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45</xdr:row>
                <xdr:rowOff>10</xdr:rowOff>
              </xdr:from>
              <xdr:to>
                <xdr:col>4</xdr:col>
                <xdr:colOff>9</xdr:colOff>
                <xdr:row>48</xdr:row>
                <xdr:rowOff>10</xdr:rowOff>
              </xdr:to>
            </anchor>
          </commentPr>
        </mc:Choice>
        <mc:Fallback/>
      </mc:AlternateContent>
    </comment>
    <comment ref="C60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53</xdr:row>
                <xdr:rowOff>8</xdr:rowOff>
              </xdr:from>
              <xdr:to>
                <xdr:col>4</xdr:col>
                <xdr:colOff>9</xdr:colOff>
                <xdr:row>76</xdr:row>
                <xdr:rowOff>8</xdr:rowOff>
              </xdr:to>
            </anchor>
          </commentPr>
        </mc:Choice>
        <mc:Fallback/>
      </mc:AlternateContent>
    </comment>
    <comment ref="C62" authorId="0">
      <text>
        <r>
          <rPr>
            <sz val="10"/>
            <rFont val="Arial"/>
            <family val="2"/>
          </rPr>
          <t xml:space="preserve">Informar o número de horas extras trabalhadas em horário diurno nos domingos e feriados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53</xdr:row>
                <xdr:rowOff>6</xdr:rowOff>
              </xdr:from>
              <xdr:to>
                <xdr:col>4</xdr:col>
                <xdr:colOff>9</xdr:colOff>
                <xdr:row>77</xdr:row>
                <xdr:rowOff>7</xdr:rowOff>
              </xdr:to>
            </anchor>
          </commentPr>
        </mc:Choice>
        <mc:Fallback/>
      </mc:AlternateContent>
    </comment>
    <comment ref="C63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52</xdr:row>
                <xdr:rowOff>13</xdr:rowOff>
              </xdr:from>
              <xdr:to>
                <xdr:col>4</xdr:col>
                <xdr:colOff>41</xdr:colOff>
                <xdr:row>76</xdr:row>
                <xdr:rowOff>10</xdr:rowOff>
              </xdr:to>
            </anchor>
          </commentPr>
        </mc:Choice>
        <mc:Fallback/>
      </mc:AlternateContent>
    </comment>
    <comment ref="C65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53</xdr:row>
                <xdr:rowOff>4</xdr:rowOff>
              </xdr:from>
              <xdr:to>
                <xdr:col>4</xdr:col>
                <xdr:colOff>43</xdr:colOff>
                <xdr:row>77</xdr:row>
                <xdr:rowOff>5</xdr:rowOff>
              </xdr:to>
            </anchor>
          </commentPr>
        </mc:Choice>
        <mc:Fallback/>
      </mc:AlternateContent>
    </comment>
    <comment ref="C66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53</xdr:row>
                <xdr:rowOff>4</xdr:rowOff>
              </xdr:from>
              <xdr:to>
                <xdr:col>4</xdr:col>
                <xdr:colOff>81</xdr:colOff>
                <xdr:row>77</xdr:row>
                <xdr:rowOff>7</xdr:rowOff>
              </xdr:to>
            </anchor>
          </commentPr>
        </mc:Choice>
        <mc:Fallback/>
      </mc:AlternateContent>
    </comment>
    <comment ref="C71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54</xdr:row>
                <xdr:rowOff>4</xdr:rowOff>
              </xdr:from>
              <xdr:to>
                <xdr:col>4</xdr:col>
                <xdr:colOff>7</xdr:colOff>
                <xdr:row>76</xdr:row>
                <xdr:rowOff>6</xdr:rowOff>
              </xdr:to>
            </anchor>
          </commentPr>
        </mc:Choice>
        <mc:Fallback/>
      </mc:AlternateContent>
    </comment>
    <comment ref="C73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48</xdr:row>
                <xdr:rowOff>15</xdr:rowOff>
              </xdr:from>
              <xdr:to>
                <xdr:col>4</xdr:col>
                <xdr:colOff>9</xdr:colOff>
                <xdr:row>51</xdr:row>
                <xdr:rowOff>16</xdr:rowOff>
              </xdr:to>
            </anchor>
          </commentPr>
        </mc:Choice>
        <mc:Fallback/>
      </mc:AlternateContent>
    </comment>
    <comment ref="C81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77</xdr:row>
                <xdr:rowOff>10</xdr:rowOff>
              </xdr:from>
              <xdr:to>
                <xdr:col>4</xdr:col>
                <xdr:colOff>9</xdr:colOff>
                <xdr:row>83</xdr:row>
                <xdr:rowOff>4</xdr:rowOff>
              </xdr:to>
            </anchor>
          </commentPr>
        </mc:Choice>
        <mc:Fallback/>
      </mc:AlternateContent>
    </comment>
    <comment ref="C84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79</xdr:row>
                <xdr:rowOff>13</xdr:rowOff>
              </xdr:from>
              <xdr:to>
                <xdr:col>4</xdr:col>
                <xdr:colOff>69</xdr:colOff>
                <xdr:row>84</xdr:row>
                <xdr:rowOff>9</xdr:rowOff>
              </xdr:to>
            </anchor>
          </commentPr>
        </mc:Choice>
        <mc:Fallback/>
      </mc:AlternateContent>
    </comment>
    <comment ref="C86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83</xdr:row>
                <xdr:rowOff>4</xdr:rowOff>
              </xdr:from>
              <xdr:to>
                <xdr:col>4</xdr:col>
                <xdr:colOff>7</xdr:colOff>
                <xdr:row>87</xdr:row>
                <xdr:rowOff>4</xdr:rowOff>
              </xdr:to>
            </anchor>
          </commentPr>
        </mc:Choice>
        <mc:Fallback/>
      </mc:AlternateContent>
    </comment>
    <comment ref="C88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79</xdr:row>
                <xdr:rowOff>10</xdr:rowOff>
              </xdr:from>
              <xdr:to>
                <xdr:col>4</xdr:col>
                <xdr:colOff>9</xdr:colOff>
                <xdr:row>82</xdr:row>
                <xdr:rowOff>11</xdr:rowOff>
              </xdr:to>
            </anchor>
          </commentPr>
        </mc:Choice>
        <mc:Fallback/>
      </mc:AlternateContent>
    </comment>
    <comment ref="C96" authorId="0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87</xdr:row>
                <xdr:rowOff>8</xdr:rowOff>
              </xdr:from>
              <xdr:to>
                <xdr:col>4</xdr:col>
                <xdr:colOff>9</xdr:colOff>
                <xdr:row>127</xdr:row>
                <xdr:rowOff>7</xdr:rowOff>
              </xdr:to>
            </anchor>
          </commentPr>
        </mc:Choice>
        <mc:Fallback/>
      </mc:AlternateContent>
    </comment>
    <comment ref="C99" authorId="0">
      <text>
        <r>
          <rPr>
            <sz val="10"/>
            <rFont val="Arial"/>
            <family val="2"/>
          </rPr>
          <t xml:space="preserve">Percentual estabelecido nas Normas de Segurança de Trabalho ou pelo laudo de responsável técnico devidamente habilitado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86</xdr:row>
                <xdr:rowOff>11</xdr:rowOff>
              </xdr:from>
              <xdr:to>
                <xdr:col>4</xdr:col>
                <xdr:colOff>69</xdr:colOff>
                <xdr:row>125</xdr:row>
                <xdr:rowOff>12</xdr:rowOff>
              </xdr:to>
            </anchor>
          </commentPr>
        </mc:Choice>
        <mc:Fallback/>
      </mc:AlternateContent>
    </comment>
    <comment ref="C101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88</xdr:row>
                <xdr:rowOff>2</xdr:rowOff>
              </xdr:from>
              <xdr:to>
                <xdr:col>4</xdr:col>
                <xdr:colOff>7</xdr:colOff>
                <xdr:row>126</xdr:row>
                <xdr:rowOff>6</xdr:rowOff>
              </xdr:to>
            </anchor>
          </commentPr>
        </mc:Choice>
        <mc:Fallback/>
      </mc:AlternateContent>
    </comment>
    <comment ref="C103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82</xdr:row>
                <xdr:rowOff>8</xdr:rowOff>
              </xdr:from>
              <xdr:to>
                <xdr:col>4</xdr:col>
                <xdr:colOff>9</xdr:colOff>
                <xdr:row>85</xdr:row>
                <xdr:rowOff>9</xdr:rowOff>
              </xdr:to>
            </anchor>
          </commentPr>
        </mc:Choice>
        <mc:Fallback/>
      </mc:AlternateContent>
    </comment>
    <comment ref="C110" authorId="0">
      <text>
        <r>
          <rPr>
            <sz val="10"/>
            <rFont val="Arial"/>
            <family val="2"/>
          </rPr>
          <t xml:space="preserve">Informar o número de horas noturnas trabalhadas no intervalo das 22:00h as 5:00h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88</xdr:row>
                <xdr:rowOff>1</xdr:rowOff>
              </xdr:from>
              <xdr:to>
                <xdr:col>4</xdr:col>
                <xdr:colOff>33</xdr:colOff>
                <xdr:row>129</xdr:row>
                <xdr:rowOff>13</xdr:rowOff>
              </xdr:to>
            </anchor>
          </commentPr>
        </mc:Choice>
        <mc:Fallback/>
      </mc:AlternateContent>
    </comment>
    <comment ref="C112" authorId="0">
      <text>
        <r>
          <rPr>
            <sz val="10"/>
            <rFont val="Arial"/>
            <family val="2"/>
          </rPr>
          <t xml:space="preserve">Informar o número de horas extras trabalhadas em horário noturno nos domingos e feriados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88</xdr:row>
                <xdr:rowOff>2</xdr:rowOff>
              </xdr:from>
              <xdr:to>
                <xdr:col>4</xdr:col>
                <xdr:colOff>9</xdr:colOff>
                <xdr:row>128</xdr:row>
                <xdr:rowOff>6</xdr:rowOff>
              </xdr:to>
            </anchor>
          </commentPr>
        </mc:Choice>
        <mc:Fallback/>
      </mc:AlternateContent>
    </comment>
    <comment ref="C113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nos domingos e feriados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87</xdr:row>
                <xdr:rowOff>9</xdr:rowOff>
              </xdr:from>
              <xdr:to>
                <xdr:col>4</xdr:col>
                <xdr:colOff>41</xdr:colOff>
                <xdr:row>127</xdr:row>
                <xdr:rowOff>8</xdr:rowOff>
              </xdr:to>
            </anchor>
          </commentPr>
        </mc:Choice>
        <mc:Fallback/>
      </mc:AlternateContent>
    </comment>
    <comment ref="C115" authorId="0">
      <text>
        <r>
          <rPr>
            <sz val="10"/>
            <rFont val="Arial"/>
            <family val="2"/>
          </rPr>
          <t xml:space="preserve">Informar o número de horas extras trabalhadas em horário noturno de segunda à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87</xdr:row>
                <xdr:rowOff>17</xdr:rowOff>
              </xdr:from>
              <xdr:to>
                <xdr:col>4</xdr:col>
                <xdr:colOff>33</xdr:colOff>
                <xdr:row>128</xdr:row>
                <xdr:rowOff>4</xdr:rowOff>
              </xdr:to>
            </anchor>
          </commentPr>
        </mc:Choice>
        <mc:Fallback/>
      </mc:AlternateContent>
    </comment>
    <comment ref="C116" authorId="0">
      <text>
        <r>
          <rPr>
            <sz val="10"/>
            <rFont val="Arial"/>
            <family val="2"/>
          </rPr>
          <t xml:space="preserve">Informar o número de horas extras trabalhadas em horário noturno (das 22:00h as 5h) de segunda a sábado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87</xdr:row>
                <xdr:rowOff>17</xdr:rowOff>
              </xdr:from>
              <xdr:to>
                <xdr:col>4</xdr:col>
                <xdr:colOff>71</xdr:colOff>
                <xdr:row>128</xdr:row>
                <xdr:rowOff>5</xdr:rowOff>
              </xdr:to>
            </anchor>
          </commentPr>
        </mc:Choice>
        <mc:Fallback/>
      </mc:AlternateContent>
    </comment>
    <comment ref="C119" authorId="0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87</xdr:row>
                <xdr:rowOff>17</xdr:rowOff>
              </xdr:from>
              <xdr:to>
                <xdr:col>4</xdr:col>
                <xdr:colOff>92</xdr:colOff>
                <xdr:row>128</xdr:row>
                <xdr:rowOff>2</xdr:rowOff>
              </xdr:to>
            </anchor>
          </commentPr>
        </mc:Choice>
        <mc:Fallback/>
      </mc:AlternateContent>
    </comment>
    <comment ref="C122" authorId="0">
      <text>
        <r>
          <rPr>
            <sz val="10"/>
            <rFont val="Arial"/>
            <family val="2"/>
          </rPr>
          <t xml:space="preserve">Preencher a planilha Encargos Sociais e CAGED 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88</xdr:row>
                <xdr:rowOff>17</xdr:rowOff>
              </xdr:from>
              <xdr:to>
                <xdr:col>4</xdr:col>
                <xdr:colOff>7</xdr:colOff>
                <xdr:row>127</xdr:row>
                <xdr:rowOff>4</xdr:rowOff>
              </xdr:to>
            </anchor>
          </commentPr>
        </mc:Choice>
        <mc:Fallback/>
      </mc:AlternateContent>
    </comment>
    <comment ref="C124" authorId="0">
      <text>
        <r>
          <rPr>
            <sz val="10"/>
            <rFont val="Arial"/>
            <family val="2"/>
          </rPr>
          <t xml:space="preserve">Informar a quantidade de trabalhadores na função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88</xdr:row>
                <xdr:rowOff>4</xdr:rowOff>
              </xdr:from>
              <xdr:to>
                <xdr:col>4</xdr:col>
                <xdr:colOff>33</xdr:colOff>
                <xdr:row>125</xdr:row>
                <xdr:rowOff>9</xdr:rowOff>
              </xdr:to>
            </anchor>
          </commentPr>
        </mc:Choice>
        <mc:Fallback/>
      </mc:AlternateContent>
    </comment>
    <comment ref="C129" authorId="0">
      <text>
        <r>
          <rPr>
            <sz val="10"/>
            <rFont val="Arial"/>
            <family val="2"/>
          </rPr>
          <t xml:space="preserve">Informar o número médio de dias trabalhados por mês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125</xdr:row>
                <xdr:rowOff>8</xdr:rowOff>
              </xdr:from>
              <xdr:to>
                <xdr:col>4</xdr:col>
                <xdr:colOff>33</xdr:colOff>
                <xdr:row>130</xdr:row>
                <xdr:rowOff>4</xdr:rowOff>
              </xdr:to>
            </anchor>
          </commentPr>
        </mc:Choice>
        <mc:Fallback/>
      </mc:AlternateContent>
    </comment>
    <comment ref="C17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170</xdr:row>
                <xdr:rowOff>8</xdr:rowOff>
              </xdr:from>
              <xdr:to>
                <xdr:col>5</xdr:col>
                <xdr:colOff>18</xdr:colOff>
                <xdr:row>179</xdr:row>
                <xdr:rowOff>16</xdr:rowOff>
              </xdr:to>
            </anchor>
          </commentPr>
        </mc:Choice>
        <mc:Fallback/>
      </mc:AlternateContent>
    </comment>
    <comment ref="C175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172</xdr:row>
                <xdr:rowOff>30</xdr:rowOff>
              </xdr:from>
              <xdr:to>
                <xdr:col>4</xdr:col>
                <xdr:colOff>103</xdr:colOff>
                <xdr:row>186</xdr:row>
                <xdr:rowOff>14</xdr:rowOff>
              </xdr:to>
            </anchor>
          </commentPr>
        </mc:Choice>
        <mc:Fallback/>
      </mc:AlternateContent>
    </comment>
    <comment ref="C17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173</xdr:row>
                <xdr:rowOff>4</xdr:rowOff>
              </xdr:from>
              <xdr:to>
                <xdr:col>4</xdr:col>
                <xdr:colOff>103</xdr:colOff>
                <xdr:row>184</xdr:row>
                <xdr:rowOff>16</xdr:rowOff>
              </xdr:to>
            </anchor>
          </commentPr>
        </mc:Choice>
        <mc:Fallback/>
      </mc:AlternateContent>
    </comment>
    <comment ref="C17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174</xdr:row>
                <xdr:rowOff>4</xdr:rowOff>
              </xdr:from>
              <xdr:to>
                <xdr:col>4</xdr:col>
                <xdr:colOff>103</xdr:colOff>
                <xdr:row>184</xdr:row>
                <xdr:rowOff>9</xdr:rowOff>
              </xdr:to>
            </anchor>
          </commentPr>
        </mc:Choice>
        <mc:Fallback/>
      </mc:AlternateContent>
    </comment>
    <comment ref="C17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176</xdr:row>
                <xdr:rowOff>4</xdr:rowOff>
              </xdr:from>
              <xdr:to>
                <xdr:col>4</xdr:col>
                <xdr:colOff>103</xdr:colOff>
                <xdr:row>186</xdr:row>
                <xdr:rowOff>3</xdr:rowOff>
              </xdr:to>
            </anchor>
          </commentPr>
        </mc:Choice>
        <mc:Fallback/>
      </mc:AlternateContent>
    </comment>
    <comment ref="C18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177</xdr:row>
                <xdr:rowOff>8</xdr:rowOff>
              </xdr:from>
              <xdr:to>
                <xdr:col>4</xdr:col>
                <xdr:colOff>103</xdr:colOff>
                <xdr:row>188</xdr:row>
                <xdr:rowOff>6</xdr:rowOff>
              </xdr:to>
            </anchor>
          </commentPr>
        </mc:Choice>
        <mc:Fallback/>
      </mc:AlternateContent>
    </comment>
    <comment ref="C18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178</xdr:row>
                <xdr:rowOff>6</xdr:rowOff>
              </xdr:from>
              <xdr:to>
                <xdr:col>4</xdr:col>
                <xdr:colOff>103</xdr:colOff>
                <xdr:row>188</xdr:row>
                <xdr:rowOff>9</xdr:rowOff>
              </xdr:to>
            </anchor>
          </commentPr>
        </mc:Choice>
        <mc:Fallback/>
      </mc:AlternateContent>
    </comment>
    <comment ref="C18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179</xdr:row>
                <xdr:rowOff>4</xdr:rowOff>
              </xdr:from>
              <xdr:to>
                <xdr:col>4</xdr:col>
                <xdr:colOff>103</xdr:colOff>
                <xdr:row>191</xdr:row>
                <xdr:rowOff>11</xdr:rowOff>
              </xdr:to>
            </anchor>
          </commentPr>
        </mc:Choice>
        <mc:Fallback/>
      </mc:AlternateContent>
    </comment>
    <comment ref="C18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180</xdr:row>
                <xdr:rowOff>4</xdr:rowOff>
              </xdr:from>
              <xdr:to>
                <xdr:col>4</xdr:col>
                <xdr:colOff>103</xdr:colOff>
                <xdr:row>191</xdr:row>
                <xdr:rowOff>11</xdr:rowOff>
              </xdr:to>
            </anchor>
          </commentPr>
        </mc:Choice>
        <mc:Fallback/>
      </mc:AlternateContent>
    </comment>
    <comment ref="C18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181</xdr:row>
                <xdr:rowOff>4</xdr:rowOff>
              </xdr:from>
              <xdr:to>
                <xdr:col>4</xdr:col>
                <xdr:colOff>103</xdr:colOff>
                <xdr:row>191</xdr:row>
                <xdr:rowOff>11</xdr:rowOff>
              </xdr:to>
            </anchor>
          </commentPr>
        </mc:Choice>
        <mc:Fallback/>
      </mc:AlternateContent>
    </comment>
    <comment ref="C192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190</xdr:row>
                <xdr:rowOff>10</xdr:rowOff>
              </xdr:from>
              <xdr:to>
                <xdr:col>4</xdr:col>
                <xdr:colOff>103</xdr:colOff>
                <xdr:row>213</xdr:row>
                <xdr:rowOff>2</xdr:rowOff>
              </xdr:to>
            </anchor>
          </commentPr>
        </mc:Choice>
        <mc:Fallback/>
      </mc:AlternateContent>
    </comment>
    <comment ref="C193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190</xdr:row>
                <xdr:rowOff>10</xdr:rowOff>
              </xdr:from>
              <xdr:to>
                <xdr:col>4</xdr:col>
                <xdr:colOff>103</xdr:colOff>
                <xdr:row>215</xdr:row>
                <xdr:rowOff>2</xdr:rowOff>
              </xdr:to>
            </anchor>
          </commentPr>
        </mc:Choice>
        <mc:Fallback/>
      </mc:AlternateContent>
    </comment>
    <comment ref="C194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191</xdr:row>
                <xdr:rowOff>4</xdr:rowOff>
              </xdr:from>
              <xdr:to>
                <xdr:col>4</xdr:col>
                <xdr:colOff>103</xdr:colOff>
                <xdr:row>213</xdr:row>
                <xdr:rowOff>2</xdr:rowOff>
              </xdr:to>
            </anchor>
          </commentPr>
        </mc:Choice>
        <mc:Fallback/>
      </mc:AlternateContent>
    </comment>
    <comment ref="C19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193</xdr:row>
                <xdr:rowOff>4</xdr:rowOff>
              </xdr:from>
              <xdr:to>
                <xdr:col>4</xdr:col>
                <xdr:colOff>103</xdr:colOff>
                <xdr:row>215</xdr:row>
                <xdr:rowOff>4</xdr:rowOff>
              </xdr:to>
            </anchor>
          </commentPr>
        </mc:Choice>
        <mc:Fallback/>
      </mc:AlternateContent>
    </comment>
    <comment ref="C19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194</xdr:row>
                <xdr:rowOff>4</xdr:rowOff>
              </xdr:from>
              <xdr:to>
                <xdr:col>4</xdr:col>
                <xdr:colOff>103</xdr:colOff>
                <xdr:row>215</xdr:row>
                <xdr:rowOff>10</xdr:rowOff>
              </xdr:to>
            </anchor>
          </commentPr>
        </mc:Choice>
        <mc:Fallback/>
      </mc:AlternateContent>
    </comment>
    <comment ref="C19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195</xdr:row>
                <xdr:rowOff>4</xdr:rowOff>
              </xdr:from>
              <xdr:to>
                <xdr:col>4</xdr:col>
                <xdr:colOff>103</xdr:colOff>
                <xdr:row>217</xdr:row>
                <xdr:rowOff>4</xdr:rowOff>
              </xdr:to>
            </anchor>
          </commentPr>
        </mc:Choice>
        <mc:Fallback/>
      </mc:AlternateContent>
    </comment>
    <comment ref="C206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201</xdr:row>
                <xdr:rowOff>8</xdr:rowOff>
              </xdr:from>
              <xdr:to>
                <xdr:col>4</xdr:col>
                <xdr:colOff>103</xdr:colOff>
                <xdr:row>224</xdr:row>
                <xdr:rowOff>8</xdr:rowOff>
              </xdr:to>
            </anchor>
          </commentPr>
        </mc:Choice>
        <mc:Fallback/>
      </mc:AlternateContent>
    </comment>
    <comment ref="C207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200</xdr:row>
                <xdr:rowOff>8</xdr:rowOff>
              </xdr:from>
              <xdr:to>
                <xdr:col>4</xdr:col>
                <xdr:colOff>103</xdr:colOff>
                <xdr:row>225</xdr:row>
                <xdr:rowOff>6</xdr:rowOff>
              </xdr:to>
            </anchor>
          </commentPr>
        </mc:Choice>
        <mc:Fallback/>
      </mc:AlternateContent>
    </comment>
    <comment ref="C208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200</xdr:row>
                <xdr:rowOff>2</xdr:rowOff>
              </xdr:from>
              <xdr:to>
                <xdr:col>4</xdr:col>
                <xdr:colOff>103</xdr:colOff>
                <xdr:row>222</xdr:row>
                <xdr:rowOff>9</xdr:rowOff>
              </xdr:to>
            </anchor>
          </commentPr>
        </mc:Choice>
        <mc:Fallback/>
      </mc:AlternateContent>
    </comment>
    <comment ref="C209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200</xdr:row>
                <xdr:rowOff>2</xdr:rowOff>
              </xdr:from>
              <xdr:to>
                <xdr:col>4</xdr:col>
                <xdr:colOff>103</xdr:colOff>
                <xdr:row>222</xdr:row>
                <xdr:rowOff>9</xdr:rowOff>
              </xdr:to>
            </anchor>
          </commentPr>
        </mc:Choice>
        <mc:Fallback/>
      </mc:AlternateContent>
    </comment>
    <comment ref="C210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200</xdr:row>
                <xdr:rowOff>2</xdr:rowOff>
              </xdr:from>
              <xdr:to>
                <xdr:col>4</xdr:col>
                <xdr:colOff>103</xdr:colOff>
                <xdr:row>221</xdr:row>
                <xdr:rowOff>14</xdr:rowOff>
              </xdr:to>
            </anchor>
          </commentPr>
        </mc:Choice>
        <mc:Fallback/>
      </mc:AlternateContent>
    </comment>
    <comment ref="C211" authorId="0">
      <text>
        <r>
          <rPr>
            <sz val="10"/>
            <rFont val="Arial"/>
            <family val="2"/>
          </rPr>
          <t xml:space="preserve">Informar a durabilidade estimada em meses, para cada EPI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200</xdr:row>
                <xdr:rowOff>2</xdr:rowOff>
              </xdr:from>
              <xdr:to>
                <xdr:col>4</xdr:col>
                <xdr:colOff>103</xdr:colOff>
                <xdr:row>222</xdr:row>
                <xdr:rowOff>7</xdr:rowOff>
              </xdr:to>
            </anchor>
          </commentPr>
        </mc:Choice>
        <mc:Fallback/>
      </mc:AlternateContent>
    </comment>
    <comment ref="C224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218</xdr:row>
                <xdr:rowOff>0</xdr:rowOff>
              </xdr:from>
              <xdr:to>
                <xdr:col>4</xdr:col>
                <xdr:colOff>33</xdr:colOff>
                <xdr:row>221</xdr:row>
                <xdr:rowOff>14</xdr:rowOff>
              </xdr:to>
            </anchor>
          </commentPr>
        </mc:Choice>
        <mc:Fallback/>
      </mc:AlternateContent>
    </comment>
    <comment ref="C225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219</xdr:row>
                <xdr:rowOff>11</xdr:rowOff>
              </xdr:from>
              <xdr:to>
                <xdr:col>5</xdr:col>
                <xdr:colOff>10</xdr:colOff>
                <xdr:row>227</xdr:row>
                <xdr:rowOff>13</xdr:rowOff>
              </xdr:to>
            </anchor>
          </commentPr>
        </mc:Choice>
        <mc:Fallback/>
      </mc:AlternateContent>
    </comment>
    <comment ref="C226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220</xdr:row>
                <xdr:rowOff>8</xdr:rowOff>
              </xdr:from>
              <xdr:to>
                <xdr:col>4</xdr:col>
                <xdr:colOff>9</xdr:colOff>
                <xdr:row>228</xdr:row>
                <xdr:rowOff>16</xdr:rowOff>
              </xdr:to>
            </anchor>
          </commentPr>
        </mc:Choice>
        <mc:Fallback/>
      </mc:AlternateContent>
    </comment>
    <comment ref="C229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220</xdr:row>
                <xdr:rowOff>14</xdr:rowOff>
              </xdr:from>
              <xdr:to>
                <xdr:col>4</xdr:col>
                <xdr:colOff>9</xdr:colOff>
                <xdr:row>224</xdr:row>
                <xdr:rowOff>13</xdr:rowOff>
              </xdr:to>
            </anchor>
          </commentPr>
        </mc:Choice>
        <mc:Fallback/>
      </mc:AlternateContent>
    </comment>
    <comment ref="C230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224</xdr:row>
                <xdr:rowOff>8</xdr:rowOff>
              </xdr:from>
              <xdr:to>
                <xdr:col>5</xdr:col>
                <xdr:colOff>10</xdr:colOff>
                <xdr:row>229</xdr:row>
                <xdr:rowOff>5</xdr:rowOff>
              </xdr:to>
            </anchor>
          </commentPr>
        </mc:Choice>
        <mc:Fallback/>
      </mc:AlternateContent>
    </comment>
    <comment ref="C231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225</xdr:row>
                <xdr:rowOff>6</xdr:rowOff>
              </xdr:from>
              <xdr:to>
                <xdr:col>4</xdr:col>
                <xdr:colOff>33</xdr:colOff>
                <xdr:row>232</xdr:row>
                <xdr:rowOff>17</xdr:rowOff>
              </xdr:to>
            </anchor>
          </commentPr>
        </mc:Choice>
        <mc:Fallback/>
      </mc:AlternateContent>
    </comment>
    <comment ref="C234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231</xdr:row>
                <xdr:rowOff>2</xdr:rowOff>
              </xdr:from>
              <xdr:to>
                <xdr:col>4</xdr:col>
                <xdr:colOff>69</xdr:colOff>
                <xdr:row>234</xdr:row>
                <xdr:rowOff>3</xdr:rowOff>
              </xdr:to>
            </anchor>
          </commentPr>
        </mc:Choice>
        <mc:Fallback/>
      </mc:AlternateContent>
    </comment>
    <comment ref="C240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233</xdr:row>
                <xdr:rowOff>14</xdr:rowOff>
              </xdr:from>
              <xdr:to>
                <xdr:col>4</xdr:col>
                <xdr:colOff>121</xdr:colOff>
                <xdr:row>239</xdr:row>
                <xdr:rowOff>8</xdr:rowOff>
              </xdr:to>
            </anchor>
          </commentPr>
        </mc:Choice>
        <mc:Fallback/>
      </mc:AlternateContent>
    </comment>
    <comment ref="C266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263</xdr:row>
                <xdr:rowOff>4</xdr:rowOff>
              </xdr:from>
              <xdr:to>
                <xdr:col>4</xdr:col>
                <xdr:colOff>9</xdr:colOff>
                <xdr:row>266</xdr:row>
                <xdr:rowOff>10</xdr:rowOff>
              </xdr:to>
            </anchor>
          </commentPr>
        </mc:Choice>
        <mc:Fallback/>
      </mc:AlternateContent>
    </comment>
    <comment ref="C268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262</xdr:row>
                <xdr:rowOff>4</xdr:rowOff>
              </xdr:from>
              <xdr:to>
                <xdr:col>4</xdr:col>
                <xdr:colOff>24</xdr:colOff>
                <xdr:row>268</xdr:row>
                <xdr:rowOff>11</xdr:rowOff>
              </xdr:to>
            </anchor>
          </commentPr>
        </mc:Choice>
        <mc:Fallback/>
      </mc:AlternateContent>
    </comment>
    <comment ref="C270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267</xdr:row>
                <xdr:rowOff>0</xdr:rowOff>
              </xdr:from>
              <xdr:to>
                <xdr:col>4</xdr:col>
                <xdr:colOff>69</xdr:colOff>
                <xdr:row>270</xdr:row>
                <xdr:rowOff>1</xdr:rowOff>
              </xdr:to>
            </anchor>
          </commentPr>
        </mc:Choice>
        <mc:Fallback/>
      </mc:AlternateContent>
    </comment>
    <comment ref="C272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17</xdr:colOff>
                <xdr:row>265</xdr:row>
                <xdr:rowOff>10</xdr:rowOff>
              </xdr:from>
              <xdr:to>
                <xdr:col>4</xdr:col>
                <xdr:colOff>24</xdr:colOff>
                <xdr:row>268</xdr:row>
                <xdr:rowOff>11</xdr:rowOff>
              </xdr:to>
            </anchor>
          </commentPr>
        </mc:Choice>
        <mc:Fallback/>
      </mc:AlternateContent>
    </comment>
    <comment ref="C274" authorId="0">
      <text>
        <r>
          <rPr>
            <sz val="10"/>
            <rFont val="Arial"/>
            <family val="2"/>
          </rPr>
          <t xml:space="preserve">Informar o consumo de graxa a cada 1000km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271</xdr:row>
                <xdr:rowOff>0</xdr:rowOff>
              </xdr:from>
              <xdr:to>
                <xdr:col>4</xdr:col>
                <xdr:colOff>23</xdr:colOff>
                <xdr:row>275</xdr:row>
                <xdr:rowOff>4</xdr:rowOff>
              </xdr:to>
            </anchor>
          </commentPr>
        </mc:Choice>
        <mc:Fallback/>
      </mc:AlternateContent>
    </comment>
    <comment ref="C287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41</xdr:colOff>
                <xdr:row>281</xdr:row>
                <xdr:rowOff>9</xdr:rowOff>
              </xdr:from>
              <xdr:to>
                <xdr:col>4</xdr:col>
                <xdr:colOff>80</xdr:colOff>
                <xdr:row>284</xdr:row>
                <xdr:rowOff>13</xdr:rowOff>
              </xdr:to>
            </anchor>
          </commentPr>
        </mc:Choice>
        <mc:Fallback/>
      </mc:AlternateContent>
    </comment>
    <comment ref="C288" authorId="0">
      <text>
        <r>
          <rPr>
            <sz val="10"/>
            <rFont val="Arial"/>
            <family val="2"/>
          </rPr>
          <t xml:space="preserve">Informar o número de recapagens por pneu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285</xdr:row>
                <xdr:rowOff>0</xdr:rowOff>
              </xdr:from>
              <xdr:to>
                <xdr:col>4</xdr:col>
                <xdr:colOff>7</xdr:colOff>
                <xdr:row>289</xdr:row>
                <xdr:rowOff>14</xdr:rowOff>
              </xdr:to>
            </anchor>
          </commentPr>
        </mc:Choice>
        <mc:Fallback/>
      </mc:AlternateContent>
    </comment>
    <comment ref="C290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286</xdr:row>
                <xdr:rowOff>15</xdr:rowOff>
              </xdr:from>
              <xdr:to>
                <xdr:col>4</xdr:col>
                <xdr:colOff>69</xdr:colOff>
                <xdr:row>290</xdr:row>
                <xdr:rowOff>14</xdr:rowOff>
              </xdr:to>
            </anchor>
          </commentPr>
        </mc:Choice>
        <mc:Fallback/>
      </mc:AlternateContent>
    </comment>
    <comment ref="C319" authorId="0">
      <text>
        <r>
          <rPr>
            <sz val="10"/>
            <rFont val="Arial"/>
            <family val="2"/>
          </rPr>
          <t xml:space="preserve">Informar a vida útil estimada para o caminhão, em anos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307</xdr:row>
                <xdr:rowOff>7</xdr:rowOff>
              </xdr:from>
              <xdr:to>
                <xdr:col>4</xdr:col>
                <xdr:colOff>33</xdr:colOff>
                <xdr:row>311</xdr:row>
                <xdr:rowOff>10</xdr:rowOff>
              </xdr:to>
            </anchor>
          </commentPr>
        </mc:Choice>
        <mc:Fallback/>
      </mc:AlternateContent>
    </comment>
    <comment ref="C320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308</xdr:row>
                <xdr:rowOff>3</xdr:rowOff>
              </xdr:from>
              <xdr:to>
                <xdr:col>5</xdr:col>
                <xdr:colOff>10</xdr:colOff>
                <xdr:row>393</xdr:row>
                <xdr:rowOff>13</xdr:rowOff>
              </xdr:to>
            </anchor>
          </commentPr>
        </mc:Choice>
        <mc:Fallback/>
      </mc:AlternateContent>
    </comment>
    <comment ref="C321" authorId="0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307</xdr:row>
                <xdr:rowOff>13</xdr:rowOff>
              </xdr:from>
              <xdr:to>
                <xdr:col>4</xdr:col>
                <xdr:colOff>9</xdr:colOff>
                <xdr:row>393</xdr:row>
                <xdr:rowOff>16</xdr:rowOff>
              </xdr:to>
            </anchor>
          </commentPr>
        </mc:Choice>
        <mc:Fallback/>
      </mc:AlternateContent>
    </comment>
    <comment ref="C324" authorId="0">
      <text>
        <r>
          <rPr>
            <sz val="10"/>
            <rFont val="Arial"/>
            <family val="2"/>
          </rPr>
          <t xml:space="preserve">Informar a vida útil estimada para o compactador, em anos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304</xdr:row>
                <xdr:rowOff>13</xdr:rowOff>
              </xdr:from>
              <xdr:to>
                <xdr:col>4</xdr:col>
                <xdr:colOff>9</xdr:colOff>
                <xdr:row>309</xdr:row>
                <xdr:rowOff>5</xdr:rowOff>
              </xdr:to>
            </anchor>
          </commentPr>
        </mc:Choice>
        <mc:Fallback/>
      </mc:AlternateContent>
    </comment>
    <comment ref="C325" authorId="0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compactador proposto.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51</xdr:colOff>
                <xdr:row>307</xdr:row>
                <xdr:rowOff>13</xdr:rowOff>
              </xdr:from>
              <xdr:to>
                <xdr:col>5</xdr:col>
                <xdr:colOff>10</xdr:colOff>
                <xdr:row>390</xdr:row>
                <xdr:rowOff>5</xdr:rowOff>
              </xdr:to>
            </anchor>
          </commentPr>
        </mc:Choice>
        <mc:Fallback/>
      </mc:AlternateContent>
    </comment>
    <comment ref="C326" authorId="0">
      <text>
        <r>
          <rPr>
            <sz val="10"/>
            <rFont val="Arial"/>
            <family val="2"/>
          </rPr>
          <t xml:space="preserve">Informar o valor da depreciação do compactador, adotando o valor sugerido pelo TCE ou outro valor estimado 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307</xdr:row>
                <xdr:rowOff>11</xdr:rowOff>
              </xdr:from>
              <xdr:to>
                <xdr:col>4</xdr:col>
                <xdr:colOff>33</xdr:colOff>
                <xdr:row>392</xdr:row>
                <xdr:rowOff>17</xdr:rowOff>
              </xdr:to>
            </anchor>
          </commentPr>
        </mc:Choice>
        <mc:Fallback/>
      </mc:AlternateContent>
    </comment>
    <comment ref="C330" authorId="0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310</xdr:row>
                <xdr:rowOff>13</xdr:rowOff>
              </xdr:from>
              <xdr:to>
                <xdr:col>4</xdr:col>
                <xdr:colOff>69</xdr:colOff>
                <xdr:row>391</xdr:row>
                <xdr:rowOff>3</xdr:rowOff>
              </xdr:to>
            </anchor>
          </commentPr>
        </mc:Choice>
        <mc:Fallback/>
      </mc:AlternateContent>
    </comment>
    <comment ref="C336" authorId="0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307</xdr:row>
                <xdr:rowOff>4</xdr:rowOff>
              </xdr:from>
              <xdr:to>
                <xdr:col>4</xdr:col>
                <xdr:colOff>121</xdr:colOff>
                <xdr:row>390</xdr:row>
                <xdr:rowOff>8</xdr:rowOff>
              </xdr:to>
            </anchor>
          </commentPr>
        </mc:Choice>
        <mc:Fallback/>
      </mc:AlternateContent>
    </comment>
    <comment ref="C363" authorId="0">
      <text>
        <r>
          <rPr>
            <sz val="10"/>
            <rFont val="Arial"/>
            <family val="2"/>
          </rPr>
          <t xml:space="preserve">Informar o consumo estimado do veículo em km/l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310</xdr:row>
                <xdr:rowOff>15</xdr:rowOff>
              </xdr:from>
              <xdr:to>
                <xdr:col>4</xdr:col>
                <xdr:colOff>9</xdr:colOff>
                <xdr:row>391</xdr:row>
                <xdr:rowOff>10</xdr:rowOff>
              </xdr:to>
            </anchor>
          </commentPr>
        </mc:Choice>
        <mc:Fallback/>
      </mc:AlternateContent>
    </comment>
    <comment ref="C365" authorId="0">
      <text>
        <r>
          <rPr>
            <sz val="10"/>
            <rFont val="Arial"/>
            <family val="2"/>
          </rPr>
          <t xml:space="preserve">Informar o consumo de óleo do motor a cada 1000km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307</xdr:row>
                <xdr:rowOff>9</xdr:rowOff>
              </xdr:from>
              <xdr:to>
                <xdr:col>4</xdr:col>
                <xdr:colOff>24</xdr:colOff>
                <xdr:row>391</xdr:row>
                <xdr:rowOff>11</xdr:rowOff>
              </xdr:to>
            </anchor>
          </commentPr>
        </mc:Choice>
        <mc:Fallback/>
      </mc:AlternateContent>
    </comment>
    <comment ref="C367" authorId="0">
      <text>
        <r>
          <rPr>
            <sz val="10"/>
            <rFont val="Arial"/>
            <family val="2"/>
          </rPr>
          <t xml:space="preserve">Informar o consumo de óleo da transmissão a cada 1000km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310</xdr:row>
                <xdr:rowOff>11</xdr:rowOff>
              </xdr:from>
              <xdr:to>
                <xdr:col>4</xdr:col>
                <xdr:colOff>69</xdr:colOff>
                <xdr:row>391</xdr:row>
                <xdr:rowOff>1</xdr:rowOff>
              </xdr:to>
            </anchor>
          </commentPr>
        </mc:Choice>
        <mc:Fallback/>
      </mc:AlternateContent>
    </comment>
    <comment ref="C369" authorId="0">
      <text>
        <r>
          <rPr>
            <sz val="10"/>
            <rFont val="Arial"/>
            <family val="2"/>
          </rPr>
          <t xml:space="preserve">Informar o consumo de óleo hidráulico a cada 1000km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17</xdr:colOff>
                <xdr:row>306</xdr:row>
                <xdr:rowOff>13</xdr:rowOff>
              </xdr:from>
              <xdr:to>
                <xdr:col>4</xdr:col>
                <xdr:colOff>24</xdr:colOff>
                <xdr:row>310</xdr:row>
                <xdr:rowOff>5</xdr:rowOff>
              </xdr:to>
            </anchor>
          </commentPr>
        </mc:Choice>
        <mc:Fallback/>
      </mc:AlternateContent>
    </comment>
    <comment ref="C371" authorId="0">
      <text>
        <r>
          <rPr>
            <sz val="10"/>
            <rFont val="Arial"/>
            <family val="2"/>
          </rPr>
          <t xml:space="preserve">Informar o consumo de graxa a cada 1000km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310</xdr:row>
                <xdr:rowOff>11</xdr:rowOff>
              </xdr:from>
              <xdr:to>
                <xdr:col>4</xdr:col>
                <xdr:colOff>23</xdr:colOff>
                <xdr:row>392</xdr:row>
                <xdr:rowOff>4</xdr:rowOff>
              </xdr:to>
            </anchor>
          </commentPr>
        </mc:Choice>
        <mc:Fallback/>
      </mc:AlternateContent>
    </comment>
    <comment ref="C384" authorId="0">
      <text>
        <r>
          <rPr>
            <sz val="10"/>
            <rFont val="Arial"/>
            <family val="2"/>
          </rPr>
          <t xml:space="preserve">Informar a quantidade de pneus novos de 1 caminhão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41</xdr:colOff>
                <xdr:row>308</xdr:row>
                <xdr:rowOff>1</xdr:rowOff>
              </xdr:from>
              <xdr:to>
                <xdr:col>4</xdr:col>
                <xdr:colOff>80</xdr:colOff>
                <xdr:row>311</xdr:row>
                <xdr:rowOff>9</xdr:rowOff>
              </xdr:to>
            </anchor>
          </commentPr>
        </mc:Choice>
        <mc:Fallback/>
      </mc:AlternateContent>
    </comment>
    <comment ref="C385" authorId="0">
      <text>
        <r>
          <rPr>
            <sz val="10"/>
            <rFont val="Arial"/>
            <family val="2"/>
          </rPr>
          <t xml:space="preserve">Informar o número de recapagens por pneu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15</xdr:colOff>
                <xdr:row>310</xdr:row>
                <xdr:rowOff>11</xdr:rowOff>
              </xdr:from>
              <xdr:to>
                <xdr:col>4</xdr:col>
                <xdr:colOff>7</xdr:colOff>
                <xdr:row>392</xdr:row>
                <xdr:rowOff>14</xdr:rowOff>
              </xdr:to>
            </anchor>
          </commentPr>
        </mc:Choice>
        <mc:Fallback/>
      </mc:AlternateContent>
    </comment>
    <comment ref="C387" authorId="0">
      <text>
        <r>
          <rPr>
            <sz val="10"/>
            <rFont val="Arial"/>
            <family val="2"/>
          </rPr>
          <t xml:space="preserve">Informar a durabilidade média dos pneus considerando todas as recapagens, em km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3</xdr:col>
                <xdr:colOff>4</xdr:colOff>
                <xdr:row>310</xdr:row>
                <xdr:rowOff>8</xdr:rowOff>
              </xdr:from>
              <xdr:to>
                <xdr:col>4</xdr:col>
                <xdr:colOff>69</xdr:colOff>
                <xdr:row>391</xdr:row>
                <xdr:rowOff>13</xdr:rowOff>
              </xdr:to>
            </anchor>
          </commentPr>
        </mc:Choice>
        <mc:Fallback/>
      </mc:AlternateContent>
    </comment>
    <comment ref="C398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312</xdr:row>
                <xdr:rowOff>6</xdr:rowOff>
              </xdr:from>
              <xdr:to>
                <xdr:col>4</xdr:col>
                <xdr:colOff>114</xdr:colOff>
                <xdr:row>396</xdr:row>
                <xdr:rowOff>14</xdr:rowOff>
              </xdr:to>
            </anchor>
          </commentPr>
        </mc:Choice>
        <mc:Fallback/>
      </mc:AlternateContent>
    </comment>
    <comment ref="C399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393</xdr:row>
                <xdr:rowOff>4</xdr:rowOff>
              </xdr:from>
              <xdr:to>
                <xdr:col>5</xdr:col>
                <xdr:colOff>18</xdr:colOff>
                <xdr:row>398</xdr:row>
                <xdr:rowOff>16</xdr:rowOff>
              </xdr:to>
            </anchor>
          </commentPr>
        </mc:Choice>
        <mc:Fallback/>
      </mc:AlternateContent>
    </comment>
    <comment ref="C400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51</xdr:colOff>
                <xdr:row>393</xdr:row>
                <xdr:rowOff>8</xdr:rowOff>
              </xdr:from>
              <xdr:to>
                <xdr:col>5</xdr:col>
                <xdr:colOff>18</xdr:colOff>
                <xdr:row>399</xdr:row>
                <xdr:rowOff>5</xdr:rowOff>
              </xdr:to>
            </anchor>
          </commentPr>
        </mc:Choice>
        <mc:Fallback/>
      </mc:AlternateContent>
    </comment>
    <comment ref="C401" authorId="0">
      <text>
        <r>
          <rPr>
            <sz val="10"/>
            <rFont val="Arial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4</xdr:colOff>
                <xdr:row>396</xdr:row>
                <xdr:rowOff>17</xdr:rowOff>
              </xdr:from>
              <xdr:to>
                <xdr:col>4</xdr:col>
                <xdr:colOff>103</xdr:colOff>
                <xdr:row>402</xdr:row>
                <xdr:rowOff>12</xdr:rowOff>
              </xdr:to>
            </anchor>
          </commentPr>
        </mc:Choice>
        <mc:Fallback/>
      </mc:AlternateContent>
    </comment>
    <comment ref="D46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13</xdr:colOff>
                <xdr:row>36</xdr:row>
                <xdr:rowOff>3</xdr:rowOff>
              </xdr:from>
              <xdr:to>
                <xdr:col>5</xdr:col>
                <xdr:colOff>4</xdr:colOff>
                <xdr:row>41</xdr:row>
                <xdr:rowOff>9</xdr:rowOff>
              </xdr:to>
            </anchor>
          </commentPr>
        </mc:Choice>
        <mc:Fallback/>
      </mc:AlternateContent>
    </comment>
    <comment ref="D78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74</xdr:row>
                <xdr:rowOff>1</xdr:rowOff>
              </xdr:from>
              <xdr:to>
                <xdr:col>5</xdr:col>
                <xdr:colOff>36</xdr:colOff>
                <xdr:row>77</xdr:row>
                <xdr:rowOff>13</xdr:rowOff>
              </xdr:to>
            </anchor>
          </commentPr>
        </mc:Choice>
        <mc:Fallback/>
      </mc:AlternateContent>
    </comment>
    <comment ref="D79" authorId="0">
      <text>
        <r>
          <rPr>
            <sz val="10"/>
            <rFont val="Arial"/>
            <family val="2"/>
          </rPr>
          <t xml:space="preserve">Informar o valor do salário Mínimo Nacional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75</xdr:row>
                <xdr:rowOff>5</xdr:rowOff>
              </xdr:from>
              <xdr:to>
                <xdr:col>5</xdr:col>
                <xdr:colOff>59</xdr:colOff>
                <xdr:row>79</xdr:row>
                <xdr:rowOff>7</xdr:rowOff>
              </xdr:to>
            </anchor>
          </commentPr>
        </mc:Choice>
        <mc:Fallback/>
      </mc:AlternateContent>
    </comment>
    <comment ref="D93" authorId="0">
      <text>
        <r>
          <rPr>
            <sz val="10"/>
            <rFont val="Arial"/>
            <family val="2"/>
          </rPr>
          <t xml:space="preserve">Informar o Piso da categoria fixado na Convenção Coletiva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17</xdr:colOff>
                <xdr:row>87</xdr:row>
                <xdr:rowOff>1</xdr:rowOff>
              </xdr:from>
              <xdr:to>
                <xdr:col>5</xdr:col>
                <xdr:colOff>36</xdr:colOff>
                <xdr:row>104</xdr:row>
                <xdr:rowOff>13</xdr:rowOff>
              </xdr:to>
            </anchor>
          </commentPr>
        </mc:Choice>
        <mc:Fallback/>
      </mc:AlternateContent>
    </comment>
    <comment ref="D94" authorId="0">
      <text>
        <r>
          <rPr>
            <sz val="10"/>
            <rFont val="Arial"/>
            <family val="2"/>
          </rPr>
          <t xml:space="preserve">Informar o valor do salário Mínimo Nacional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87</xdr:row>
                <xdr:rowOff>3</xdr:rowOff>
              </xdr:from>
              <xdr:to>
                <xdr:col>5</xdr:col>
                <xdr:colOff>59</xdr:colOff>
                <xdr:row>125</xdr:row>
                <xdr:rowOff>9</xdr:rowOff>
              </xdr:to>
            </anchor>
          </commentPr>
        </mc:Choice>
        <mc:Fallback/>
      </mc:AlternateContent>
    </comment>
    <comment ref="D128" authorId="0">
      <text>
        <r>
          <rPr>
            <sz val="10"/>
            <rFont val="Arial"/>
            <family val="2"/>
          </rPr>
          <t xml:space="preserve">Informar o valor unitário do VT no município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87</xdr:row>
                <xdr:rowOff>13</xdr:rowOff>
              </xdr:from>
              <xdr:to>
                <xdr:col>5</xdr:col>
                <xdr:colOff>36</xdr:colOff>
                <xdr:row>125</xdr:row>
                <xdr:rowOff>6</xdr:rowOff>
              </xdr:to>
            </anchor>
          </commentPr>
        </mc:Choice>
        <mc:Fallback/>
      </mc:AlternateContent>
    </comment>
    <comment ref="D130" authorId="0">
      <text>
        <r>
          <rPr>
            <sz val="10"/>
            <rFont val="Arial"/>
            <family val="2"/>
          </rPr>
          <t xml:space="preserve">Valor Unitário considerando o desconto legal de até 6% do salário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126</xdr:row>
                <xdr:rowOff>7</xdr:rowOff>
              </xdr:from>
              <xdr:to>
                <xdr:col>5</xdr:col>
                <xdr:colOff>61</xdr:colOff>
                <xdr:row>130</xdr:row>
                <xdr:rowOff>17</xdr:rowOff>
              </xdr:to>
            </anchor>
          </commentPr>
        </mc:Choice>
        <mc:Fallback/>
      </mc:AlternateContent>
    </comment>
    <comment ref="D131" authorId="0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126</xdr:row>
                <xdr:rowOff>15</xdr:rowOff>
              </xdr:from>
              <xdr:to>
                <xdr:col>5</xdr:col>
                <xdr:colOff>61</xdr:colOff>
                <xdr:row>131</xdr:row>
                <xdr:rowOff>12</xdr:rowOff>
              </xdr:to>
            </anchor>
          </commentPr>
        </mc:Choice>
        <mc:Fallback/>
      </mc:AlternateContent>
    </comment>
    <comment ref="D136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61</xdr:colOff>
                <xdr:row>135</xdr:row>
                <xdr:rowOff>12</xdr:rowOff>
              </xdr:from>
              <xdr:to>
                <xdr:col>6</xdr:col>
                <xdr:colOff>57</xdr:colOff>
                <xdr:row>139</xdr:row>
                <xdr:rowOff>11</xdr:rowOff>
              </xdr:to>
            </anchor>
          </commentPr>
        </mc:Choice>
        <mc:Fallback/>
      </mc:AlternateContent>
    </comment>
    <comment ref="D137" authorId="0">
      <text>
        <r>
          <rPr>
            <sz val="10"/>
            <rFont val="Arial"/>
            <family val="2"/>
          </rPr>
          <t xml:space="preserve">Informar o valor unitário diário do vale refeição, considerando o desconto aplicável ao funcionário, conforme Convenção Coletiva da categoria.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133</xdr:row>
                <xdr:rowOff>10</xdr:rowOff>
              </xdr:from>
              <xdr:to>
                <xdr:col>6</xdr:col>
                <xdr:colOff>8</xdr:colOff>
                <xdr:row>137</xdr:row>
                <xdr:rowOff>15</xdr:rowOff>
              </xdr:to>
            </anchor>
          </commentPr>
        </mc:Choice>
        <mc:Fallback/>
      </mc:AlternateContent>
    </comment>
    <comment ref="D142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88</xdr:colOff>
                <xdr:row>133</xdr:row>
                <xdr:rowOff>7</xdr:rowOff>
              </xdr:from>
              <xdr:to>
                <xdr:col>5</xdr:col>
                <xdr:colOff>23</xdr:colOff>
                <xdr:row>138</xdr:row>
                <xdr:rowOff>8</xdr:rowOff>
              </xdr:to>
            </anchor>
          </commentPr>
        </mc:Choice>
        <mc:Fallback/>
      </mc:AlternateContent>
    </comment>
    <comment ref="D143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139</xdr:row>
                <xdr:rowOff>13</xdr:rowOff>
              </xdr:from>
              <xdr:to>
                <xdr:col>6</xdr:col>
                <xdr:colOff>21</xdr:colOff>
                <xdr:row>149</xdr:row>
                <xdr:rowOff>7</xdr:rowOff>
              </xdr:to>
            </anchor>
          </commentPr>
        </mc:Choice>
        <mc:Fallback/>
      </mc:AlternateContent>
    </comment>
    <comment ref="D148" authorId="0">
      <text>
        <r>
          <rPr>
            <sz val="10"/>
            <rFont val="Arial"/>
            <family val="2"/>
          </rPr>
          <t xml:space="preserve">Informar o valor mensal do auxilio alimentação, considerando o desconto aplicável ao funcionário, conforme Convenção Coletiva da categoria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142</xdr:row>
                <xdr:rowOff>13</xdr:rowOff>
              </xdr:from>
              <xdr:to>
                <xdr:col>6</xdr:col>
                <xdr:colOff>21</xdr:colOff>
                <xdr:row>152</xdr:row>
                <xdr:rowOff>7</xdr:rowOff>
              </xdr:to>
            </anchor>
          </commentPr>
        </mc:Choice>
        <mc:Fallback/>
      </mc:AlternateContent>
    </comment>
    <comment ref="D17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170</xdr:row>
                <xdr:rowOff>8</xdr:rowOff>
              </xdr:from>
              <xdr:to>
                <xdr:col>5</xdr:col>
                <xdr:colOff>69</xdr:colOff>
                <xdr:row>179</xdr:row>
                <xdr:rowOff>16</xdr:rowOff>
              </xdr:to>
            </anchor>
          </commentPr>
        </mc:Choice>
        <mc:Fallback/>
      </mc:AlternateContent>
    </comment>
    <comment ref="D17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172</xdr:row>
                <xdr:rowOff>30</xdr:rowOff>
              </xdr:from>
              <xdr:to>
                <xdr:col>5</xdr:col>
                <xdr:colOff>69</xdr:colOff>
                <xdr:row>176</xdr:row>
                <xdr:rowOff>7</xdr:rowOff>
              </xdr:to>
            </anchor>
          </commentPr>
        </mc:Choice>
        <mc:Fallback/>
      </mc:AlternateContent>
    </comment>
    <comment ref="D17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172</xdr:row>
                <xdr:rowOff>30</xdr:rowOff>
              </xdr:from>
              <xdr:to>
                <xdr:col>5</xdr:col>
                <xdr:colOff>69</xdr:colOff>
                <xdr:row>179</xdr:row>
                <xdr:rowOff>4</xdr:rowOff>
              </xdr:to>
            </anchor>
          </commentPr>
        </mc:Choice>
        <mc:Fallback/>
      </mc:AlternateContent>
    </comment>
    <comment ref="D177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172</xdr:row>
                <xdr:rowOff>30</xdr:rowOff>
              </xdr:from>
              <xdr:to>
                <xdr:col>5</xdr:col>
                <xdr:colOff>69</xdr:colOff>
                <xdr:row>181</xdr:row>
                <xdr:rowOff>6</xdr:rowOff>
              </xdr:to>
            </anchor>
          </commentPr>
        </mc:Choice>
        <mc:Fallback/>
      </mc:AlternateContent>
    </comment>
    <comment ref="D17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174</xdr:row>
                <xdr:rowOff>9</xdr:rowOff>
              </xdr:from>
              <xdr:to>
                <xdr:col>5</xdr:col>
                <xdr:colOff>69</xdr:colOff>
                <xdr:row>180</xdr:row>
                <xdr:rowOff>1</xdr:rowOff>
              </xdr:to>
            </anchor>
          </commentPr>
        </mc:Choice>
        <mc:Fallback/>
      </mc:AlternateContent>
    </comment>
    <comment ref="D18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175</xdr:row>
                <xdr:rowOff>10</xdr:rowOff>
              </xdr:from>
              <xdr:to>
                <xdr:col>5</xdr:col>
                <xdr:colOff>69</xdr:colOff>
                <xdr:row>179</xdr:row>
                <xdr:rowOff>15</xdr:rowOff>
              </xdr:to>
            </anchor>
          </commentPr>
        </mc:Choice>
        <mc:Fallback/>
      </mc:AlternateContent>
    </comment>
    <comment ref="D18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176</xdr:row>
                <xdr:rowOff>11</xdr:rowOff>
              </xdr:from>
              <xdr:to>
                <xdr:col>5</xdr:col>
                <xdr:colOff>69</xdr:colOff>
                <xdr:row>180</xdr:row>
                <xdr:rowOff>4</xdr:rowOff>
              </xdr:to>
            </anchor>
          </commentPr>
        </mc:Choice>
        <mc:Fallback/>
      </mc:AlternateContent>
    </comment>
    <comment ref="D18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177</xdr:row>
                <xdr:rowOff>12</xdr:rowOff>
              </xdr:from>
              <xdr:to>
                <xdr:col>5</xdr:col>
                <xdr:colOff>69</xdr:colOff>
                <xdr:row>184</xdr:row>
                <xdr:rowOff>16</xdr:rowOff>
              </xdr:to>
            </anchor>
          </commentPr>
        </mc:Choice>
        <mc:Fallback/>
      </mc:AlternateContent>
    </comment>
    <comment ref="D18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178</xdr:row>
                <xdr:rowOff>10</xdr:rowOff>
              </xdr:from>
              <xdr:to>
                <xdr:col>5</xdr:col>
                <xdr:colOff>69</xdr:colOff>
                <xdr:row>184</xdr:row>
                <xdr:rowOff>1</xdr:rowOff>
              </xdr:to>
            </anchor>
          </commentPr>
        </mc:Choice>
        <mc:Fallback/>
      </mc:AlternateContent>
    </comment>
    <comment ref="D18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179</xdr:row>
                <xdr:rowOff>8</xdr:rowOff>
              </xdr:from>
              <xdr:to>
                <xdr:col>5</xdr:col>
                <xdr:colOff>69</xdr:colOff>
                <xdr:row>183</xdr:row>
                <xdr:rowOff>15</xdr:rowOff>
              </xdr:to>
            </anchor>
          </commentPr>
        </mc:Choice>
        <mc:Fallback/>
      </mc:AlternateContent>
    </comment>
    <comment ref="D185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180</xdr:row>
                <xdr:rowOff>8</xdr:rowOff>
              </xdr:from>
              <xdr:to>
                <xdr:col>5</xdr:col>
                <xdr:colOff>69</xdr:colOff>
                <xdr:row>184</xdr:row>
                <xdr:rowOff>8</xdr:rowOff>
              </xdr:to>
            </anchor>
          </commentPr>
        </mc:Choice>
        <mc:Fallback/>
      </mc:AlternateContent>
    </comment>
    <comment ref="D199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193</xdr:row>
                <xdr:rowOff>9</xdr:rowOff>
              </xdr:from>
              <xdr:to>
                <xdr:col>5</xdr:col>
                <xdr:colOff>69</xdr:colOff>
                <xdr:row>197</xdr:row>
                <xdr:rowOff>8</xdr:rowOff>
              </xdr:to>
            </anchor>
          </commentPr>
        </mc:Choice>
        <mc:Fallback/>
      </mc:AlternateContent>
    </comment>
    <comment ref="D212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51</xdr:colOff>
                <xdr:row>197</xdr:row>
                <xdr:rowOff>7</xdr:rowOff>
              </xdr:from>
              <xdr:to>
                <xdr:col>5</xdr:col>
                <xdr:colOff>69</xdr:colOff>
                <xdr:row>201</xdr:row>
                <xdr:rowOff>6</xdr:rowOff>
              </xdr:to>
            </anchor>
          </commentPr>
        </mc:Choice>
        <mc:Fallback/>
      </mc:AlternateContent>
    </comment>
    <comment ref="D223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214</xdr:row>
                <xdr:rowOff>17</xdr:rowOff>
              </xdr:from>
              <xdr:to>
                <xdr:col>5</xdr:col>
                <xdr:colOff>99</xdr:colOff>
                <xdr:row>217</xdr:row>
                <xdr:rowOff>12</xdr:rowOff>
              </xdr:to>
            </anchor>
          </commentPr>
        </mc:Choice>
        <mc:Fallback/>
      </mc:AlternateContent>
    </comment>
    <comment ref="D228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220</xdr:row>
                <xdr:rowOff>5</xdr:rowOff>
              </xdr:from>
              <xdr:to>
                <xdr:col>5</xdr:col>
                <xdr:colOff>36</xdr:colOff>
                <xdr:row>224</xdr:row>
                <xdr:rowOff>4</xdr:rowOff>
              </xdr:to>
            </anchor>
          </commentPr>
        </mc:Choice>
        <mc:Fallback/>
      </mc:AlternateContent>
    </comment>
    <comment ref="D256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253</xdr:row>
                <xdr:rowOff>3</xdr:rowOff>
              </xdr:from>
              <xdr:to>
                <xdr:col>5</xdr:col>
                <xdr:colOff>34</xdr:colOff>
                <xdr:row>257</xdr:row>
                <xdr:rowOff>17</xdr:rowOff>
              </xdr:to>
            </anchor>
          </commentPr>
        </mc:Choice>
        <mc:Fallback/>
      </mc:AlternateContent>
    </comment>
    <comment ref="D257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254</xdr:row>
                <xdr:rowOff>0</xdr:rowOff>
              </xdr:from>
              <xdr:to>
                <xdr:col>5</xdr:col>
                <xdr:colOff>34</xdr:colOff>
                <xdr:row>259</xdr:row>
                <xdr:rowOff>12</xdr:rowOff>
              </xdr:to>
            </anchor>
          </commentPr>
        </mc:Choice>
        <mc:Fallback/>
      </mc:AlternateContent>
    </comment>
    <comment ref="D266" authorId="0">
      <text>
        <r>
          <rPr>
            <sz val="10"/>
            <rFont val="Arial"/>
            <family val="2"/>
          </rPr>
          <t xml:space="preserve">Informar o preço unitário do combustivel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260</xdr:row>
                <xdr:rowOff>7</xdr:rowOff>
              </xdr:from>
              <xdr:to>
                <xdr:col>5</xdr:col>
                <xdr:colOff>60</xdr:colOff>
                <xdr:row>263</xdr:row>
                <xdr:rowOff>8</xdr:rowOff>
              </xdr:to>
            </anchor>
          </commentPr>
        </mc:Choice>
        <mc:Fallback/>
      </mc:AlternateContent>
    </comment>
    <comment ref="D268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262</xdr:row>
                <xdr:rowOff>4</xdr:rowOff>
              </xdr:from>
              <xdr:to>
                <xdr:col>5</xdr:col>
                <xdr:colOff>35</xdr:colOff>
                <xdr:row>268</xdr:row>
                <xdr:rowOff>11</xdr:rowOff>
              </xdr:to>
            </anchor>
          </commentPr>
        </mc:Choice>
        <mc:Fallback/>
      </mc:AlternateContent>
    </comment>
    <comment ref="D270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17</xdr:colOff>
                <xdr:row>263</xdr:row>
                <xdr:rowOff>16</xdr:rowOff>
              </xdr:from>
              <xdr:to>
                <xdr:col>5</xdr:col>
                <xdr:colOff>35</xdr:colOff>
                <xdr:row>267</xdr:row>
                <xdr:rowOff>15</xdr:rowOff>
              </xdr:to>
            </anchor>
          </commentPr>
        </mc:Choice>
        <mc:Fallback/>
      </mc:AlternateContent>
    </comment>
    <comment ref="D272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266</xdr:row>
                <xdr:rowOff>4</xdr:rowOff>
              </xdr:from>
              <xdr:to>
                <xdr:col>5</xdr:col>
                <xdr:colOff>60</xdr:colOff>
                <xdr:row>270</xdr:row>
                <xdr:rowOff>3</xdr:rowOff>
              </xdr:to>
            </anchor>
          </commentPr>
        </mc:Choice>
        <mc:Fallback/>
      </mc:AlternateContent>
    </comment>
    <comment ref="D274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271</xdr:row>
                <xdr:rowOff>0</xdr:rowOff>
              </xdr:from>
              <xdr:to>
                <xdr:col>5</xdr:col>
                <xdr:colOff>34</xdr:colOff>
                <xdr:row>275</xdr:row>
                <xdr:rowOff>1</xdr:rowOff>
              </xdr:to>
            </anchor>
          </commentPr>
        </mc:Choice>
        <mc:Fallback/>
      </mc:AlternateContent>
    </comment>
    <comment ref="D282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41</xdr:colOff>
                <xdr:row>276</xdr:row>
                <xdr:rowOff>9</xdr:rowOff>
              </xdr:from>
              <xdr:to>
                <xdr:col>5</xdr:col>
                <xdr:colOff>95</xdr:colOff>
                <xdr:row>280</xdr:row>
                <xdr:rowOff>10</xdr:rowOff>
              </xdr:to>
            </anchor>
          </commentPr>
        </mc:Choice>
        <mc:Fallback/>
      </mc:AlternateContent>
    </comment>
    <comment ref="D287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284</xdr:row>
                <xdr:rowOff>2</xdr:rowOff>
              </xdr:from>
              <xdr:to>
                <xdr:col>5</xdr:col>
                <xdr:colOff>34</xdr:colOff>
                <xdr:row>287</xdr:row>
                <xdr:rowOff>3</xdr:rowOff>
              </xdr:to>
            </anchor>
          </commentPr>
        </mc:Choice>
        <mc:Fallback/>
      </mc:AlternateContent>
    </comment>
    <comment ref="D289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285</xdr:row>
                <xdr:rowOff>17</xdr:rowOff>
              </xdr:from>
              <xdr:to>
                <xdr:col>5</xdr:col>
                <xdr:colOff>34</xdr:colOff>
                <xdr:row>290</xdr:row>
                <xdr:rowOff>12</xdr:rowOff>
              </xdr:to>
            </anchor>
          </commentPr>
        </mc:Choice>
        <mc:Fallback/>
      </mc:AlternateContent>
    </comment>
    <comment ref="D318" authorId="0">
      <text>
        <r>
          <rPr>
            <sz val="10"/>
            <rFont val="Arial"/>
            <family val="2"/>
          </rPr>
          <t xml:space="preserve">Informar o preço unitário do chassis do caminhão de coleta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305</xdr:row>
                <xdr:rowOff>7</xdr:rowOff>
              </xdr:from>
              <xdr:to>
                <xdr:col>5</xdr:col>
                <xdr:colOff>99</xdr:colOff>
                <xdr:row>308</xdr:row>
                <xdr:rowOff>6</xdr:rowOff>
              </xdr:to>
            </anchor>
          </commentPr>
        </mc:Choice>
        <mc:Fallback/>
      </mc:AlternateContent>
    </comment>
    <comment ref="D323" authorId="0">
      <text>
        <r>
          <rPr>
            <sz val="10"/>
            <rFont val="Arial"/>
            <family val="2"/>
          </rPr>
          <t xml:space="preserve">Informar o preço unitário do equipamento compactador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17</xdr:colOff>
                <xdr:row>305</xdr:row>
                <xdr:rowOff>6</xdr:rowOff>
              </xdr:from>
              <xdr:to>
                <xdr:col>5</xdr:col>
                <xdr:colOff>36</xdr:colOff>
                <xdr:row>309</xdr:row>
                <xdr:rowOff>13</xdr:rowOff>
              </xdr:to>
            </anchor>
          </commentPr>
        </mc:Choice>
        <mc:Fallback/>
      </mc:AlternateContent>
    </comment>
    <comment ref="D353" authorId="0">
      <text>
        <r>
          <rPr>
            <sz val="10"/>
            <rFont val="Arial"/>
            <family val="2"/>
          </rPr>
          <t xml:space="preserve">Informar o valor do seguro obrigatório e licenciamento anual de um caminhão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15</xdr:colOff>
                <xdr:row>310</xdr:row>
                <xdr:rowOff>14</xdr:rowOff>
              </xdr:from>
              <xdr:to>
                <xdr:col>5</xdr:col>
                <xdr:colOff>34</xdr:colOff>
                <xdr:row>392</xdr:row>
                <xdr:rowOff>17</xdr:rowOff>
              </xdr:to>
            </anchor>
          </commentPr>
        </mc:Choice>
        <mc:Fallback/>
      </mc:AlternateContent>
    </comment>
    <comment ref="D354" authorId="0">
      <text>
        <r>
          <rPr>
            <sz val="10"/>
            <rFont val="Arial"/>
            <family val="2"/>
          </rPr>
          <t xml:space="preserve">Informar o valor do seguro contra terceiros de um caminhão, se houver previsão no Projeto Básico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15</xdr:colOff>
                <xdr:row>310</xdr:row>
                <xdr:rowOff>11</xdr:rowOff>
              </xdr:from>
              <xdr:to>
                <xdr:col>5</xdr:col>
                <xdr:colOff>34</xdr:colOff>
                <xdr:row>393</xdr:row>
                <xdr:rowOff>12</xdr:rowOff>
              </xdr:to>
            </anchor>
          </commentPr>
        </mc:Choice>
        <mc:Fallback/>
      </mc:AlternateContent>
    </comment>
    <comment ref="D363" authorId="0">
      <text>
        <r>
          <rPr>
            <sz val="10"/>
            <rFont val="Arial"/>
            <family val="2"/>
          </rPr>
          <t xml:space="preserve">Informar o preço unitário do combustivel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307</xdr:row>
                <xdr:rowOff>12</xdr:rowOff>
              </xdr:from>
              <xdr:to>
                <xdr:col>5</xdr:col>
                <xdr:colOff>60</xdr:colOff>
                <xdr:row>311</xdr:row>
                <xdr:rowOff>4</xdr:rowOff>
              </xdr:to>
            </anchor>
          </commentPr>
        </mc:Choice>
        <mc:Fallback/>
      </mc:AlternateContent>
    </comment>
    <comment ref="D365" authorId="0">
      <text>
        <r>
          <rPr>
            <sz val="10"/>
            <rFont val="Arial"/>
            <family val="2"/>
          </rPr>
          <t xml:space="preserve">Informar o preço unitário do litro do óleo do motor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17</xdr:colOff>
                <xdr:row>307</xdr:row>
                <xdr:rowOff>9</xdr:rowOff>
              </xdr:from>
              <xdr:to>
                <xdr:col>5</xdr:col>
                <xdr:colOff>35</xdr:colOff>
                <xdr:row>391</xdr:row>
                <xdr:rowOff>11</xdr:rowOff>
              </xdr:to>
            </anchor>
          </commentPr>
        </mc:Choice>
        <mc:Fallback/>
      </mc:AlternateContent>
    </comment>
    <comment ref="D367" authorId="0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17</xdr:colOff>
                <xdr:row>307</xdr:row>
                <xdr:rowOff>4</xdr:rowOff>
              </xdr:from>
              <xdr:to>
                <xdr:col>5</xdr:col>
                <xdr:colOff>35</xdr:colOff>
                <xdr:row>311</xdr:row>
                <xdr:rowOff>11</xdr:rowOff>
              </xdr:to>
            </anchor>
          </commentPr>
        </mc:Choice>
        <mc:Fallback/>
      </mc:AlternateContent>
    </comment>
    <comment ref="D369" authorId="0">
      <text>
        <r>
          <rPr>
            <sz val="10"/>
            <rFont val="Arial"/>
            <family val="2"/>
          </rPr>
          <t xml:space="preserve">Informar o preço unitário do litro do óleo hidráulico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307</xdr:row>
                <xdr:rowOff>9</xdr:rowOff>
              </xdr:from>
              <xdr:to>
                <xdr:col>5</xdr:col>
                <xdr:colOff>60</xdr:colOff>
                <xdr:row>312</xdr:row>
                <xdr:rowOff>1</xdr:rowOff>
              </xdr:to>
            </anchor>
          </commentPr>
        </mc:Choice>
        <mc:Fallback/>
      </mc:AlternateContent>
    </comment>
    <comment ref="D371" authorId="0">
      <text>
        <r>
          <rPr>
            <sz val="10"/>
            <rFont val="Arial"/>
            <family val="2"/>
          </rPr>
          <t xml:space="preserve">Informar o preço unitário do litro da graxa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15</xdr:colOff>
                <xdr:row>310</xdr:row>
                <xdr:rowOff>11</xdr:rowOff>
              </xdr:from>
              <xdr:to>
                <xdr:col>5</xdr:col>
                <xdr:colOff>34</xdr:colOff>
                <xdr:row>392</xdr:row>
                <xdr:rowOff>1</xdr:rowOff>
              </xdr:to>
            </anchor>
          </commentPr>
        </mc:Choice>
        <mc:Fallback/>
      </mc:AlternateContent>
    </comment>
    <comment ref="D379" authorId="0">
      <text>
        <r>
          <rPr>
            <sz val="10"/>
            <rFont val="Arial"/>
            <family val="2"/>
          </rPr>
          <t xml:space="preserve">Informar o custo de manutenção em R$/km rodado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41</xdr:colOff>
                <xdr:row>308</xdr:row>
                <xdr:rowOff>1</xdr:rowOff>
              </xdr:from>
              <xdr:to>
                <xdr:col>5</xdr:col>
                <xdr:colOff>95</xdr:colOff>
                <xdr:row>312</xdr:row>
                <xdr:rowOff>8</xdr:rowOff>
              </xdr:to>
            </anchor>
          </commentPr>
        </mc:Choice>
        <mc:Fallback/>
      </mc:AlternateContent>
    </comment>
    <comment ref="D384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15</xdr:colOff>
                <xdr:row>310</xdr:row>
                <xdr:rowOff>13</xdr:rowOff>
              </xdr:from>
              <xdr:to>
                <xdr:col>5</xdr:col>
                <xdr:colOff>34</xdr:colOff>
                <xdr:row>391</xdr:row>
                <xdr:rowOff>3</xdr:rowOff>
              </xdr:to>
            </anchor>
          </commentPr>
        </mc:Choice>
        <mc:Fallback/>
      </mc:AlternateContent>
    </comment>
    <comment ref="D386" authorId="0">
      <text>
        <r>
          <rPr>
            <sz val="10"/>
            <rFont val="Arial"/>
            <family val="2"/>
          </rPr>
          <t xml:space="preserve">Informar o preço unitário de cada recapagem
</t>
        </r>
      </text>
      <mc:AlternateContent>
        <mc:Choice Requires="v2">
          <commentPr autoFill="true" autoScale="false" colHidden="false" locked="false" rowHidden="true" textHAlign="justify" textVAlign="top">
            <anchor moveWithCells="false" sizeWithCells="false">
              <xdr:from>
                <xdr:col>4</xdr:col>
                <xdr:colOff>15</xdr:colOff>
                <xdr:row>310</xdr:row>
                <xdr:rowOff>10</xdr:rowOff>
              </xdr:from>
              <xdr:to>
                <xdr:col>5</xdr:col>
                <xdr:colOff>34</xdr:colOff>
                <xdr:row>392</xdr:row>
                <xdr:rowOff>12</xdr:rowOff>
              </xdr:to>
            </anchor>
          </commentPr>
        </mc:Choice>
        <mc:Fallback/>
      </mc:AlternateContent>
    </comment>
    <comment ref="D398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15</xdr:colOff>
                <xdr:row>311</xdr:row>
                <xdr:rowOff>15</xdr:rowOff>
              </xdr:from>
              <xdr:to>
                <xdr:col>5</xdr:col>
                <xdr:colOff>34</xdr:colOff>
                <xdr:row>396</xdr:row>
                <xdr:rowOff>8</xdr:rowOff>
              </xdr:to>
            </anchor>
          </commentPr>
        </mc:Choice>
        <mc:Fallback/>
      </mc:AlternateContent>
    </comment>
    <comment ref="D399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392</xdr:row>
                <xdr:rowOff>15</xdr:rowOff>
              </xdr:from>
              <xdr:to>
                <xdr:col>5</xdr:col>
                <xdr:colOff>69</xdr:colOff>
                <xdr:row>397</xdr:row>
                <xdr:rowOff>4</xdr:rowOff>
              </xdr:to>
            </anchor>
          </commentPr>
        </mc:Choice>
        <mc:Fallback/>
      </mc:AlternateContent>
    </comment>
    <comment ref="D400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51</xdr:colOff>
                <xdr:row>393</xdr:row>
                <xdr:rowOff>8</xdr:rowOff>
              </xdr:from>
              <xdr:to>
                <xdr:col>5</xdr:col>
                <xdr:colOff>69</xdr:colOff>
                <xdr:row>399</xdr:row>
                <xdr:rowOff>5</xdr:rowOff>
              </xdr:to>
            </anchor>
          </commentPr>
        </mc:Choice>
        <mc:Fallback/>
      </mc:AlternateContent>
    </comment>
    <comment ref="D401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</xdr:colOff>
                <xdr:row>397</xdr:row>
                <xdr:rowOff>16</xdr:rowOff>
              </xdr:from>
              <xdr:to>
                <xdr:col>5</xdr:col>
                <xdr:colOff>23</xdr:colOff>
                <xdr:row>401</xdr:row>
                <xdr:rowOff>15</xdr:rowOff>
              </xdr:to>
            </anchor>
          </commentPr>
        </mc:Choice>
        <mc:Fallback/>
      </mc:AlternateContent>
    </comment>
    <comment ref="D422" authorId="0">
      <text>
        <r>
          <rPr>
            <sz val="10"/>
            <rFont val="Arial"/>
            <family val="2"/>
          </rPr>
          <t xml:space="preserve">Informar o valor total para instalação do equipamento de monitoramento da frota, se houver previsão no Projeto Básico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4</xdr:colOff>
                <xdr:row>418</xdr:row>
                <xdr:rowOff>8</xdr:rowOff>
              </xdr:from>
              <xdr:to>
                <xdr:col>5</xdr:col>
                <xdr:colOff>94</xdr:colOff>
                <xdr:row>424</xdr:row>
                <xdr:rowOff>10</xdr:rowOff>
              </xdr:to>
            </anchor>
          </commentPr>
        </mc:Choice>
        <mc:Fallback/>
      </mc:AlternateContent>
    </comment>
  </commentList>
</comments>
</file>

<file path=xl/comments5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B5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0</xdr:row>
                <xdr:rowOff>6</xdr:rowOff>
              </xdr:from>
              <xdr:to>
                <xdr:col>3</xdr:col>
                <xdr:colOff>37</xdr:colOff>
                <xdr:row>11</xdr:row>
                <xdr:rowOff>2</xdr:rowOff>
              </xdr:to>
            </anchor>
          </commentPr>
        </mc:Choice>
        <mc:Fallback/>
      </mc:AlternateContent>
    </comment>
    <comment ref="B6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3</xdr:row>
                <xdr:rowOff>10</xdr:rowOff>
              </xdr:from>
              <xdr:to>
                <xdr:col>3</xdr:col>
                <xdr:colOff>37</xdr:colOff>
                <xdr:row>7</xdr:row>
                <xdr:rowOff>7</xdr:rowOff>
              </xdr:to>
            </anchor>
          </commentPr>
        </mc:Choice>
        <mc:Fallback/>
      </mc:AlternateContent>
    </comment>
    <comment ref="B7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3</xdr:row>
                <xdr:rowOff>10</xdr:rowOff>
              </xdr:from>
              <xdr:to>
                <xdr:col>3</xdr:col>
                <xdr:colOff>37</xdr:colOff>
                <xdr:row>10</xdr:row>
                <xdr:rowOff>6</xdr:rowOff>
              </xdr:to>
            </anchor>
          </commentPr>
        </mc:Choice>
        <mc:Fallback/>
      </mc:AlternateContent>
    </comment>
    <comment ref="B8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3</xdr:row>
                <xdr:rowOff>10</xdr:rowOff>
              </xdr:from>
              <xdr:to>
                <xdr:col>3</xdr:col>
                <xdr:colOff>37</xdr:colOff>
                <xdr:row>12</xdr:row>
                <xdr:rowOff>9</xdr:rowOff>
              </xdr:to>
            </anchor>
          </commentPr>
        </mc:Choice>
        <mc:Fallback/>
      </mc:AlternateContent>
    </comment>
    <comment ref="B9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4</xdr:row>
                <xdr:rowOff>7</xdr:rowOff>
              </xdr:from>
              <xdr:to>
                <xdr:col>3</xdr:col>
                <xdr:colOff>37</xdr:colOff>
                <xdr:row>10</xdr:row>
                <xdr:rowOff>3</xdr:rowOff>
              </xdr:to>
            </anchor>
          </commentPr>
        </mc:Choice>
        <mc:Fallback/>
      </mc:AlternateContent>
    </comment>
    <comment ref="B10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5</xdr:row>
                <xdr:rowOff>8</xdr:rowOff>
              </xdr:from>
              <xdr:to>
                <xdr:col>3</xdr:col>
                <xdr:colOff>37</xdr:colOff>
                <xdr:row>9</xdr:row>
                <xdr:rowOff>15</xdr:rowOff>
              </xdr:to>
            </anchor>
          </commentPr>
        </mc:Choice>
        <mc:Fallback/>
      </mc:AlternateContent>
    </comment>
    <comment ref="B11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6</xdr:row>
                <xdr:rowOff>8</xdr:rowOff>
              </xdr:from>
              <xdr:to>
                <xdr:col>3</xdr:col>
                <xdr:colOff>37</xdr:colOff>
                <xdr:row>10</xdr:row>
                <xdr:rowOff>4</xdr:rowOff>
              </xdr:to>
            </anchor>
          </commentPr>
        </mc:Choice>
        <mc:Fallback/>
      </mc:AlternateContent>
    </comment>
    <comment ref="B12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7</xdr:row>
                <xdr:rowOff>10</xdr:rowOff>
              </xdr:from>
              <xdr:to>
                <xdr:col>3</xdr:col>
                <xdr:colOff>37</xdr:colOff>
                <xdr:row>14</xdr:row>
                <xdr:rowOff>16</xdr:rowOff>
              </xdr:to>
            </anchor>
          </commentPr>
        </mc:Choice>
        <mc:Fallback/>
      </mc:AlternateContent>
    </comment>
    <comment ref="B13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8</xdr:row>
                <xdr:rowOff>8</xdr:rowOff>
              </xdr:from>
              <xdr:to>
                <xdr:col>3</xdr:col>
                <xdr:colOff>37</xdr:colOff>
                <xdr:row>14</xdr:row>
                <xdr:rowOff>1</xdr:rowOff>
              </xdr:to>
            </anchor>
          </commentPr>
        </mc:Choice>
        <mc:Fallback/>
      </mc:AlternateContent>
    </comment>
    <comment ref="B14" authorId="0">
      <text>
        <r>
          <rPr>
            <sz val="10"/>
            <rFont val="Arial"/>
            <family val="2"/>
          </rPr>
          <t xml:space="preserve">Informar o valor unitário estimado para aquisição de cada EPI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9</xdr:row>
                <xdr:rowOff>8</xdr:rowOff>
              </xdr:from>
              <xdr:to>
                <xdr:col>3</xdr:col>
                <xdr:colOff>37</xdr:colOff>
                <xdr:row>13</xdr:row>
                <xdr:rowOff>15</xdr:rowOff>
              </xdr:to>
            </anchor>
          </commentPr>
        </mc:Choice>
        <mc:Fallback/>
      </mc:AlternateContent>
    </comment>
    <comment ref="B15" authorId="0">
      <text>
        <r>
          <rPr>
            <sz val="10"/>
            <rFont val="Arial"/>
            <family val="2"/>
          </rPr>
          <t xml:space="preserve">Informar o valor mensal de higienização de uniforme para 1 funcionário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10</xdr:row>
                <xdr:rowOff>8</xdr:rowOff>
              </xdr:from>
              <xdr:to>
                <xdr:col>3</xdr:col>
                <xdr:colOff>37</xdr:colOff>
                <xdr:row>14</xdr:row>
                <xdr:rowOff>8</xdr:rowOff>
              </xdr:to>
            </anchor>
          </commentPr>
        </mc:Choice>
        <mc:Fallback/>
      </mc:AlternateContent>
    </comment>
    <comment ref="B16" authorId="0">
      <text>
        <r>
          <rPr>
            <sz val="10"/>
            <rFont val="Arial"/>
            <family val="2"/>
          </rPr>
          <t xml:space="preserve">Informar o preço unitário de cada pneu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13</xdr:row>
                <xdr:rowOff>2</xdr:rowOff>
              </xdr:from>
              <xdr:to>
                <xdr:col>3</xdr:col>
                <xdr:colOff>2</xdr:colOff>
                <xdr:row>16</xdr:row>
                <xdr:rowOff>2</xdr:rowOff>
              </xdr:to>
            </anchor>
          </commentPr>
        </mc:Choice>
        <mc:Fallback/>
      </mc:AlternateContent>
    </comment>
    <comment ref="B23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15</xdr:colOff>
                <xdr:row>19</xdr:row>
                <xdr:rowOff>7</xdr:rowOff>
              </xdr:from>
              <xdr:to>
                <xdr:col>3</xdr:col>
                <xdr:colOff>2</xdr:colOff>
                <xdr:row>26</xdr:row>
                <xdr:rowOff>12</xdr:rowOff>
              </xdr:to>
            </anchor>
          </commentPr>
        </mc:Choice>
        <mc:Fallback/>
      </mc:AlternateContent>
    </comment>
    <comment ref="B24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17</xdr:row>
                <xdr:rowOff>15</xdr:rowOff>
              </xdr:from>
              <xdr:to>
                <xdr:col>3</xdr:col>
                <xdr:colOff>37</xdr:colOff>
                <xdr:row>22</xdr:row>
                <xdr:rowOff>4</xdr:rowOff>
              </xdr:to>
            </anchor>
          </commentPr>
        </mc:Choice>
        <mc:Fallback/>
      </mc:AlternateContent>
    </comment>
    <comment ref="B25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18</xdr:row>
                <xdr:rowOff>8</xdr:rowOff>
              </xdr:from>
              <xdr:to>
                <xdr:col>3</xdr:col>
                <xdr:colOff>37</xdr:colOff>
                <xdr:row>24</xdr:row>
                <xdr:rowOff>5</xdr:rowOff>
              </xdr:to>
            </anchor>
          </commentPr>
        </mc:Choice>
        <mc:Fallback/>
      </mc:AlternateContent>
    </comment>
    <comment ref="B26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4</xdr:colOff>
                <xdr:row>22</xdr:row>
                <xdr:rowOff>16</xdr:rowOff>
              </xdr:from>
              <xdr:to>
                <xdr:col>3</xdr:col>
                <xdr:colOff>-9</xdr:colOff>
                <xdr:row>26</xdr:row>
                <xdr:rowOff>8</xdr:rowOff>
              </xdr:to>
            </anchor>
          </commentPr>
        </mc:Choice>
        <mc:Fallback/>
      </mc:AlternateContent>
    </comment>
    <comment ref="B27" authorId="0">
      <text>
        <r>
          <rPr>
            <sz val="10"/>
            <rFont val="Arial"/>
            <family val="2"/>
          </rPr>
          <t xml:space="preserve">Informar o valor unitário estimado para aquisição de cada material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51</xdr:colOff>
                <xdr:row>20</xdr:row>
                <xdr:rowOff>17</xdr:rowOff>
              </xdr:from>
              <xdr:to>
                <xdr:col>3</xdr:col>
                <xdr:colOff>37</xdr:colOff>
                <xdr:row>26</xdr:row>
                <xdr:rowOff>2</xdr:rowOff>
              </xdr:to>
            </anchor>
          </commentPr>
        </mc:Choice>
        <mc:Fallback/>
      </mc:AlternateContent>
    </comment>
  </commentList>
</comments>
</file>

<file path=xl/comments1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C5" authorId="0">
      <text>
        <r>
          <rPr>
            <sz val="10"/>
            <rFont val="Arial"/>
            <family val="2"/>
          </rPr>
          <t xml:space="preserve">Informar o % de Administração Central estimado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141</xdr:colOff>
                <xdr:row>0</xdr:row>
                <xdr:rowOff>0</xdr:rowOff>
              </xdr:from>
              <xdr:to>
                <xdr:col>6</xdr:col>
                <xdr:colOff>47</xdr:colOff>
                <xdr:row>3</xdr:row>
                <xdr:rowOff>7</xdr:rowOff>
              </xdr:to>
            </anchor>
          </commentPr>
        </mc:Choice>
        <mc:Fallback/>
      </mc:AlternateContent>
    </comment>
    <comment ref="C6" authorId="0">
      <text>
        <r>
          <rPr>
            <sz val="10"/>
            <rFont val="Arial"/>
            <family val="2"/>
          </rPr>
          <t xml:space="preserve">Informar o % de Seguros, Riscos e Garantia estimado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218</xdr:colOff>
                <xdr:row>0</xdr:row>
                <xdr:rowOff>18</xdr:rowOff>
              </xdr:from>
              <xdr:to>
                <xdr:col>2</xdr:col>
                <xdr:colOff>55</xdr:colOff>
                <xdr:row>3</xdr:row>
                <xdr:rowOff>11</xdr:rowOff>
              </xdr:to>
            </anchor>
          </commentPr>
        </mc:Choice>
        <mc:Fallback/>
      </mc:AlternateContent>
    </comment>
    <comment ref="C7" authorId="0">
      <text>
        <r>
          <rPr>
            <sz val="10"/>
            <rFont val="Arial"/>
            <family val="2"/>
          </rPr>
          <t xml:space="preserve">Informar o % de Lucro estimado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89</xdr:colOff>
                <xdr:row>0</xdr:row>
                <xdr:rowOff>9</xdr:rowOff>
              </xdr:from>
              <xdr:to>
                <xdr:col>1</xdr:col>
                <xdr:colOff>-111</xdr:colOff>
                <xdr:row>3</xdr:row>
                <xdr:rowOff>16</xdr:rowOff>
              </xdr:to>
            </anchor>
          </commentPr>
        </mc:Choice>
        <mc:Fallback/>
      </mc:AlternateContent>
    </comment>
    <comment ref="C9" authorId="0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</xdr:colOff>
                <xdr:row>8</xdr:row>
                <xdr:rowOff>16</xdr:rowOff>
              </xdr:from>
              <xdr:to>
                <xdr:col>7</xdr:col>
                <xdr:colOff>22</xdr:colOff>
                <xdr:row>14</xdr:row>
                <xdr:rowOff>16</xdr:rowOff>
              </xdr:to>
            </anchor>
          </commentPr>
        </mc:Choice>
        <mc:Fallback/>
      </mc:AlternateContent>
    </comment>
    <comment ref="C10" authorId="0">
      <text>
        <r>
          <rPr>
            <sz val="10"/>
            <rFont val="Arial"/>
            <family val="2"/>
          </rPr>
          <t xml:space="preserve">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24</xdr:colOff>
                <xdr:row>13</xdr:row>
                <xdr:rowOff>16</xdr:rowOff>
              </xdr:from>
              <xdr:to>
                <xdr:col>4</xdr:col>
                <xdr:colOff>126</xdr:colOff>
                <xdr:row>18</xdr:row>
                <xdr:rowOff>13</xdr:rowOff>
              </xdr:to>
            </anchor>
          </commentPr>
        </mc:Choice>
        <mc:Fallback/>
      </mc:AlternateContent>
    </comment>
    <comment ref="E8" authorId="0">
      <text>
        <r>
          <rPr>
            <sz val="10"/>
            <rFont val="Arial"/>
            <family val="2"/>
          </rPr>
          <t xml:space="preserve">Informar o valor anual da taxa financeira, em percentual. Admite-se utilizar a SELIC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80</xdr:colOff>
                <xdr:row>1</xdr:row>
                <xdr:rowOff>13</xdr:rowOff>
              </xdr:from>
              <xdr:to>
                <xdr:col>9</xdr:col>
                <xdr:colOff>2</xdr:colOff>
                <xdr:row>4</xdr:row>
                <xdr:rowOff>8</xdr:rowOff>
              </xdr:to>
            </anchor>
          </commentPr>
        </mc:Choice>
        <mc:Fallback/>
      </mc:AlternateContent>
    </comment>
    <comment ref="E9" authorId="0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80</xdr:colOff>
                <xdr:row>3</xdr:row>
                <xdr:rowOff>9</xdr:rowOff>
              </xdr:from>
              <xdr:to>
                <xdr:col>8</xdr:col>
                <xdr:colOff>38</xdr:colOff>
                <xdr:row>9</xdr:row>
                <xdr:rowOff>8</xdr:rowOff>
              </xdr:to>
            </anchor>
          </commentPr>
        </mc:Choice>
        <mc:Fallback/>
      </mc:AlternateContent>
    </comment>
  </commentList>
</comments>
</file>

<file path=xl/comments15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C4" authorId="0">
      <text>
        <r>
          <rPr>
            <sz val="10"/>
            <rFont val="Arial"/>
            <family val="2"/>
          </rPr>
          <t xml:space="preserve">Informar a população do município a ser atendida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0</xdr:row>
                <xdr:rowOff>14</xdr:rowOff>
              </xdr:from>
              <xdr:to>
                <xdr:col>7</xdr:col>
                <xdr:colOff>2</xdr:colOff>
                <xdr:row>1</xdr:row>
                <xdr:rowOff>19</xdr:rowOff>
              </xdr:to>
            </anchor>
          </commentPr>
        </mc:Choice>
        <mc:Fallback/>
      </mc:AlternateContent>
    </comment>
    <comment ref="C5" authorId="0">
      <text>
        <r>
          <rPr>
            <sz val="10"/>
            <rFont val="Arial"/>
            <family val="2"/>
          </rPr>
          <t xml:space="preserve">Caso o município possua informações de pesagem, ajustar com o valor da geração média per capita realizada nos últimos 12 meses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</xdr:row>
                <xdr:rowOff>4</xdr:rowOff>
              </xdr:from>
              <xdr:to>
                <xdr:col>6</xdr:col>
                <xdr:colOff>62</xdr:colOff>
                <xdr:row>5</xdr:row>
                <xdr:rowOff>14</xdr:rowOff>
              </xdr:to>
            </anchor>
          </commentPr>
        </mc:Choice>
        <mc:Fallback/>
      </mc:AlternateContent>
    </comment>
    <comment ref="C6" authorId="0">
      <text>
        <r>
          <rPr>
            <sz val="10"/>
            <rFont val="Arial"/>
            <family val="2"/>
          </rPr>
          <t xml:space="preserve">retorna a geração diária a ser recolhida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419</xdr:colOff>
                <xdr:row>4</xdr:row>
                <xdr:rowOff>6</xdr:rowOff>
              </xdr:from>
              <xdr:to>
                <xdr:col>2</xdr:col>
                <xdr:colOff>77</xdr:colOff>
                <xdr:row>7</xdr:row>
                <xdr:rowOff>14</xdr:rowOff>
              </xdr:to>
            </anchor>
          </commentPr>
        </mc:Choice>
        <mc:Fallback/>
      </mc:AlternateContent>
    </comment>
    <comment ref="C8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6</xdr:row>
                <xdr:rowOff>7</xdr:rowOff>
              </xdr:from>
              <xdr:to>
                <xdr:col>7</xdr:col>
                <xdr:colOff>4</xdr:colOff>
                <xdr:row>8</xdr:row>
                <xdr:rowOff>4</xdr:rowOff>
              </xdr:to>
            </anchor>
          </commentPr>
        </mc:Choice>
        <mc:Fallback/>
      </mc:AlternateContent>
    </comment>
    <comment ref="C11" authorId="0">
      <text>
        <r>
          <rPr>
            <sz val="10"/>
            <rFont val="Arial"/>
            <family val="2"/>
          </rPr>
          <t xml:space="preserve">Informar 1 para caminhão toco; Informar 2 para caminhão truck</t>
        </r>
        <r>
          <rPr>
            <b val="true"/>
            <sz val="8"/>
            <color rgb="FF000000"/>
            <rFont val="Tahoma"/>
            <family val="2"/>
            <charset val="1"/>
          </rPr>
          <t xml:space="preserve">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8</xdr:row>
                <xdr:rowOff>10</xdr:rowOff>
              </xdr:from>
              <xdr:to>
                <xdr:col>6</xdr:col>
                <xdr:colOff>21</xdr:colOff>
                <xdr:row>11</xdr:row>
                <xdr:rowOff>7</xdr:rowOff>
              </xdr:to>
            </anchor>
          </commentPr>
        </mc:Choice>
        <mc:Fallback/>
      </mc:AlternateContent>
    </comment>
    <comment ref="C12" authorId="0">
      <text>
        <r>
          <rPr>
            <sz val="10"/>
            <rFont val="Arial"/>
            <family val="2"/>
          </rPr>
          <t xml:space="preserve">Informar a capacidade do compactador em m³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10</xdr:row>
                <xdr:rowOff>13</xdr:rowOff>
              </xdr:from>
              <xdr:to>
                <xdr:col>6</xdr:col>
                <xdr:colOff>21</xdr:colOff>
                <xdr:row>12</xdr:row>
                <xdr:rowOff>9</xdr:rowOff>
              </xdr:to>
            </anchor>
          </commentPr>
        </mc:Choice>
        <mc:Fallback/>
      </mc:AlternateContent>
    </comment>
    <comment ref="C15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12</xdr:row>
                <xdr:rowOff>16</xdr:rowOff>
              </xdr:from>
              <xdr:to>
                <xdr:col>6</xdr:col>
                <xdr:colOff>56</xdr:colOff>
                <xdr:row>16</xdr:row>
                <xdr:rowOff>2</xdr:rowOff>
              </xdr:to>
            </anchor>
          </commentPr>
        </mc:Choice>
        <mc:Fallback/>
      </mc:AlternateContent>
    </comment>
  </commentList>
</comments>
</file>

<file path=xl/comments16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 </author>
  </authors>
  <commentList>
    <comment ref="C4" authorId="0">
      <text>
        <r>
          <rPr>
            <sz val="10"/>
            <rFont val="Arial"/>
            <family val="2"/>
          </rPr>
          <t xml:space="preserve">Informar a população do município a ser atendida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0</xdr:row>
                <xdr:rowOff>14</xdr:rowOff>
              </xdr:from>
              <xdr:to>
                <xdr:col>7</xdr:col>
                <xdr:colOff>2</xdr:colOff>
                <xdr:row>1</xdr:row>
                <xdr:rowOff>19</xdr:rowOff>
              </xdr:to>
            </anchor>
          </commentPr>
        </mc:Choice>
        <mc:Fallback/>
      </mc:AlternateContent>
    </comment>
    <comment ref="C5" authorId="0">
      <text>
        <r>
          <rPr>
            <sz val="10"/>
            <rFont val="Arial"/>
            <family val="2"/>
          </rPr>
          <t xml:space="preserve">Caso o município possua informações de pesagem, ajustar com o valor da geração média per capita realizada nos últimos 12 meses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15</xdr:colOff>
                <xdr:row>2</xdr:row>
                <xdr:rowOff>4</xdr:rowOff>
              </xdr:from>
              <xdr:to>
                <xdr:col>6</xdr:col>
                <xdr:colOff>62</xdr:colOff>
                <xdr:row>5</xdr:row>
                <xdr:rowOff>14</xdr:rowOff>
              </xdr:to>
            </anchor>
          </commentPr>
        </mc:Choice>
        <mc:Fallback/>
      </mc:AlternateContent>
    </comment>
    <comment ref="C6" authorId="0">
      <text>
        <r>
          <rPr>
            <sz val="10"/>
            <rFont val="Arial"/>
            <family val="2"/>
          </rPr>
          <t xml:space="preserve">retorna a geração diária a ser recolhida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419</xdr:colOff>
                <xdr:row>4</xdr:row>
                <xdr:rowOff>6</xdr:rowOff>
              </xdr:from>
              <xdr:to>
                <xdr:col>2</xdr:col>
                <xdr:colOff>77</xdr:colOff>
                <xdr:row>7</xdr:row>
                <xdr:rowOff>14</xdr:rowOff>
              </xdr:to>
            </anchor>
          </commentPr>
        </mc:Choice>
        <mc:Fallback/>
      </mc:AlternateContent>
    </comment>
    <comment ref="C8" authorId="0">
      <text>
        <r>
          <rPr>
            <sz val="10"/>
            <rFont val="Arial"/>
            <family val="2"/>
          </rPr>
          <t xml:space="preserve">Informe o número de dias de coleta por semana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6</xdr:row>
                <xdr:rowOff>7</xdr:rowOff>
              </xdr:from>
              <xdr:to>
                <xdr:col>7</xdr:col>
                <xdr:colOff>4</xdr:colOff>
                <xdr:row>8</xdr:row>
                <xdr:rowOff>4</xdr:rowOff>
              </xdr:to>
            </anchor>
          </commentPr>
        </mc:Choice>
        <mc:Fallback/>
      </mc:AlternateContent>
    </comment>
    <comment ref="C11" authorId="0">
      <text>
        <r>
          <rPr>
            <sz val="10"/>
            <rFont val="Arial"/>
            <family val="2"/>
          </rPr>
          <t xml:space="preserve">Informar 1 para caminhão toco; Informar 2 para caminhão truck</t>
        </r>
        <r>
          <rPr>
            <b val="true"/>
            <sz val="8"/>
            <color rgb="FF000000"/>
            <rFont val="Tahoma"/>
            <family val="2"/>
            <charset val="1"/>
          </rPr>
          <t xml:space="preserve">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8</xdr:row>
                <xdr:rowOff>10</xdr:rowOff>
              </xdr:from>
              <xdr:to>
                <xdr:col>6</xdr:col>
                <xdr:colOff>21</xdr:colOff>
                <xdr:row>11</xdr:row>
                <xdr:rowOff>7</xdr:rowOff>
              </xdr:to>
            </anchor>
          </commentPr>
        </mc:Choice>
        <mc:Fallback/>
      </mc:AlternateContent>
    </comment>
    <comment ref="C12" authorId="0">
      <text>
        <r>
          <rPr>
            <sz val="10"/>
            <rFont val="Arial"/>
            <family val="2"/>
          </rPr>
          <t xml:space="preserve">Informar a capacidade do compactador em m³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10</xdr:row>
                <xdr:rowOff>13</xdr:rowOff>
              </xdr:from>
              <xdr:to>
                <xdr:col>6</xdr:col>
                <xdr:colOff>21</xdr:colOff>
                <xdr:row>12</xdr:row>
                <xdr:rowOff>9</xdr:rowOff>
              </xdr:to>
            </anchor>
          </commentPr>
        </mc:Choice>
        <mc:Fallback/>
      </mc:AlternateContent>
    </comment>
    <comment ref="C15" authorId="0">
      <text>
        <r>
          <rPr>
            <sz val="10"/>
            <rFont val="Arial"/>
            <family val="2"/>
          </rPr>
          <t xml:space="preserve">Informar o número de percursos de coleta (cargas) que cada caminhão realiza por dia, considerando todos os turnos de trabalho.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32</xdr:colOff>
                <xdr:row>12</xdr:row>
                <xdr:rowOff>16</xdr:rowOff>
              </xdr:from>
              <xdr:to>
                <xdr:col>6</xdr:col>
                <xdr:colOff>56</xdr:colOff>
                <xdr:row>16</xdr:row>
                <xdr:rowOff>2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<sst xmlns="http://schemas.openxmlformats.org/spreadsheetml/2006/main" count="2130" uniqueCount="614">
  <si>
    <t xml:space="preserve">1. Coleta de Resíduos Sólidos Orgânicos/Rejeitos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</si>
  <si>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</si>
  <si>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</si>
  <si>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</si>
  <si>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</si>
  <si>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</si>
  <si>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 COM A COLETA</t>
  </si>
  <si>
    <t xml:space="preserve">Quantitativos</t>
  </si>
  <si>
    <t xml:space="preserve">Mão de obra</t>
  </si>
  <si>
    <t xml:space="preserve">Quantidade</t>
  </si>
  <si>
    <t xml:space="preserve">1.3.1 Motorista Turno do Dia (1 para 1 veículo de médio porte)</t>
  </si>
  <si>
    <t xml:space="preserve">Total de mão de obra (postos de trabalho)</t>
  </si>
  <si>
    <t xml:space="preserve">Veículos e Equipamentos</t>
  </si>
  <si>
    <t xml:space="preserve">Fator de utilização (FU)</t>
  </si>
  <si>
    <t xml:space="preserve">1. Mão-de-obra</t>
  </si>
  <si>
    <t xml:space="preserve">1.1. Coletor Turno Dia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</si>
  <si>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</si>
  <si>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</si>
  <si>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</si>
  <si>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</si>
  <si>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</si>
  <si>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</si>
  <si>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</si>
  <si>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</si>
  <si>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</si>
  <si>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</si>
  <si>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</si>
  <si>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</si>
  <si>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Adicional de Insalubridade</t>
  </si>
  <si>
    <t xml:space="preserve">Soma</t>
  </si>
  <si>
    <t xml:space="preserve">Encargos Sociais</t>
  </si>
  <si>
    <t xml:space="preserve">Total por Coletor</t>
  </si>
  <si>
    <t xml:space="preserve">Total do Efetivo</t>
  </si>
  <si>
    <t xml:space="preserve">homem</t>
  </si>
  <si>
    <t xml:space="preserve">Fator de utilização</t>
  </si>
  <si>
    <t xml:space="preserve">1.2. Coletor  veículo médio porte</t>
  </si>
  <si>
    <t xml:space="preserve">1.2. Coletor Turno Noite</t>
  </si>
  <si>
    <t xml:space="preserve">Adicional Noturno</t>
  </si>
  <si>
    <t xml:space="preserve">horas trabalhadas</t>
  </si>
  <si>
    <t xml:space="preserve">hora contabilizada</t>
  </si>
  <si>
    <t xml:space="preserve">Horas Extras Noturnas (100%)</t>
  </si>
  <si>
    <t xml:space="preserve">Horas Extras Noturnas (50%)</t>
  </si>
  <si>
    <t xml:space="preserve">1.3. Motorista Turno do Dia ( 4 caminhões)</t>
  </si>
  <si>
    <t xml:space="preserve">Piso da categoria (2)</t>
  </si>
  <si>
    <t xml:space="preserve">Salário mínimo nacional (1)</t>
  </si>
  <si>
    <t xml:space="preserve">Base de cálculo da Insalubridade</t>
  </si>
  <si>
    <t xml:space="preserve">Total por Motorista</t>
  </si>
  <si>
    <t xml:space="preserve">1.3.1 Motorista Turno do Dia (para veículo de médio porte)</t>
  </si>
  <si>
    <t xml:space="preserve">1.4. Motorista Turno Noite</t>
  </si>
  <si>
    <t xml:space="preserve">Excluir esta linha caso a contratação não tenha previsão de horas extras 100% explícita no edital</t>
  </si>
  <si>
    <t xml:space="preserve">Excluir esta linha caso a contratação não tenha previsão de horas extras noturnas 100% explícita no edital</t>
  </si>
  <si>
    <t xml:space="preserve">Excluir esta linha caso a contratação não tenha previsão de horas extras 50% explícita no edital</t>
  </si>
  <si>
    <t xml:space="preserve">Excluir esta linha caso a contratação não tenha previsão de horas extras noturnas 50% explícita no edital</t>
  </si>
  <si>
    <t xml:space="preserve">Excluir esta linha caso a contratação não tenha previsão de horas extras explícita no edital</t>
  </si>
  <si>
    <t xml:space="preserve">1.4 Líder de equipe (Administração e manutenção)</t>
  </si>
  <si>
    <t xml:space="preserve">Cargo de Confiança</t>
  </si>
  <si>
    <t xml:space="preserve">1.5. Vale Transporte</t>
  </si>
  <si>
    <t xml:space="preserve">Vale Transporte</t>
  </si>
  <si>
    <t xml:space="preserve">Dias Trabalhados por mês</t>
  </si>
  <si>
    <t xml:space="preserve">dia</t>
  </si>
  <si>
    <t xml:space="preserve">Coletor</t>
  </si>
  <si>
    <t xml:space="preserve">vale</t>
  </si>
  <si>
    <t xml:space="preserve">Motorista</t>
  </si>
  <si>
    <t xml:space="preserve">Líder de Equipe</t>
  </si>
  <si>
    <t xml:space="preserve">1.6. Vale-refeição (diário)</t>
  </si>
  <si>
    <t xml:space="preserve">unidade</t>
  </si>
  <si>
    <t xml:space="preserve">1.7. Auxílio Alimentação (mensal)</t>
  </si>
  <si>
    <t xml:space="preserve">1.7.1 Auxílio Alimentação (mensal)</t>
  </si>
  <si>
    <t xml:space="preserve">Motorista veículo médio porte</t>
  </si>
  <si>
    <t xml:space="preserve">Líder de equipe (Administração e manutenção)</t>
  </si>
  <si>
    <t xml:space="preserve">Coletor Veículo Médio Porte</t>
  </si>
  <si>
    <t xml:space="preserve">1.8. Seguro de vida em grupo</t>
  </si>
  <si>
    <r>
      <rPr>
        <b val="true"/>
        <sz val="9"/>
        <rFont val="Arial"/>
        <family val="0"/>
        <charset val="1"/>
      </rPr>
      <t xml:space="preserve">Total </t>
    </r>
    <r>
      <rPr>
        <b val="true"/>
        <u val="single"/>
        <sz val="9"/>
        <rFont val="Arial"/>
        <family val="0"/>
        <charset val="1"/>
      </rPr>
      <t xml:space="preserve">(R$)</t>
    </r>
  </si>
  <si>
    <t xml:space="preserve">Coletores</t>
  </si>
  <si>
    <t xml:space="preserve">Motoristas e líder de equipe</t>
  </si>
  <si>
    <t xml:space="preserve">1.9.  Prêmio assiduidade em grupo </t>
  </si>
  <si>
    <t xml:space="preserve">1.10.  Plano de Benefício Social Familiar</t>
  </si>
  <si>
    <t xml:space="preserve">Custo Mensal com Mão-de-obra (R$/mês)</t>
  </si>
  <si>
    <t xml:space="preserve">2. Uniformes e Equipamentos de Proteção Individual</t>
  </si>
  <si>
    <t xml:space="preserve">2.1. Uniformes e EPIs para Coletor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</si>
  <si>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</si>
  <si>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</si>
  <si>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</si>
  <si>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</si>
  <si>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Boné Legionário com proteção UV</t>
  </si>
  <si>
    <t xml:space="preserve">Óculos águia com proteção UV</t>
  </si>
  <si>
    <t xml:space="preserve">Botina de segurança c/ palmilha aço</t>
  </si>
  <si>
    <t xml:space="preserve">par</t>
  </si>
  <si>
    <t xml:space="preserve">Meia de algodão com cano alto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</si>
  <si>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</si>
  <si>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</si>
  <si>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</si>
  <si>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</si>
  <si>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</si>
  <si>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Higienização de uniformes e EPIs</t>
  </si>
  <si>
    <t xml:space="preserve">R$ mensal</t>
  </si>
  <si>
    <t xml:space="preserve">2.2. Uniformes e EPIs para motoristas</t>
  </si>
  <si>
    <t xml:space="preserve">2.3. Uniformes e EPIs para motorista veículo médio porte e líder de equipe</t>
  </si>
  <si>
    <t xml:space="preserve">Custo Mensal com Uniformes e EPIs (R$/mês)</t>
  </si>
  <si>
    <t xml:space="preserve">3. Veículos e Equipamentos</t>
  </si>
  <si>
    <r>
      <rPr>
        <sz val="10"/>
        <rFont val="Arial"/>
        <family val="0"/>
        <charset val="1"/>
      </rPr>
      <t xml:space="preserve">3.1. Veículo Coletor Compactador</t>
    </r>
    <r>
      <rPr>
        <sz val="10"/>
        <color rgb="FFFF0000"/>
        <rFont val="Arial"/>
        <family val="0"/>
        <charset val="1"/>
      </rPr>
      <t xml:space="preserve"> 15</t>
    </r>
    <r>
      <rPr>
        <sz val="10"/>
        <rFont val="Arial"/>
        <family val="0"/>
        <charset val="1"/>
      </rPr>
      <t xml:space="preserve"> m³ + 1 RESERVA</t>
    </r>
  </si>
  <si>
    <t xml:space="preserve">3.1.1. Depreciação</t>
  </si>
  <si>
    <t xml:space="preserve">Custo de aquisição do chassis</t>
  </si>
  <si>
    <t xml:space="preserve">Vida útil do chassis</t>
  </si>
  <si>
    <t xml:space="preserve">anos</t>
  </si>
  <si>
    <t xml:space="preserve">Idade do veículo</t>
  </si>
  <si>
    <t xml:space="preserve">Depreciação do chassis</t>
  </si>
  <si>
    <t xml:space="preserve">Depreciação mensal veículos coletores</t>
  </si>
  <si>
    <t xml:space="preserve">Custo de aquisição do compactador</t>
  </si>
  <si>
    <t xml:space="preserve">Vida útil do compactador</t>
  </si>
  <si>
    <t xml:space="preserve">Idade do compactador</t>
  </si>
  <si>
    <t xml:space="preserve">Depreciação do compactador</t>
  </si>
  <si>
    <t xml:space="preserve">Depreciação mensal do compactador</t>
  </si>
  <si>
    <t xml:space="preserve">Total por veículo</t>
  </si>
  <si>
    <t xml:space="preserve">Total da frota</t>
  </si>
  <si>
    <t xml:space="preserve">3.1.2. Remuneração do Capital</t>
  </si>
  <si>
    <t xml:space="preserve">Custo do chassis</t>
  </si>
  <si>
    <t xml:space="preserve">Taxa de juros anual nominal</t>
  </si>
  <si>
    <t xml:space="preserve">Valor do veículo proposto (V0)</t>
  </si>
  <si>
    <t xml:space="preserve">Investimento médio total do chassis</t>
  </si>
  <si>
    <t xml:space="preserve">Remuneração mensal de capital do chassis</t>
  </si>
  <si>
    <t xml:space="preserve">Custo do compactador</t>
  </si>
  <si>
    <t xml:space="preserve">Valor do compactador proposto (V0)</t>
  </si>
  <si>
    <t xml:space="preserve">Investimento médio total do compactador</t>
  </si>
  <si>
    <t xml:space="preserve">Remuneração mensal de capital do compactador</t>
  </si>
  <si>
    <t xml:space="preserve">3.1.3.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</si>
  <si>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</si>
  <si>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</si>
  <si>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</si>
  <si>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</si>
  <si>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3.1.4. Consumos</t>
  </si>
  <si>
    <t xml:space="preserve">Quilometragem mensal</t>
  </si>
  <si>
    <t xml:space="preserve">Consumo</t>
  </si>
  <si>
    <t xml:space="preserve">Custo de óleo diesel / km rodado</t>
  </si>
  <si>
    <t xml:space="preserve">km/l</t>
  </si>
  <si>
    <t xml:space="preserve">Custo mensal com óleo diesel</t>
  </si>
  <si>
    <t xml:space="preserve">km</t>
  </si>
  <si>
    <t xml:space="preserve">Custo de óleo do motor /1.000 km rodados</t>
  </si>
  <si>
    <t xml:space="preserve">l/1.000 km</t>
  </si>
  <si>
    <t xml:space="preserve">Custo mensal com óleo do motor</t>
  </si>
  <si>
    <t xml:space="preserve">Custo de óleo da transmissão /1.000 km</t>
  </si>
  <si>
    <t xml:space="preserve">Custo mensal com óleo da transmissão</t>
  </si>
  <si>
    <t xml:space="preserve">Custo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</si>
  <si>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</si>
  <si>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</si>
  <si>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</si>
  <si>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</si>
  <si>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Arla 32 (5% do consumo de diesel)</t>
  </si>
  <si>
    <t xml:space="preserve">L/kmTotal</t>
  </si>
  <si>
    <t xml:space="preserve">Custo com consumos/km rodado</t>
  </si>
  <si>
    <t xml:space="preserve">R$/km rodado</t>
  </si>
  <si>
    <t xml:space="preserve">3.1.5. Manutenção</t>
  </si>
  <si>
    <t xml:space="preserve">Custo de manutenção dos caminhões</t>
  </si>
  <si>
    <t xml:space="preserve">3.1.6. Pneus</t>
  </si>
  <si>
    <t xml:space="preserve">Custo do jogo de pneus 275/80R22,5</t>
  </si>
  <si>
    <t xml:space="preserve">Número de recapagens por pneu</t>
  </si>
  <si>
    <t xml:space="preserve">Custo de recapagem</t>
  </si>
  <si>
    <t xml:space="preserve">Custo jg. Compl. +  recap./ km rodado</t>
  </si>
  <si>
    <t xml:space="preserve">km/jogo</t>
  </si>
  <si>
    <t xml:space="preserve">Custo mensal com pneus</t>
  </si>
  <si>
    <t xml:space="preserve">3.1.7.Câmera de monitoramento em marcha ré</t>
  </si>
  <si>
    <t xml:space="preserve">Custo Conjunto</t>
  </si>
  <si>
    <t xml:space="preserve">Custo Mensal</t>
  </si>
  <si>
    <t xml:space="preserve">3.1.8.Câmera de monitoramento</t>
  </si>
  <si>
    <t xml:space="preserve">Mensalidade Monitoramento</t>
  </si>
  <si>
    <t xml:space="preserve">3.2 Veículo de menor porte</t>
  </si>
  <si>
    <t xml:space="preserve">3.2.1. Depreciação</t>
  </si>
  <si>
    <t xml:space="preserve">Custo de aquisição</t>
  </si>
  <si>
    <t xml:space="preserve">Vida útil </t>
  </si>
  <si>
    <t xml:space="preserve">Depreciação</t>
  </si>
  <si>
    <t xml:space="preserve">Frota Reserva 10%</t>
  </si>
  <si>
    <t xml:space="preserve">3.2.2. Remuneração do Capital</t>
  </si>
  <si>
    <t xml:space="preserve">Investimento médio total</t>
  </si>
  <si>
    <t xml:space="preserve">3.2.3. Impostos e Seguros</t>
  </si>
  <si>
    <t xml:space="preserve">3.2.4. Consumos</t>
  </si>
  <si>
    <t xml:space="preserve">Custo gasolina / km rodado</t>
  </si>
  <si>
    <t xml:space="preserve">Custo mensal com gasolina</t>
  </si>
  <si>
    <t xml:space="preserve">3.2.5. Manutenção</t>
  </si>
  <si>
    <t xml:space="preserve">33% do custo do caminhão</t>
  </si>
  <si>
    <t xml:space="preserve">3.2.6. Pneus</t>
  </si>
  <si>
    <t xml:space="preserve">Custo do jogo de pneus 175/70 R14 </t>
  </si>
  <si>
    <r>
      <rPr>
        <sz val="10"/>
        <rFont val="Arial"/>
        <family val="0"/>
        <charset val="1"/>
      </rPr>
      <t xml:space="preserve">Custo jg. Compl. + </t>
    </r>
    <r>
      <rPr>
        <sz val="10"/>
        <color rgb="FFFF0000"/>
        <rFont val="Arial"/>
        <family val="0"/>
        <charset val="1"/>
      </rPr>
      <t xml:space="preserve">1</t>
    </r>
    <r>
      <rPr>
        <sz val="10"/>
        <rFont val="Arial"/>
        <family val="0"/>
        <charset val="1"/>
      </rPr>
      <t xml:space="preserve"> recap./ km rodado</t>
    </r>
  </si>
  <si>
    <t xml:space="preserve">3.3. Veículo Coletor Médio Porte (coleta de orgânico e recicláveis em locais de difícil acesso)</t>
  </si>
  <si>
    <t xml:space="preserve">3.3.1. Depreciação</t>
  </si>
  <si>
    <t xml:space="preserve">Custo de aquisição do baú</t>
  </si>
  <si>
    <t xml:space="preserve">Depreciação do baú</t>
  </si>
  <si>
    <t xml:space="preserve">3.3.2. Remuneração do Capital</t>
  </si>
  <si>
    <t xml:space="preserve">Remuneração mensal de capital do baú</t>
  </si>
  <si>
    <t xml:space="preserve">3.3.3. Impostos e Seguros</t>
  </si>
  <si>
    <t xml:space="preserve">3.3.4. Consumos</t>
  </si>
  <si>
    <t xml:space="preserve">COLETA BECOS</t>
  </si>
  <si>
    <t xml:space="preserve">3.3.5. Manutenção</t>
  </si>
  <si>
    <t xml:space="preserve">3.3.6. Pneus</t>
  </si>
  <si>
    <t xml:space="preserve">Custo do jogo de pneus 245/70 R16</t>
  </si>
  <si>
    <t xml:space="preserve">Custo Mensal com Veículos e Equipamentos (R$/mês)</t>
  </si>
  <si>
    <t xml:space="preserve">4. Ferramentas e Materiais de Consumo</t>
  </si>
  <si>
    <t xml:space="preserve">Recipiente térmico para água (5L)</t>
  </si>
  <si>
    <t xml:space="preserve">Pá de Concha</t>
  </si>
  <si>
    <t xml:space="preserve">Vassoura</t>
  </si>
  <si>
    <t xml:space="preserve">Publicidade (adesivos equipamentos)</t>
  </si>
  <si>
    <t xml:space="preserve">cj</t>
  </si>
  <si>
    <t xml:space="preserve">Publicidade (adesivos veículos)</t>
  </si>
  <si>
    <t xml:space="preserve">Campanhas educativas em escolas/casas/jornais</t>
  </si>
  <si>
    <t xml:space="preserve">cj/mês</t>
  </si>
  <si>
    <t xml:space="preserve">Custo Mensal com Ferramentas e Materiais de Consumo (R$/mês)</t>
  </si>
  <si>
    <t xml:space="preserve">5. Monitoramento da Frota</t>
  </si>
  <si>
    <t xml:space="preserve">Implantação dos equipamentos de monitoramento</t>
  </si>
  <si>
    <t xml:space="preserve">Custo mensal com implantação</t>
  </si>
  <si>
    <t xml:space="preserve">Manutenção dos equipamentos de monitoramento</t>
  </si>
  <si>
    <t xml:space="preserve">Custo mensal com manutenção</t>
  </si>
  <si>
    <t xml:space="preserve">Custo Mensal com Monitoramento da Frota (R$/mês)</t>
  </si>
  <si>
    <t xml:space="preserve">6. Pesagem</t>
  </si>
  <si>
    <t xml:space="preserve">Pesagem e emissão de tickets</t>
  </si>
  <si>
    <t xml:space="preserve">Custo Mensal com Pesagem (R$/mês)</t>
  </si>
  <si>
    <t xml:space="preserve">CUSTO TOTAL MENSAL COM DESPESAS OPERACIONAIS (R$/mês)</t>
  </si>
  <si>
    <t xml:space="preserve">7. Benefícios e Despesas Indiretas - BDI</t>
  </si>
  <si>
    <t xml:space="preserve">Benefícios e despesas indiretas</t>
  </si>
  <si>
    <t xml:space="preserve">CUSTO MENSAL COM BDI (R$/mês)</t>
  </si>
  <si>
    <t xml:space="preserve">PREÇO MENSAL TOTAL (R$/mês)</t>
  </si>
  <si>
    <t xml:space="preserve">Quantidade média de resíduos coletados por mês: </t>
  </si>
  <si>
    <t xml:space="preserve">toneladas</t>
  </si>
  <si>
    <t xml:space="preserve">PREÇO POR TONELADA COLETADA:  [A/B]</t>
  </si>
  <si>
    <t xml:space="preserve">R$/tonelada</t>
  </si>
  <si>
    <t xml:space="preserve">2. Coleta de Resíduos Sólidos Recicláveis</t>
  </si>
  <si>
    <t xml:space="preserve">1.2. Motorista Turno do Dia ( 3 caminhões )</t>
  </si>
  <si>
    <t xml:space="preserve">1.3 Motorista Turno do Dia (1 veículo de médio porte )</t>
  </si>
  <si>
    <t xml:space="preserve">1.4. Vale Transporte</t>
  </si>
  <si>
    <t xml:space="preserve">1.5. Vale-refeição (diário)</t>
  </si>
  <si>
    <t xml:space="preserve">1.6. Auxílio Alimentação (mensal)</t>
  </si>
  <si>
    <t xml:space="preserve">1.7 Auxílio Alimentação (mensal)</t>
  </si>
  <si>
    <t xml:space="preserve">Motorista veículo pequeno porte</t>
  </si>
  <si>
    <t xml:space="preserve">1.7. Seguro de vida em grupo</t>
  </si>
  <si>
    <t xml:space="preserve">1.8.  Prêmio assiduidade em grupo </t>
  </si>
  <si>
    <t xml:space="preserve">1.9.  Plano de Benefício Social Familiar</t>
  </si>
  <si>
    <t xml:space="preserve">2.2. Uniformes e EPIs para motorista</t>
  </si>
  <si>
    <t xml:space="preserve">2.3. Uniformes e EPIs para motorista veiculo médio porte</t>
  </si>
  <si>
    <r>
      <rPr>
        <sz val="10"/>
        <rFont val="Arial"/>
        <family val="0"/>
        <charset val="1"/>
      </rPr>
      <t xml:space="preserve">3.1. Veículo Coletor Compactador</t>
    </r>
    <r>
      <rPr>
        <sz val="10"/>
        <color rgb="FFFF0000"/>
        <rFont val="Arial"/>
        <family val="0"/>
        <charset val="1"/>
      </rPr>
      <t xml:space="preserve"> 15</t>
    </r>
    <r>
      <rPr>
        <sz val="10"/>
        <rFont val="Arial"/>
        <family val="0"/>
        <charset val="1"/>
      </rPr>
      <t xml:space="preserve"> m³</t>
    </r>
  </si>
  <si>
    <t xml:space="preserve">COLETA URBANA + RURAL + COLETA CENTRAL</t>
  </si>
  <si>
    <t xml:space="preserve">3.1.8.Kit Propaganda (corneta + amplificador + acessórios)</t>
  </si>
  <si>
    <t xml:space="preserve">3.1.9.Câmera de monitoramento frontal de canal duplo</t>
  </si>
  <si>
    <t xml:space="preserve">3.2. Veículo Coletor Médio Porte</t>
  </si>
  <si>
    <t xml:space="preserve">COLETA BECOS + COLETA RURAL</t>
  </si>
  <si>
    <t xml:space="preserve">6 por ano</t>
  </si>
  <si>
    <t xml:space="preserve">24 por ano</t>
  </si>
  <si>
    <t xml:space="preserve">Lote</t>
  </si>
  <si>
    <t xml:space="preserve">Descrição</t>
  </si>
  <si>
    <t xml:space="preserve">Custo Mensal Por Tonelada</t>
  </si>
  <si>
    <t xml:space="preserve">Quantitativo Mensal Estimado (tn)</t>
  </si>
  <si>
    <t xml:space="preserve">Custo Estimado Mensal</t>
  </si>
  <si>
    <t xml:space="preserve">Custo Estimado Anual</t>
  </si>
  <si>
    <t xml:space="preserve">Lote 01</t>
  </si>
  <si>
    <t xml:space="preserve">Coleta de resíduos sólidos orgânicos/rejeitos
</t>
  </si>
  <si>
    <t xml:space="preserve">Lote 02</t>
  </si>
  <si>
    <t xml:space="preserve">Coleta de resíduos sólidos recicláveis</t>
  </si>
  <si>
    <t xml:space="preserve">Total</t>
  </si>
  <si>
    <t xml:space="preserve">ano</t>
  </si>
  <si>
    <t xml:space="preserve">orgânico</t>
  </si>
  <si>
    <t xml:space="preserve">reciclável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</si>
  <si>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</si>
  <si>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</si>
  <si>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</si>
  <si>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</si>
  <si>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</si>
  <si>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</si>
  <si>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</si>
  <si>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</si>
  <si>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</si>
  <si>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</si>
  <si>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</si>
  <si>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</si>
  <si>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MÉDIA</t>
  </si>
  <si>
    <t xml:space="preserve">SALARIO COLETOR</t>
  </si>
  <si>
    <t xml:space="preserve">obs</t>
  </si>
  <si>
    <t xml:space="preserve">SALARIO MOTORISTA</t>
  </si>
  <si>
    <t xml:space="preserve">VALOR CAMINHÃO COLETOR</t>
  </si>
  <si>
    <t xml:space="preserve">CÓDIGO FIPE 506175-0</t>
  </si>
  <si>
    <t xml:space="preserve">VALOR VEICULO MENOR PORTE LÍDER DE EQUIPE</t>
  </si>
  <si>
    <t xml:space="preserve">CÓDIGO FIPE 005538-7</t>
  </si>
  <si>
    <t xml:space="preserve">Câmera marcha ré</t>
  </si>
  <si>
    <t xml:space="preserve">Vale refeição Coletor</t>
  </si>
  <si>
    <t xml:space="preserve">Vale refeição motorista</t>
  </si>
  <si>
    <t xml:space="preserve">Auxílio Alimentação Coletor</t>
  </si>
  <si>
    <t xml:space="preserve">Auxílio Alimentação Motorista</t>
  </si>
  <si>
    <t xml:space="preserve">Arla 32</t>
  </si>
  <si>
    <t xml:space="preserve">TAXA SELIC</t>
  </si>
  <si>
    <t xml:space="preserve">Óculos com proteção UV</t>
  </si>
  <si>
    <t xml:space="preserve">SALARIO ENCARREGADO/ADM</t>
  </si>
  <si>
    <t xml:space="preserve">KM BASE BECOS</t>
  </si>
  <si>
    <t xml:space="preserve">CUSTO POR PESAGEM</t>
  </si>
  <si>
    <t xml:space="preserve">CUSTO GASOLINA</t>
  </si>
  <si>
    <t xml:space="preserve">CUSTO OLEO DIESEL</t>
  </si>
  <si>
    <t xml:space="preserve">CUSTO LCIENCIAMENTO </t>
  </si>
  <si>
    <t xml:space="preserve">SALARIO MINIMO</t>
  </si>
  <si>
    <t xml:space="preserve">SEGURO CONTRA TERCEIROS CAMINHOES</t>
  </si>
  <si>
    <t xml:space="preserve">CUSTO LITRO OLEO MOTOR</t>
  </si>
  <si>
    <t xml:space="preserve">CUSTO OLEO TRANSMISSAO</t>
  </si>
  <si>
    <t xml:space="preserve">CUSTO OLEO HIDRAULICO</t>
  </si>
  <si>
    <t xml:space="preserve">CUSTO GRAXA</t>
  </si>
  <si>
    <t xml:space="preserve">CUSTO MANUTENCAO CAMINHAO</t>
  </si>
  <si>
    <t xml:space="preserve">CUSTO CONJUNTO CAMERA CANAL DUPLO</t>
  </si>
  <si>
    <t xml:space="preserve">CUSTO MENSAL CAMERA CANAL DUPPLO</t>
  </si>
  <si>
    <t xml:space="preserve">SEGURO CONTRA TERCEIROS VEÍCULOS MENORES</t>
  </si>
  <si>
    <t xml:space="preserve">CUSTO JOGO PNEU VEIUCLO MENOR PORTE</t>
  </si>
  <si>
    <t xml:space="preserve">CUSTO FOLDERS</t>
  </si>
  <si>
    <t xml:space="preserve">CUSTO IMPLANTACAO MONITORAMENTO FROTA </t>
  </si>
  <si>
    <t xml:space="preserve">MENSALIDADE FROTA</t>
  </si>
  <si>
    <t xml:space="preserve">KIT PROPAGANDA</t>
  </si>
  <si>
    <t xml:space="preserve">VALOR S10 PARA COLETA D EMENOR PORTE FIPE 004551-9</t>
  </si>
  <si>
    <t xml:space="preserve">VALOR BAÚ</t>
  </si>
  <si>
    <t xml:space="preserve">PNEU 245/70 R16</t>
  </si>
  <si>
    <t xml:space="preserve">HORA EXTRA</t>
  </si>
  <si>
    <t xml:space="preserve">TAXA ESTIAMDA DETRAN (1 ANO EMPLACAMENTO NOVO + 4 ANOS NORMAL)</t>
  </si>
  <si>
    <t xml:space="preserve">CONSUMO CAMINHAO KM/L</t>
  </si>
  <si>
    <t xml:space="preserve">CONSUMO OLEO HIDRAULICO L/1000 K M orgânico</t>
  </si>
  <si>
    <t xml:space="preserve">CONSUMO OLEO HIDRAULICO L/1000 K M reciclável</t>
  </si>
  <si>
    <t xml:space="preserve">VIDA UTIL PNEU CAMINHAO COELTOR</t>
  </si>
  <si>
    <t xml:space="preserve">HORA EXTRA FU 100%</t>
  </si>
  <si>
    <t xml:space="preserve">seguro  de vida em grupo</t>
  </si>
  <si>
    <t xml:space="preserve">Premio assiduidade motorista</t>
  </si>
  <si>
    <t xml:space="preserve">Premio assiduidade coletores</t>
  </si>
  <si>
    <t xml:space="preserve">plano de beneficio social famiilar</t>
  </si>
  <si>
    <t xml:space="preserve">Marca</t>
  </si>
  <si>
    <t xml:space="preserve">Modelo</t>
  </si>
  <si>
    <t xml:space="preserve">Código Fipe</t>
  </si>
  <si>
    <t xml:space="preserve">valor fipe</t>
  </si>
  <si>
    <t xml:space="preserve">MERCEDES-BENZ</t>
  </si>
  <si>
    <t xml:space="preserve">Atego 1719 4x2 2p (diesel)(E6)</t>
  </si>
  <si>
    <t xml:space="preserve">509338-4</t>
  </si>
  <si>
    <t xml:space="preserve">Atego 1726 4x2 2p (diesel)(E6)</t>
  </si>
  <si>
    <t xml:space="preserve">509339-2</t>
  </si>
  <si>
    <t xml:space="preserve">Atego 1729 4x2 2p (diesel)(E6)</t>
  </si>
  <si>
    <t xml:space="preserve">509373-2</t>
  </si>
  <si>
    <t xml:space="preserve">VOLKSWAGEN</t>
  </si>
  <si>
    <t xml:space="preserve">18-260 Constellation 4x2 2p (diesel)(E6)</t>
  </si>
  <si>
    <t xml:space="preserve">515190-2</t>
  </si>
  <si>
    <t xml:space="preserve">17-210 Constellation 4x2 2p (diesel)(E6)</t>
  </si>
  <si>
    <t xml:space="preserve">515188-0</t>
  </si>
  <si>
    <t xml:space="preserve">FOTON</t>
  </si>
  <si>
    <t xml:space="preserve">AUMAN D 1722L 4x2 (diesel) (E6)</t>
  </si>
  <si>
    <t xml:space="preserve">526013-2</t>
  </si>
  <si>
    <t xml:space="preserve">IVECO</t>
  </si>
  <si>
    <t xml:space="preserve">TECTOR 17-210 4x2 2p (Diesel)(E6)</t>
  </si>
  <si>
    <t xml:space="preserve">506175-0</t>
  </si>
  <si>
    <t xml:space="preserve">TECTOR 17-320 4x2 2p (Diesel)(E6)</t>
  </si>
  <si>
    <t xml:space="preserve">506176-8</t>
  </si>
  <si>
    <t xml:space="preserve">VOLVO</t>
  </si>
  <si>
    <t xml:space="preserve">VM 290 4x2 2p (diesel) (E6)</t>
  </si>
  <si>
    <t xml:space="preserve">516254-8</t>
  </si>
  <si>
    <t xml:space="preserve">valor médio</t>
  </si>
  <si>
    <t xml:space="preserve">valor mediana</t>
  </si>
  <si>
    <t xml:space="preserve">Coleta de Resíduos Sólidos Orgânicos/Rejeitos Zona Urbana</t>
  </si>
  <si>
    <t xml:space="preserve">Coleta de Seletivos Zona Urbana</t>
  </si>
  <si>
    <t xml:space="preserve">Coleta Resíduos Sólidos Recicláveis Zona Urbana</t>
  </si>
  <si>
    <t xml:space="preserve">Distância km (coleta + transporte)</t>
  </si>
  <si>
    <t xml:space="preserve">km Mensal Coleta orgânicos</t>
  </si>
  <si>
    <t xml:space="preserve">km Mensal Coleta Recicláveis</t>
  </si>
  <si>
    <t xml:space="preserve">Setores</t>
  </si>
  <si>
    <t xml:space="preserve">Turno</t>
  </si>
  <si>
    <t xml:space="preserve">Dias</t>
  </si>
  <si>
    <t xml:space="preserve">Locais</t>
  </si>
  <si>
    <t xml:space="preserve">M</t>
  </si>
  <si>
    <t xml:space="preserve">2°, 4° e 6°</t>
  </si>
  <si>
    <t xml:space="preserve">*Sequoias, SESI, Eugênio Ferreria, São Lucas e Jardim Mariana.</t>
  </si>
  <si>
    <t xml:space="preserve">3° e 5°</t>
  </si>
  <si>
    <t xml:space="preserve">*Hortênsias, São José, Santa Marta, Vila Dante, Reserva e Laje.</t>
  </si>
  <si>
    <t xml:space="preserve">*Caracol, Pinheiro Grosso, Suíça, Vila Suzana e Luíza Correia. </t>
  </si>
  <si>
    <t xml:space="preserve">T</t>
  </si>
  <si>
    <t xml:space="preserve">*Celulose, Vila Boeira, Serrano, Centro.</t>
  </si>
  <si>
    <t xml:space="preserve">3°, 5° e Sábado</t>
  </si>
  <si>
    <t xml:space="preserve">*Rancho Jane, Saiqui, Jardim das Fontes, São Rafael e Distrito Industrial.</t>
  </si>
  <si>
    <t xml:space="preserve">4° e 6°</t>
  </si>
  <si>
    <t xml:space="preserve">*Caçador, Ulisses de Abreu, São Luiz, Bom Jesus e Canelinha.</t>
  </si>
  <si>
    <t xml:space="preserve">*Alpes Verdes, Palace Hotel, Quinta da Serra, Sta Terezinha, Maggi e Leodoro de Azevedo.</t>
  </si>
  <si>
    <r>
      <rPr>
        <sz val="12"/>
        <rFont val="Arial"/>
        <family val="2"/>
        <charset val="1"/>
      </rPr>
      <t xml:space="preserve">*Alpes Verdes, Palace Hotel,</t>
    </r>
    <r>
      <rPr>
        <sz val="12"/>
        <rFont val="Arial"/>
        <family val="0"/>
        <charset val="1"/>
      </rPr>
      <t xml:space="preserve">Quinta da Serra, Sta Terezinha, Maggi e Leodoro de Azevedo.</t>
    </r>
  </si>
  <si>
    <t xml:space="preserve">MÉDIA DE SEMANAS NO ANO</t>
  </si>
  <si>
    <t xml:space="preserve">Coleta Resíduos Sólidos Recicláveis Zona Rural</t>
  </si>
  <si>
    <t xml:space="preserve">Roteiro</t>
  </si>
  <si>
    <t xml:space="preserve">Primeiro Sábado do mês</t>
  </si>
  <si>
    <t xml:space="preserve">Roteiro Norte</t>
  </si>
  <si>
    <t xml:space="preserve">Esteinho, Lajeana, Limeira, Banhado Grande,Tubiana e Caçador</t>
  </si>
  <si>
    <t xml:space="preserve">Segundo Sábado do mês</t>
  </si>
  <si>
    <t xml:space="preserve">Roteiro Sudeste</t>
  </si>
  <si>
    <t xml:space="preserve">Morro Calçado, Linha São Paulo, Monjolo, Bugres, Rancho Grande e Canastra</t>
  </si>
  <si>
    <t xml:space="preserve">Último Sábado do mês</t>
  </si>
  <si>
    <t xml:space="preserve">Roteiro Sudoeste</t>
  </si>
  <si>
    <t xml:space="preserve">São João, Amoreira, Chapadão, Morro Alegre, Quilombo e Passo do Louro</t>
  </si>
  <si>
    <t xml:space="preserve">TOTAL</t>
  </si>
  <si>
    <t xml:space="preserve">KM</t>
  </si>
  <si>
    <t xml:space="preserve">SETOR</t>
  </si>
  <si>
    <t xml:space="preserve">ORGANICO DIA</t>
  </si>
  <si>
    <t xml:space="preserve">SELETIVO DIA</t>
  </si>
  <si>
    <t xml:space="preserve">km mensal organico</t>
  </si>
  <si>
    <t xml:space="preserve">km mensal RECICLÁVEL</t>
  </si>
  <si>
    <t xml:space="preserve">DESLOCAMENTO</t>
  </si>
  <si>
    <t xml:space="preserve">MÉDIAS SEMANAS ANO</t>
  </si>
  <si>
    <t xml:space="preserve">Central</t>
  </si>
  <si>
    <t xml:space="preserve">Sábados</t>
  </si>
  <si>
    <t xml:space="preserve">Vias Diversas</t>
  </si>
  <si>
    <t xml:space="preserve">Coleta destinada a atender a região central 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</si>
  <si>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</si>
  <si>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</si>
  <si>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</si>
  <si>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</si>
  <si>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</si>
  <si>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</si>
  <si>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</si>
  <si>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</si>
  <si>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</si>
  <si>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</si>
  <si>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</si>
  <si>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</si>
  <si>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</si>
  <si>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</si>
  <si>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</si>
  <si>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</si>
  <si>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</si>
  <si>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</si>
  <si>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</si>
  <si>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</si>
  <si>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FU COLETA DE RESÍDUOS SÓLIDOS ORGÂNICOS (CAMINHÕES, COLETORES E MOTORISTAS)</t>
  </si>
  <si>
    <t xml:space="preserve">SETORES</t>
  </si>
  <si>
    <t xml:space="preserve">CAMINHÕES DA FROTA</t>
  </si>
  <si>
    <t xml:space="preserve">CAMINHÕES EM ATIVIDADE NOS SETORES</t>
  </si>
  <si>
    <t xml:space="preserve">DIAS DE COLETA</t>
  </si>
  <si>
    <t xml:space="preserve">Horas trabalhadas/dia</t>
  </si>
  <si>
    <t xml:space="preserve">FU%</t>
  </si>
  <si>
    <t xml:space="preserve">1,2,3,4</t>
  </si>
  <si>
    <t xml:space="preserve">5,6,7</t>
  </si>
  <si>
    <r>
      <rPr>
        <sz val="10"/>
        <rFont val="Arial"/>
        <family val="2"/>
        <charset val="1"/>
      </rPr>
      <t xml:space="preserve">FU COLETA DE RESÍDUOS SÓLIDOS ORGÂNICOS</t>
    </r>
    <r>
      <rPr>
        <sz val="10"/>
        <rFont val="Arial"/>
        <family val="0"/>
        <charset val="1"/>
      </rPr>
      <t xml:space="preserve"> (VEÍCULO DE MÉDIO PORTE E MOTORISTA)</t>
    </r>
  </si>
  <si>
    <t xml:space="preserve">VEÍCULOS DA FROTA</t>
  </si>
  <si>
    <t xml:space="preserve">VEÍCULOS EM ATIVIDADE</t>
  </si>
  <si>
    <t xml:space="preserve">COLETA ESPECIAL</t>
  </si>
  <si>
    <r>
      <rPr>
        <sz val="10"/>
        <rFont val="Arial"/>
        <family val="2"/>
        <charset val="1"/>
      </rPr>
      <t xml:space="preserve">FU COLETA DE RESÍDUOS SÓLIDOS RECICLÁVEIS</t>
    </r>
    <r>
      <rPr>
        <sz val="10"/>
        <rFont val="Arial"/>
        <family val="0"/>
        <charset val="1"/>
      </rPr>
      <t xml:space="preserve"> (CAMINHÕES, COLETORES E MOTORISTAS)</t>
    </r>
  </si>
  <si>
    <t xml:space="preserve">1,2,3</t>
  </si>
  <si>
    <t xml:space="preserve">1,2,3 (Rural)</t>
  </si>
  <si>
    <t xml:space="preserve">Coleta Área Central</t>
  </si>
  <si>
    <r>
      <rPr>
        <sz val="10"/>
        <rFont val="Arial"/>
        <family val="2"/>
        <charset val="1"/>
      </rPr>
      <t xml:space="preserve">FU COLETA DE RESÍDUOS SÓLIDOS RECICLÁVEIS</t>
    </r>
    <r>
      <rPr>
        <sz val="10"/>
        <rFont val="Arial"/>
        <family val="0"/>
        <charset val="1"/>
      </rPr>
      <t xml:space="preserve"> (VEÍCULO DE MÉDIO PORTE E MOTORISTA)</t>
    </r>
  </si>
  <si>
    <t xml:space="preserve">quantidade mensal</t>
  </si>
  <si>
    <t xml:space="preserve">COLETA DE RESÍDUOS ORGÂNICOS</t>
  </si>
  <si>
    <t xml:space="preserve">COLETA DE RESÍDUOS RECICLÁVEIS</t>
  </si>
  <si>
    <t xml:space="preserve">ITEM</t>
  </si>
  <si>
    <t xml:space="preserve">PREÇO 1</t>
  </si>
  <si>
    <t xml:space="preserve">PREÇO 2</t>
  </si>
  <si>
    <t xml:space="preserve">PREÇO 3</t>
  </si>
  <si>
    <t xml:space="preserve">DATA</t>
  </si>
  <si>
    <t xml:space="preserve">FONTE</t>
  </si>
  <si>
    <t xml:space="preserve">PREÇO</t>
  </si>
  <si>
    <t xml:space="preserve">MEDIANA</t>
  </si>
  <si>
    <t xml:space="preserve">https://www.ebconfeccao.com.br</t>
  </si>
  <si>
    <t xml:space="preserve">https://produto.mercadolivre.com.br</t>
  </si>
  <si>
    <t xml:space="preserve">https://www.magazineluiza.com.br</t>
  </si>
  <si>
    <t xml:space="preserve">https://www.jamiluniformes.com.br</t>
  </si>
  <si>
    <t xml:space="preserve">https://www.fardasexpress.com.br</t>
  </si>
  <si>
    <t xml:space="preserve">https://tulypauniformes.com.br</t>
  </si>
  <si>
    <t xml:space="preserve">https://www.j7uniformesprofissionais.com.br</t>
  </si>
  <si>
    <t xml:space="preserve">Boné Legionário com poteção solar</t>
  </si>
  <si>
    <t xml:space="preserve">https://ellepsun.com.br</t>
  </si>
  <si>
    <t xml:space="preserve">https://www.uvline.com.br</t>
  </si>
  <si>
    <t xml:space="preserve">https://loja.suncover.com.br</t>
  </si>
  <si>
    <t xml:space="preserve">https://www.superepi.com.br</t>
  </si>
  <si>
    <t xml:space="preserve">https://disapar.com.br</t>
  </si>
  <si>
    <t xml:space="preserve">https://outletdoepi.com</t>
  </si>
  <si>
    <t xml:space="preserve">https://www.lojas360.com.br/</t>
  </si>
  <si>
    <t xml:space="preserve">https://www.astrodistribuidora.com</t>
  </si>
  <si>
    <t xml:space="preserve">https://www.armazemdoepi.com.bR</t>
  </si>
  <si>
    <t xml:space="preserve">https://www.multiepis.com.br</t>
  </si>
  <si>
    <t xml:space="preserve">https://www.oceanob2b.com</t>
  </si>
  <si>
    <t xml:space="preserve">https://www.lojadomecanico.com.br</t>
  </si>
  <si>
    <t xml:space="preserve">https://www.polodoepi.com.br</t>
  </si>
  <si>
    <t xml:space="preserve">https://www.zigferramentas.com.br</t>
  </si>
  <si>
    <t xml:space="preserve">https://www.fg.com.br</t>
  </si>
  <si>
    <t xml:space="preserve">https://www.mabore.com.br</t>
  </si>
  <si>
    <t xml:space="preserve">https://www.castronaves.com.br</t>
  </si>
  <si>
    <t xml:space="preserve">https://www.coimbra.ind.br</t>
  </si>
  <si>
    <t xml:space="preserve">Pneu  275/80R22,5</t>
  </si>
  <si>
    <t xml:space="preserve">https://www.pneustore.com.br</t>
  </si>
  <si>
    <t xml:space="preserve">https://www.bellenzier.com.b</t>
  </si>
  <si>
    <t xml:space="preserve">https://www.pneubest.com.br</t>
  </si>
  <si>
    <t xml:space="preserve">pneus 175/70 R14</t>
  </si>
  <si>
    <t xml:space="preserve">https://www.casasbahia.com.br</t>
  </si>
  <si>
    <t xml:space="preserve">Óleo Diesel</t>
  </si>
  <si>
    <t xml:space="preserve">https://precos.petrobras.com.br</t>
  </si>
  <si>
    <t xml:space="preserve">ANP</t>
  </si>
  <si>
    <t xml:space="preserve">Óleo motor</t>
  </si>
  <si>
    <t xml:space="preserve">https://www.importvans.com</t>
  </si>
  <si>
    <t xml:space="preserve">https://www.dpaschoal.com.br</t>
  </si>
  <si>
    <t xml:space="preserve">https://www.unifreiospecas.com.br</t>
  </si>
  <si>
    <t xml:space="preserve">Óleo Transmissão</t>
  </si>
  <si>
    <t xml:space="preserve">https://www.loja.aptacaminhoes.com.br</t>
  </si>
  <si>
    <t xml:space="preserve">https://www.autopecastiete.com.br</t>
  </si>
  <si>
    <t xml:space="preserve">Òleo hidráulico</t>
  </si>
  <si>
    <t xml:space="preserve">https://www.armazemautopecas.com.br</t>
  </si>
  <si>
    <t xml:space="preserve">https://www.lfmaquinaseferramentas.com.br</t>
  </si>
  <si>
    <t xml:space="preserve">Graxa</t>
  </si>
  <si>
    <t xml:space="preserve">https://www.incorzul.com.br</t>
  </si>
  <si>
    <t xml:space="preserve">https://loja.dispetral.com.br</t>
  </si>
  <si>
    <t xml:space="preserve">Câmera Marcha ré caminhao</t>
  </si>
  <si>
    <t xml:space="preserve">https://someacessorios.com.br</t>
  </si>
  <si>
    <t xml:space="preserve">https://www.acessoriosjltudoparaonibus.com.br</t>
  </si>
  <si>
    <t xml:space="preserve">7. Dimensionamento da frota</t>
  </si>
  <si>
    <t xml:space="preserve">Indicador</t>
  </si>
  <si>
    <t xml:space="preserve">Unid</t>
  </si>
  <si>
    <t xml:space="preserve">Valor</t>
  </si>
  <si>
    <t xml:space="preserve">População (H)</t>
  </si>
  <si>
    <t xml:space="preserve">hab</t>
  </si>
  <si>
    <t xml:space="preserve">Geração per capita (G)</t>
  </si>
  <si>
    <t xml:space="preserve">Kg/hab.dia</t>
  </si>
  <si>
    <t xml:space="preserve">Geração total diária (Qd)</t>
  </si>
  <si>
    <t xml:space="preserve">ton/dia</t>
  </si>
  <si>
    <t xml:space="preserve">Geração Mensal Média</t>
  </si>
  <si>
    <t xml:space="preserve">ton</t>
  </si>
  <si>
    <t xml:space="preserve">Número de dias de coleta por semana (Dc)</t>
  </si>
  <si>
    <t xml:space="preserve">Quantitativo diário de coleta (Qc)</t>
  </si>
  <si>
    <t xml:space="preserve">Densidade RSU compactado</t>
  </si>
  <si>
    <t xml:space="preserve">Kg/m³</t>
  </si>
  <si>
    <t xml:space="preserve">Tipo de Veículo (1 = toco, 2 = truck)</t>
  </si>
  <si>
    <t xml:space="preserve">Capacidade do Compactador</t>
  </si>
  <si>
    <t xml:space="preserve">m³</t>
  </si>
  <si>
    <t xml:space="preserve">Capacidade nominal de carga (Cc)</t>
  </si>
  <si>
    <t xml:space="preserve">Número de Cargas por dia (Nc)</t>
  </si>
  <si>
    <t xml:space="preserve">Número total de percursos de coleta por veículo, por dia (Np)</t>
  </si>
  <si>
    <t xml:space="preserve">Número de veículos da Frota (F)</t>
  </si>
  <si>
    <t xml:space="preserve">2. Composição dos Encargos Sociais </t>
  </si>
  <si>
    <t xml:space="preserve">Código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</si>
  <si>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</si>
  <si>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</si>
  <si>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</si>
  <si>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</si>
  <si>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</si>
  <si>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</si>
  <si>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</si>
  <si>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</si>
  <si>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</si>
  <si>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</si>
  <si>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</si>
  <si>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</si>
  <si>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</si>
  <si>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</si>
  <si>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</si>
  <si>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</si>
  <si>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</si>
  <si>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</si>
  <si>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</si>
  <si>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</si>
  <si>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</si>
  <si>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</si>
  <si>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</si>
  <si>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</si>
  <si>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</si>
  <si>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</si>
  <si>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</si>
  <si>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</si>
  <si>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</si>
  <si>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</si>
  <si>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</si>
  <si>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</si>
  <si>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</si>
  <si>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</si>
  <si>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</si>
  <si>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</si>
  <si>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</si>
  <si>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</si>
  <si>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</si>
  <si>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</si>
  <si>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</si>
  <si>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</si>
  <si>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</si>
  <si>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</si>
  <si>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</si>
  <si>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</si>
  <si>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</si>
  <si>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</si>
  <si>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</si>
  <si>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</si>
  <si>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</si>
  <si>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</si>
  <si>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</si>
  <si>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</si>
  <si>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</si>
  <si>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</si>
  <si>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</si>
  <si>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</si>
  <si>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</si>
  <si>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</si>
  <si>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</si>
  <si>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</si>
  <si>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</si>
  <si>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</si>
  <si>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</si>
  <si>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</si>
  <si>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01-01-2019</t>
  </si>
  <si>
    <t xml:space="preserve">Estoque recuperado final do Período 31-12-2019</t>
  </si>
  <si>
    <t xml:space="preserve">Variação Emprego Absoluta de 01-01-2019 a 31-12-2019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</si>
  <si>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</si>
  <si>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</si>
  <si>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</si>
  <si>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</si>
  <si>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</si>
  <si>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</si>
  <si>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</si>
  <si>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</si>
  <si>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</si>
  <si>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</si>
  <si>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</si>
  <si>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</si>
  <si>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</si>
  <si>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</si>
  <si>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</si>
  <si>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rgb="FF000000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</si>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</sst>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21">
    <numFmt numFmtId="164" formatCode="General"/>
    <numFmt numFmtId="165" formatCode="* #,##0.00\ ;* \(#,##0.00\);* \-#\ ;@\ "/>
    <numFmt numFmtId="166" formatCode="#,##0.00"/>
    <numFmt numFmtId="167" formatCode="&quot;R$ &quot;#,##0.00"/>
    <numFmt numFmtId="168" formatCode="0%"/>
    <numFmt numFmtId="169" formatCode="0.00%"/>
    <numFmt numFmtId="170" formatCode="&quot;R$ &quot;#,##0.00\ ;&quot;(R$ &quot;#,##0.00\)"/>
    <numFmt numFmtId="171" formatCode="0"/>
    <numFmt numFmtId="172" formatCode="* #,##0\ ;* \(#,##0\);* \-#\ ;@\ "/>
    <numFmt numFmtId="173" formatCode="0.00"/>
    <numFmt numFmtId="174" formatCode="# ??/??"/>
    <numFmt numFmtId="175" formatCode="* #,##0.00\ ;\-* #,##0.00\ ;* \-#\ ;@\ "/>
    <numFmt numFmtId="176" formatCode="#,##0"/>
    <numFmt numFmtId="177" formatCode="* #,##0.000\ ;* \(#,##0.000\);* \-#\ ;@\ "/>
    <numFmt numFmtId="178" formatCode="@"/>
    <numFmt numFmtId="179" formatCode="[$R$-416]\ #,##0.00;[RED]\-[$R$-416]\ #,##0.00"/>
    <numFmt numFmtId="180" formatCode="#,##0.000"/>
    <numFmt numFmtId="181" formatCode="dd/mm/yy"/>
    <numFmt numFmtId="182" formatCode="* #,##0.000\ ;\-* #,##0.000\ ;* \-#\ ;@\ "/>
    <numFmt numFmtId="183" formatCode="#,##0.0"/>
    <numFmt numFmtId="184" formatCode="0.0000"/>
  </numFmts>
  <fonts count="3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8"/>
      <name val="Arial"/>
      <family val="2"/>
      <charset val="1"/>
    </font>
    <font>
      <b val="true"/>
      <sz val="9"/>
      <name val="Arial"/>
      <family val="0"/>
      <charset val="1"/>
    </font>
    <font>
      <b val="true"/>
      <u val="single"/>
      <sz val="9"/>
      <name val="Arial"/>
      <family val="0"/>
      <charset val="1"/>
    </font>
    <font>
      <u val="single"/>
      <sz val="10"/>
      <color rgb="FF0000FF"/>
      <name val="Arial"/>
      <family val="2"/>
      <charset val="1"/>
    </font>
    <font>
      <sz val="10"/>
      <color rgb="FFFF0000"/>
      <name val="Arial"/>
      <family val="0"/>
      <charset val="1"/>
    </font>
    <font>
      <sz val="11"/>
      <name val="Calibri"/>
      <family val="2"/>
      <charset val="1"/>
    </font>
    <font>
      <sz val="9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Arial"/>
      <family val="2"/>
    </font>
    <font>
      <sz val="12"/>
      <color rgb="FF000000"/>
      <name val="Arial"/>
      <family val="2"/>
      <charset val="1"/>
    </font>
    <font>
      <sz val="12"/>
      <name val="Arial"/>
      <family val="1"/>
      <charset val="1"/>
    </font>
    <font>
      <b val="true"/>
      <sz val="10"/>
      <name val="Arial"/>
      <family val="0"/>
      <charset val="1"/>
    </font>
    <font>
      <sz val="10"/>
      <name val="Times New Roman"/>
      <family val="1"/>
      <charset val="1"/>
    </font>
    <font>
      <b val="true"/>
      <sz val="12"/>
      <color rgb="FFFFFFFF"/>
      <name val="Arial"/>
      <family val="0"/>
      <charset val="1"/>
    </font>
    <font>
      <sz val="12"/>
      <name val="Arial"/>
      <family val="0"/>
      <charset val="1"/>
    </font>
    <font>
      <b val="true"/>
      <sz val="12"/>
      <name val="Arial"/>
      <family val="0"/>
      <charset val="1"/>
    </font>
    <font>
      <sz val="12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sz val="11"/>
      <color rgb="FF000000"/>
      <name val="Arial"/>
      <family val="2"/>
      <charset val="1"/>
    </font>
    <font>
      <b val="true"/>
      <sz val="8"/>
      <color rgb="FF000000"/>
      <name val="Tahoma"/>
      <family val="2"/>
      <charset val="1"/>
    </font>
    <font>
      <b val="true"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00A933"/>
        <bgColor rgb="FF0080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FF"/>
        <bgColor rgb="FFEEEEEE"/>
      </patternFill>
    </fill>
    <fill>
      <patternFill patternType="solid">
        <fgColor rgb="FF729FCF"/>
        <bgColor rgb="FF999999"/>
      </patternFill>
    </fill>
    <fill>
      <patternFill patternType="solid">
        <fgColor rgb="FF808080"/>
        <bgColor rgb="FF999999"/>
      </patternFill>
    </fill>
    <fill>
      <patternFill patternType="solid">
        <fgColor rgb="FFCCCCCC"/>
        <bgColor rgb="FFC0C0C0"/>
      </patternFill>
    </fill>
    <fill>
      <patternFill patternType="solid">
        <fgColor rgb="FFEEEEEE"/>
        <bgColor rgb="FFEEECE1"/>
      </patternFill>
    </fill>
    <fill>
      <patternFill patternType="solid">
        <fgColor rgb="FF999999"/>
        <bgColor rgb="FFA6A6A6"/>
      </patternFill>
    </fill>
    <fill>
      <patternFill patternType="solid">
        <fgColor rgb="FFDDD9C3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342A06"/>
        <bgColor rgb="FF333333"/>
      </patternFill>
    </fill>
    <fill>
      <patternFill patternType="solid">
        <fgColor rgb="FFA6A6A6"/>
        <bgColor rgb="FF999999"/>
      </patternFill>
    </fill>
    <fill>
      <patternFill patternType="solid">
        <fgColor rgb="FF81D41A"/>
        <bgColor rgb="FFA6A6A6"/>
      </patternFill>
    </fill>
    <fill>
      <patternFill patternType="solid">
        <fgColor rgb="FFEEECE1"/>
        <bgColor rgb="FFEEEEEE"/>
      </patternFill>
    </fill>
  </fills>
  <borders count="5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1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8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2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9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3" borderId="2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3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3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6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2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3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5" borderId="1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5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7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2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4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6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7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5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5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3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6" fontId="4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3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3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4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7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8" fontId="15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8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4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9" fillId="4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7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2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9" fillId="5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3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3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9" fillId="5" borderId="5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7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3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80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4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4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25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9" borderId="3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10" borderId="3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10" borderId="39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7" fillId="9" borderId="4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10" borderId="4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8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1" borderId="3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9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1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8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9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11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6" fillId="12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10" borderId="4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4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4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7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7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4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2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3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7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4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0" borderId="4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5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14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14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4" borderId="2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7" fillId="0" borderId="4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14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7" fillId="0" borderId="28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37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3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15" borderId="37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15" borderId="3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37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79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79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30" fillId="9" borderId="3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30" fillId="9" borderId="3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30" fillId="9" borderId="3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9" fontId="30" fillId="9" borderId="37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81" fontId="0" fillId="0" borderId="0" xfId="0" applyFont="false" applyBorder="false" applyAlignment="true" applyProtection="true">
      <alignment horizontal="left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78" fontId="31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8" fontId="0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13" borderId="4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6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2" fontId="32" fillId="0" borderId="2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7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3" fontId="7" fillId="3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7" fillId="0" borderId="2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2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0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4" fillId="0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14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4" fillId="14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4" fillId="14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32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2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2" fillId="16" borderId="4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4" fillId="16" borderId="1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4" fillId="16" borderId="28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5" fillId="7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3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7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4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1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4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1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17" borderId="5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17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34" fillId="17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4" fontId="8" fillId="7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2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5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34" fillId="0" borderId="2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0" borderId="24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1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1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2" fillId="18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2" fillId="0" borderId="4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32" fillId="18" borderId="1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1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5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56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22" fillId="0" borderId="57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1">
    <dxf>
      <font>
        <name val="Arial"/>
        <charset val="1"/>
        <family val="0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993366"/>
      <rgbColor rgb="FFEEECE1"/>
      <rgbColor rgb="FFEEEEEE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CCCC"/>
      <rgbColor rgb="FFD9D9D9"/>
      <rgbColor rgb="FFFFFF99"/>
      <rgbColor rgb="FFBFBFBF"/>
      <rgbColor rgb="FFFF99CC"/>
      <rgbColor rgb="FFA6A6A6"/>
      <rgbColor rgb="FFDDD9C3"/>
      <rgbColor rgb="FF3366FF"/>
      <rgbColor rgb="FF33CCCC"/>
      <rgbColor rgb="FF81D41A"/>
      <rgbColor rgb="FFFFCC00"/>
      <rgbColor rgb="FFFF9900"/>
      <rgbColor rgb="FFFF6600"/>
      <rgbColor rgb="FF666699"/>
      <rgbColor rgb="FF999999"/>
      <rgbColor rgb="FF003366"/>
      <rgbColor rgb="FF00A933"/>
      <rgbColor rgb="FF003300"/>
      <rgbColor rgb="FF342A06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133200</xdr:colOff>
      <xdr:row>4</xdr:row>
      <xdr:rowOff>93240</xdr:rowOff>
    </xdr:from>
    <xdr:to>
      <xdr:col>0</xdr:col>
      <xdr:colOff>1416600</xdr:colOff>
      <xdr:row>6</xdr:row>
      <xdr:rowOff>127440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801360"/>
          <a:ext cx="1283400" cy="3592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85680</xdr:colOff>
      <xdr:row>7</xdr:row>
      <xdr:rowOff>14400</xdr:rowOff>
    </xdr:from>
    <xdr:to>
      <xdr:col>0</xdr:col>
      <xdr:colOff>2121480</xdr:colOff>
      <xdr:row>9</xdr:row>
      <xdr:rowOff>57960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960"/>
          <a:ext cx="2035800" cy="3690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3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vmlDrawing" Target="../drawings/vmlDrawing4.v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hyperlink" Target="https://www.ebconfeccao.com.br/" TargetMode="External"/><Relationship Id="rId2" Type="http://schemas.openxmlformats.org/officeDocument/2006/relationships/hyperlink" Target="https://produto.mercadolivre.com.br/" TargetMode="External"/><Relationship Id="rId3" Type="http://schemas.openxmlformats.org/officeDocument/2006/relationships/hyperlink" Target="https://www.magazineluiza.com.br/" TargetMode="External"/><Relationship Id="rId4" Type="http://schemas.openxmlformats.org/officeDocument/2006/relationships/hyperlink" Target="https://www.jamiluniformes.com.br/" TargetMode="External"/><Relationship Id="rId5" Type="http://schemas.openxmlformats.org/officeDocument/2006/relationships/hyperlink" Target="https://produto.mercadolivre.com.br/" TargetMode="External"/><Relationship Id="rId6" Type="http://schemas.openxmlformats.org/officeDocument/2006/relationships/hyperlink" Target="https://www.fardasexpress.com.br/" TargetMode="External"/><Relationship Id="rId7" Type="http://schemas.openxmlformats.org/officeDocument/2006/relationships/hyperlink" Target="https://tulypauniformes.com.br/" TargetMode="External"/><Relationship Id="rId8" Type="http://schemas.openxmlformats.org/officeDocument/2006/relationships/hyperlink" Target="https://produto.mercadolivre.com.br/" TargetMode="External"/><Relationship Id="rId9" Type="http://schemas.openxmlformats.org/officeDocument/2006/relationships/hyperlink" Target="https://www.j7uniformesprofissionais.com.br/" TargetMode="External"/><Relationship Id="rId10" Type="http://schemas.openxmlformats.org/officeDocument/2006/relationships/hyperlink" Target="https://ellepsun.com.br/" TargetMode="External"/><Relationship Id="rId11" Type="http://schemas.openxmlformats.org/officeDocument/2006/relationships/hyperlink" Target="https://www.uvline.com.br/" TargetMode="External"/><Relationship Id="rId12" Type="http://schemas.openxmlformats.org/officeDocument/2006/relationships/hyperlink" Target="https://loja.suncover.com.br/" TargetMode="External"/><Relationship Id="rId13" Type="http://schemas.openxmlformats.org/officeDocument/2006/relationships/hyperlink" Target="https://produto.mercadolivre.com.br/" TargetMode="External"/><Relationship Id="rId14" Type="http://schemas.openxmlformats.org/officeDocument/2006/relationships/hyperlink" Target="https://www.superepi.com.br/" TargetMode="External"/><Relationship Id="rId15" Type="http://schemas.openxmlformats.org/officeDocument/2006/relationships/hyperlink" Target="https://www.magazineluiza.com.br/" TargetMode="External"/><Relationship Id="rId16" Type="http://schemas.openxmlformats.org/officeDocument/2006/relationships/hyperlink" Target="https://disapar.com.br/" TargetMode="External"/><Relationship Id="rId17" Type="http://schemas.openxmlformats.org/officeDocument/2006/relationships/hyperlink" Target="https://outletdoepi.com/" TargetMode="External"/><Relationship Id="rId18" Type="http://schemas.openxmlformats.org/officeDocument/2006/relationships/hyperlink" Target="https://www.superepi.com.br/" TargetMode="External"/><Relationship Id="rId19" Type="http://schemas.openxmlformats.org/officeDocument/2006/relationships/hyperlink" Target="https://www.superepi.com.br/" TargetMode="External"/><Relationship Id="rId20" Type="http://schemas.openxmlformats.org/officeDocument/2006/relationships/hyperlink" Target="https://produto.mercadolivre.com.br/" TargetMode="External"/><Relationship Id="rId21" Type="http://schemas.openxmlformats.org/officeDocument/2006/relationships/hyperlink" Target="https://www.lojas360.com.br/" TargetMode="External"/><Relationship Id="rId22" Type="http://schemas.openxmlformats.org/officeDocument/2006/relationships/hyperlink" Target="https://www.superepi.com.br/" TargetMode="External"/><Relationship Id="rId23" Type="http://schemas.openxmlformats.org/officeDocument/2006/relationships/hyperlink" Target="https://www.astrodistribuidora.com/" TargetMode="External"/><Relationship Id="rId24" Type="http://schemas.openxmlformats.org/officeDocument/2006/relationships/hyperlink" Target="https://www.armazemdoepi.com.bR/" TargetMode="External"/><Relationship Id="rId25" Type="http://schemas.openxmlformats.org/officeDocument/2006/relationships/hyperlink" Target="https://www.astrodistribuidora.com/" TargetMode="External"/><Relationship Id="rId26" Type="http://schemas.openxmlformats.org/officeDocument/2006/relationships/hyperlink" Target="https://www.superepi.com.br/" TargetMode="External"/><Relationship Id="rId27" Type="http://schemas.openxmlformats.org/officeDocument/2006/relationships/hyperlink" Target="https://www.multiepis.com.br/" TargetMode="External"/><Relationship Id="rId28" Type="http://schemas.openxmlformats.org/officeDocument/2006/relationships/hyperlink" Target="https://www.oceanob2b.com/" TargetMode="External"/><Relationship Id="rId29" Type="http://schemas.openxmlformats.org/officeDocument/2006/relationships/hyperlink" Target="https://www.superepi.com.br/" TargetMode="External"/><Relationship Id="rId30" Type="http://schemas.openxmlformats.org/officeDocument/2006/relationships/hyperlink" Target="https://www.lojadomecanico.com.br/" TargetMode="External"/><Relationship Id="rId31" Type="http://schemas.openxmlformats.org/officeDocument/2006/relationships/hyperlink" Target="https://www.polodoepi.com.br/" TargetMode="External"/><Relationship Id="rId32" Type="http://schemas.openxmlformats.org/officeDocument/2006/relationships/hyperlink" Target="https://www.zigferramentas.com.br/" TargetMode="External"/><Relationship Id="rId33" Type="http://schemas.openxmlformats.org/officeDocument/2006/relationships/hyperlink" Target="https://www.magazineluiza.com.br/" TargetMode="External"/><Relationship Id="rId34" Type="http://schemas.openxmlformats.org/officeDocument/2006/relationships/hyperlink" Target="https://www.fg.com.br/" TargetMode="External"/><Relationship Id="rId35" Type="http://schemas.openxmlformats.org/officeDocument/2006/relationships/hyperlink" Target="https://www.lojadomecanico.com.br/" TargetMode="External"/><Relationship Id="rId36" Type="http://schemas.openxmlformats.org/officeDocument/2006/relationships/hyperlink" Target="https://www.mabore.com.br/" TargetMode="External"/><Relationship Id="rId37" Type="http://schemas.openxmlformats.org/officeDocument/2006/relationships/hyperlink" Target="https://produto.mercadolivre.com.br/" TargetMode="External"/><Relationship Id="rId38" Type="http://schemas.openxmlformats.org/officeDocument/2006/relationships/hyperlink" Target="https://www.castronaves.com.br/" TargetMode="External"/><Relationship Id="rId39" Type="http://schemas.openxmlformats.org/officeDocument/2006/relationships/hyperlink" Target="https://www.coimbra.ind.br/" TargetMode="External"/><Relationship Id="rId40" Type="http://schemas.openxmlformats.org/officeDocument/2006/relationships/hyperlink" Target="https://www.pneustore.com.br/" TargetMode="External"/><Relationship Id="rId41" Type="http://schemas.openxmlformats.org/officeDocument/2006/relationships/hyperlink" Target="https://www.bellenzier.com.b/" TargetMode="External"/><Relationship Id="rId42" Type="http://schemas.openxmlformats.org/officeDocument/2006/relationships/hyperlink" Target="https://www.pneubest.com.br/" TargetMode="External"/><Relationship Id="rId43" Type="http://schemas.openxmlformats.org/officeDocument/2006/relationships/hyperlink" Target="https://www.magazineluiza.com.br/" TargetMode="External"/><Relationship Id="rId44" Type="http://schemas.openxmlformats.org/officeDocument/2006/relationships/hyperlink" Target="https://www.casasbahia.com.br/" TargetMode="External"/><Relationship Id="rId45" Type="http://schemas.openxmlformats.org/officeDocument/2006/relationships/hyperlink" Target="https://www.pneustore.com.br/" TargetMode="External"/><Relationship Id="rId46" Type="http://schemas.openxmlformats.org/officeDocument/2006/relationships/hyperlink" Target="https://precos.petrobras.com.br/" TargetMode="External"/><Relationship Id="rId47" Type="http://schemas.openxmlformats.org/officeDocument/2006/relationships/hyperlink" Target="https://www.importvans.com/" TargetMode="External"/><Relationship Id="rId48" Type="http://schemas.openxmlformats.org/officeDocument/2006/relationships/hyperlink" Target="https://www.dpaschoal.com.br/" TargetMode="External"/><Relationship Id="rId49" Type="http://schemas.openxmlformats.org/officeDocument/2006/relationships/hyperlink" Target="https://www.unifreiospecas.com.br/" TargetMode="External"/><Relationship Id="rId50" Type="http://schemas.openxmlformats.org/officeDocument/2006/relationships/hyperlink" Target="https://produto.mercadolivre.com.br/" TargetMode="External"/><Relationship Id="rId51" Type="http://schemas.openxmlformats.org/officeDocument/2006/relationships/hyperlink" Target="https://www.loja.aptacaminhoes.com.br/" TargetMode="External"/><Relationship Id="rId52" Type="http://schemas.openxmlformats.org/officeDocument/2006/relationships/hyperlink" Target="https://www.autopecastiete.com.br/" TargetMode="External"/><Relationship Id="rId53" Type="http://schemas.openxmlformats.org/officeDocument/2006/relationships/hyperlink" Target="https://www.loja.aptacaminhoes.com.br/" TargetMode="External"/><Relationship Id="rId54" Type="http://schemas.openxmlformats.org/officeDocument/2006/relationships/hyperlink" Target="https://www.armazemautopecas.com.br/" TargetMode="External"/><Relationship Id="rId55" Type="http://schemas.openxmlformats.org/officeDocument/2006/relationships/hyperlink" Target="https://www.lfmaquinaseferramentas.com.br/" TargetMode="External"/><Relationship Id="rId56" Type="http://schemas.openxmlformats.org/officeDocument/2006/relationships/hyperlink" Target="https://www.lfmaquinaseferramentas.com.br/" TargetMode="External"/><Relationship Id="rId57" Type="http://schemas.openxmlformats.org/officeDocument/2006/relationships/hyperlink" Target="https://www.incorzul.com.br/" TargetMode="External"/><Relationship Id="rId58" Type="http://schemas.openxmlformats.org/officeDocument/2006/relationships/hyperlink" Target="https://loja.dispetral.com.br/" TargetMode="External"/><Relationship Id="rId59" Type="http://schemas.openxmlformats.org/officeDocument/2006/relationships/hyperlink" Target="https://someacessorios.com.br/" TargetMode="External"/><Relationship Id="rId60" Type="http://schemas.openxmlformats.org/officeDocument/2006/relationships/hyperlink" Target="https://produto.mercadolivre.com.br/" TargetMode="External"/><Relationship Id="rId61" Type="http://schemas.openxmlformats.org/officeDocument/2006/relationships/hyperlink" Target="https://www.acessoriosjltudoparaonibus.com.br/" TargetMode="Externa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comments" Target="../comments15.xml"/><Relationship Id="rId2" Type="http://schemas.openxmlformats.org/officeDocument/2006/relationships/vmlDrawing" Target="../drawings/vmlDrawing5.v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comments" Target="../comments16.xml"/><Relationship Id="rId2" Type="http://schemas.openxmlformats.org/officeDocument/2006/relationships/vmlDrawing" Target="../drawings/vmlDrawing6.v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564"/>
  <sheetViews>
    <sheetView showFormulas="false" showGridLines="true" showRowColHeaders="true" showZeros="true" rightToLeft="false" tabSelected="false" showOutlineSymbols="true" defaultGridColor="true" view="pageBreakPreview" topLeftCell="A193" colorId="64" zoomScale="100" zoomScaleNormal="100" zoomScalePageLayoutView="100" workbookViewId="0">
      <selection pane="topLeft" activeCell="E19" activeCellId="0" sqref="E1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64.63"/>
    <col collapsed="false" customWidth="true" hidden="false" outlineLevel="0" max="2" min="2" style="1" width="17.3"/>
    <col collapsed="false" customWidth="true" hidden="false" outlineLevel="0" max="3" min="3" style="1" width="15.42"/>
    <col collapsed="false" customWidth="true" hidden="false" outlineLevel="0" max="4" min="4" style="2" width="16.58"/>
    <col collapsed="false" customWidth="true" hidden="false" outlineLevel="0" max="5" min="5" style="2" width="15.85"/>
    <col collapsed="false" customWidth="true" hidden="false" outlineLevel="0" max="6" min="6" style="2" width="15.51"/>
    <col collapsed="false" customWidth="true" hidden="false" outlineLevel="0" max="7" min="7" style="2" width="28.17"/>
    <col collapsed="false" customWidth="true" hidden="false" outlineLevel="0" max="8" min="8" style="1" width="9.14"/>
    <col collapsed="false" customWidth="true" hidden="false" outlineLevel="0" max="9" min="9" style="1" width="14.59"/>
    <col collapsed="false" customWidth="true" hidden="false" outlineLevel="0" max="10" min="10" style="1" width="13.44"/>
    <col collapsed="false" customWidth="true" hidden="false" outlineLevel="0" max="64" min="11" style="1" width="9.14"/>
    <col collapsed="false" customWidth="true" hidden="false" outlineLevel="0" max="1024" min="65" style="3" width="9.14"/>
  </cols>
  <sheetData>
    <row r="1" customFormat="false" ht="15" hidden="false" customHeight="false" outlineLevel="0" collapsed="false">
      <c r="A1" s="4"/>
    </row>
    <row r="2" customFormat="false" ht="17.35" hidden="false" customHeight="false" outlineLevel="0" collapsed="false">
      <c r="A2" s="5" t="s">
        <v>0</v>
      </c>
      <c r="B2" s="5"/>
      <c r="C2" s="5"/>
      <c r="D2" s="5"/>
      <c r="E2" s="5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customFormat="false" ht="21.75" hidden="false" customHeight="true" outlineLevel="0" collapsed="false">
      <c r="A3" s="8" t="s">
        <v>1</v>
      </c>
      <c r="B3" s="8"/>
      <c r="C3" s="8"/>
      <c r="D3" s="8"/>
      <c r="E3" s="8"/>
      <c r="F3" s="8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</row>
    <row r="4" customFormat="false" ht="10.9" hidden="false" customHeight="true" outlineLevel="0" collapsed="false">
      <c r="A4" s="9"/>
      <c r="B4" s="10"/>
      <c r="C4" s="10"/>
      <c r="D4" s="11"/>
      <c r="E4" s="11"/>
      <c r="F4" s="12"/>
      <c r="G4" s="1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</row>
    <row r="5" customFormat="false" ht="15.75" hidden="false" customHeight="true" outlineLevel="0" collapsed="false">
      <c r="A5" s="14" t="s">
        <v>2</v>
      </c>
      <c r="B5" s="14"/>
      <c r="C5" s="14"/>
      <c r="D5" s="14"/>
      <c r="E5" s="14"/>
      <c r="F5" s="14"/>
      <c r="G5" s="11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</row>
    <row r="6" customFormat="false" ht="15.75" hidden="false" customHeight="true" outlineLevel="0" collapsed="false">
      <c r="A6" s="15" t="s">
        <v>3</v>
      </c>
      <c r="B6" s="16"/>
      <c r="C6" s="16"/>
      <c r="D6" s="17"/>
      <c r="E6" s="18" t="s">
        <v>4</v>
      </c>
      <c r="F6" s="19" t="s">
        <v>5</v>
      </c>
      <c r="G6" s="11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</row>
    <row r="7" customFormat="false" ht="15.75" hidden="false" customHeight="true" outlineLevel="0" collapsed="false">
      <c r="A7" s="20" t="str">
        <f aca="false">A45</f>
        <v>1. Mão-de-obra</v>
      </c>
      <c r="B7" s="21"/>
      <c r="C7" s="22"/>
      <c r="D7" s="22"/>
      <c r="E7" s="23" t="n">
        <f aca="false">+F206</f>
        <v>157555.658875536</v>
      </c>
      <c r="F7" s="24" t="n">
        <f aca="false">IFERROR(E7/$E$26,0)</f>
        <v>0.427173029714683</v>
      </c>
      <c r="G7" s="25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</row>
    <row r="8" customFormat="false" ht="15.75" hidden="false" customHeight="true" outlineLevel="0" collapsed="false">
      <c r="A8" s="27" t="str">
        <f aca="false">A47</f>
        <v>1.1. Coletor Turno Dia</v>
      </c>
      <c r="B8" s="28"/>
      <c r="C8" s="29"/>
      <c r="D8" s="29"/>
      <c r="E8" s="30" t="n">
        <f aca="false">F58</f>
        <v>64872.5351524041</v>
      </c>
      <c r="F8" s="31" t="n">
        <f aca="false">IFERROR(E8/$E$26,0)</f>
        <v>0.175885763698378</v>
      </c>
      <c r="G8" s="11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</row>
    <row r="9" customFormat="false" ht="15.5" hidden="false" customHeight="true" outlineLevel="0" collapsed="false">
      <c r="A9" s="27" t="str">
        <f aca="false">A60</f>
        <v>1.2. Coletor  veículo médio porte</v>
      </c>
      <c r="B9" s="28"/>
      <c r="C9" s="29"/>
      <c r="D9" s="29"/>
      <c r="E9" s="30" t="n">
        <f aca="false">F71</f>
        <v>10812.0891920674</v>
      </c>
      <c r="F9" s="31" t="n">
        <f aca="false">IFERROR(E9/$E$26,0)</f>
        <v>0.0293142939497298</v>
      </c>
      <c r="G9" s="11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</row>
    <row r="10" customFormat="false" ht="15.75" hidden="false" customHeight="true" outlineLevel="0" collapsed="false">
      <c r="A10" s="27" t="str">
        <f aca="false">A91</f>
        <v>1.3. Motorista Turno do Dia ( 4 caminhões)</v>
      </c>
      <c r="B10" s="28"/>
      <c r="C10" s="29"/>
      <c r="D10" s="29"/>
      <c r="E10" s="30" t="n">
        <f aca="false">F104</f>
        <v>27151.5571502276</v>
      </c>
      <c r="F10" s="31" t="n">
        <f aca="false">IFERROR(E10/$E$26,0)</f>
        <v>0.0736147023351062</v>
      </c>
      <c r="G10" s="11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customFormat="false" ht="15.75" hidden="true" customHeight="true" outlineLevel="0" collapsed="false">
      <c r="A11" s="27" t="str">
        <f aca="false">A122</f>
        <v>1.4. Motorista Turno Noite</v>
      </c>
      <c r="B11" s="28"/>
      <c r="C11" s="29"/>
      <c r="D11" s="29"/>
      <c r="E11" s="30" t="n">
        <f aca="false">F141</f>
        <v>0</v>
      </c>
      <c r="F11" s="31" t="n">
        <f aca="false">IFERROR(E11/$E$26,0)</f>
        <v>0</v>
      </c>
      <c r="G11" s="11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customFormat="false" ht="15.75" hidden="false" customHeight="true" outlineLevel="0" collapsed="false">
      <c r="A12" s="27" t="str">
        <f aca="false">A106</f>
        <v>1.3.1 Motorista Turno do Dia (para veículo de médio porte)</v>
      </c>
      <c r="B12" s="28"/>
      <c r="C12" s="29"/>
      <c r="D12" s="29"/>
      <c r="E12" s="30" t="n">
        <f aca="false">F119</f>
        <v>13575.7785751138</v>
      </c>
      <c r="F12" s="31" t="n">
        <f aca="false">IFERROR(E12/$E$26,0)</f>
        <v>0.0368073511675531</v>
      </c>
      <c r="G12" s="11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</row>
    <row r="13" customFormat="false" ht="15.75" hidden="false" customHeight="true" outlineLevel="0" collapsed="false">
      <c r="A13" s="27" t="str">
        <f aca="false">A143</f>
        <v>1.4 Líder de equipe (Administração e manutenção)</v>
      </c>
      <c r="B13" s="28"/>
      <c r="C13" s="29"/>
      <c r="D13" s="29"/>
      <c r="E13" s="30" t="n">
        <f aca="false">F157</f>
        <v>9502.69920572296</v>
      </c>
      <c r="F13" s="31" t="n">
        <f aca="false">IFERROR(E13/$E$26,0)</f>
        <v>0.0257642082750116</v>
      </c>
      <c r="G13" s="11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customFormat="false" ht="15.75" hidden="false" customHeight="true" outlineLevel="0" collapsed="false">
      <c r="A14" s="27" t="str">
        <f aca="false">A160</f>
        <v>1.5. Vale Transporte</v>
      </c>
      <c r="B14" s="28"/>
      <c r="C14" s="29"/>
      <c r="D14" s="29"/>
      <c r="E14" s="30" t="n">
        <f aca="false">F167</f>
        <v>4083.8196</v>
      </c>
      <c r="F14" s="31" t="n">
        <f aca="false">IFERROR(E14/$E$26,0)</f>
        <v>0.0110722623597944</v>
      </c>
      <c r="G14" s="1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</row>
    <row r="15" customFormat="false" ht="15.75" hidden="false" customHeight="true" outlineLevel="0" collapsed="false">
      <c r="A15" s="27" t="str">
        <f aca="false">A169</f>
        <v>1.6. Vale-refeição (diário)</v>
      </c>
      <c r="B15" s="32"/>
      <c r="C15" s="29"/>
      <c r="D15" s="29"/>
      <c r="E15" s="30" t="n">
        <f aca="false">F174</f>
        <v>16389.1</v>
      </c>
      <c r="F15" s="31" t="n">
        <f aca="false">IFERROR(E15/$E$26,0)</f>
        <v>0.044434973337438</v>
      </c>
      <c r="G15" s="11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</row>
    <row r="16" customFormat="false" ht="15.75" hidden="false" customHeight="true" outlineLevel="0" collapsed="false">
      <c r="A16" s="27" t="str">
        <f aca="false">A176</f>
        <v>1.7. Auxílio Alimentação (mensal)</v>
      </c>
      <c r="B16" s="28"/>
      <c r="C16" s="29"/>
      <c r="D16" s="29"/>
      <c r="E16" s="30" t="n">
        <f aca="false">SUM(F180,F187)</f>
        <v>8400</v>
      </c>
      <c r="F16" s="31" t="n">
        <f aca="false">IFERROR(E16/$E$26,0)</f>
        <v>0.0227745133066782</v>
      </c>
      <c r="G16" s="11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</row>
    <row r="17" customFormat="false" ht="15.75" hidden="false" customHeight="true" outlineLevel="0" collapsed="false">
      <c r="A17" s="27" t="str">
        <f aca="false">A189</f>
        <v>1.8. Seguro de vida em grupo</v>
      </c>
      <c r="B17" s="28"/>
      <c r="C17" s="29"/>
      <c r="D17" s="29"/>
      <c r="E17" s="30" t="n">
        <f aca="false">F193</f>
        <v>588</v>
      </c>
      <c r="F17" s="31" t="n">
        <f aca="false">IFERROR(E17/$E$26,0)</f>
        <v>0.00159421593146747</v>
      </c>
      <c r="G17" s="11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</row>
    <row r="18" customFormat="false" ht="15.75" hidden="false" customHeight="true" outlineLevel="0" collapsed="false">
      <c r="A18" s="27" t="str">
        <f aca="false">A195</f>
        <v>1.9.  Prêmio assiduidade em grupo </v>
      </c>
      <c r="B18" s="28"/>
      <c r="C18" s="29"/>
      <c r="D18" s="29"/>
      <c r="E18" s="30" t="n">
        <f aca="false">F199</f>
        <v>1822.8</v>
      </c>
      <c r="F18" s="31" t="n">
        <f aca="false">IFERROR(E18/$E$26,0)</f>
        <v>0.00494206938754917</v>
      </c>
      <c r="G18" s="11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</row>
    <row r="19" customFormat="false" ht="15.75" hidden="false" customHeight="true" outlineLevel="0" collapsed="false">
      <c r="A19" s="27" t="str">
        <f aca="false">A201</f>
        <v>1.10.  Plano de Benefício Social Familiar</v>
      </c>
      <c r="B19" s="28"/>
      <c r="C19" s="29"/>
      <c r="D19" s="29"/>
      <c r="E19" s="30" t="n">
        <f aca="false">F204</f>
        <v>357.28</v>
      </c>
      <c r="F19" s="31" t="n">
        <f aca="false">IFERROR(E19/$E$26,0)</f>
        <v>0.000968675965977379</v>
      </c>
      <c r="G19" s="11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</row>
    <row r="20" customFormat="false" ht="15.75" hidden="false" customHeight="true" outlineLevel="0" collapsed="false">
      <c r="A20" s="33" t="str">
        <f aca="false">A208</f>
        <v>2. Uniformes e Equipamentos de Proteção Individual</v>
      </c>
      <c r="B20" s="33"/>
      <c r="C20" s="33"/>
      <c r="D20" s="22"/>
      <c r="E20" s="23" t="n">
        <f aca="false">+F256</f>
        <v>6774.4075</v>
      </c>
      <c r="F20" s="24" t="n">
        <f aca="false">IFERROR(E20/$E$26,0)</f>
        <v>0.018367123065906</v>
      </c>
      <c r="G20" s="25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</row>
    <row r="21" customFormat="false" ht="15.75" hidden="false" customHeight="true" outlineLevel="0" collapsed="false">
      <c r="A21" s="33" t="str">
        <f aca="false">A258</f>
        <v>3. Veículos e Equipamentos</v>
      </c>
      <c r="B21" s="34"/>
      <c r="C21" s="22"/>
      <c r="D21" s="22"/>
      <c r="E21" s="23" t="n">
        <f aca="false">+F486</f>
        <v>119060.892500876</v>
      </c>
      <c r="F21" s="24" t="n">
        <f aca="false">IFERROR(E21/$E$26,0)</f>
        <v>0.322804033400736</v>
      </c>
      <c r="G21" s="25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</row>
    <row r="22" customFormat="false" ht="15.75" hidden="false" customHeight="true" outlineLevel="0" collapsed="false">
      <c r="A22" s="33" t="str">
        <f aca="false">A488</f>
        <v>4. Ferramentas e Materiais de Consumo</v>
      </c>
      <c r="B22" s="34"/>
      <c r="C22" s="22"/>
      <c r="D22" s="22"/>
      <c r="E22" s="23" t="n">
        <f aca="false">+F499</f>
        <v>1615.87166666667</v>
      </c>
      <c r="F22" s="24" t="n">
        <f aca="false">IFERROR(E22/$E$26,0)</f>
        <v>0.00438103461599814</v>
      </c>
      <c r="G22" s="2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</row>
    <row r="23" customFormat="false" ht="15.75" hidden="false" customHeight="true" outlineLevel="0" collapsed="false">
      <c r="A23" s="33" t="str">
        <f aca="false">A501</f>
        <v>5. Monitoramento da Frota</v>
      </c>
      <c r="B23" s="34"/>
      <c r="C23" s="22"/>
      <c r="D23" s="22"/>
      <c r="E23" s="23" t="n">
        <f aca="false">+F510</f>
        <v>1283.33333333333</v>
      </c>
      <c r="F23" s="24" t="n">
        <f aca="false">IFERROR(E23/$E$26,0)</f>
        <v>0.00347943953296472</v>
      </c>
      <c r="G23" s="25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</row>
    <row r="24" customFormat="false" ht="15.75" hidden="false" customHeight="true" outlineLevel="0" collapsed="false">
      <c r="A24" s="33" t="str">
        <f aca="false">A512</f>
        <v>6. Pesagem</v>
      </c>
      <c r="B24" s="34"/>
      <c r="C24" s="22"/>
      <c r="D24" s="22"/>
      <c r="E24" s="23" t="n">
        <f aca="false">F516</f>
        <v>3810</v>
      </c>
      <c r="F24" s="24" t="n">
        <f aca="false">IFERROR(E24/$E$26,0)</f>
        <v>0.010329868535529</v>
      </c>
      <c r="G24" s="25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</row>
    <row r="25" customFormat="false" ht="15.75" hidden="false" customHeight="true" outlineLevel="0" collapsed="false">
      <c r="A25" s="33" t="str">
        <f aca="false">A524</f>
        <v>7. Benefícios e Despesas Indiretas - BDI</v>
      </c>
      <c r="B25" s="34"/>
      <c r="C25" s="22"/>
      <c r="D25" s="22"/>
      <c r="E25" s="35" t="n">
        <f aca="false">+F530</f>
        <v>78733.1844760582</v>
      </c>
      <c r="F25" s="24" t="n">
        <f aca="false">IFERROR(E25/$E$26,0)</f>
        <v>0.213465471134183</v>
      </c>
      <c r="G25" s="25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</row>
    <row r="26" customFormat="false" ht="15.75" hidden="false" customHeight="true" outlineLevel="0" collapsed="false">
      <c r="A26" s="36" t="s">
        <v>6</v>
      </c>
      <c r="B26" s="37"/>
      <c r="C26" s="38"/>
      <c r="D26" s="38"/>
      <c r="E26" s="39" t="n">
        <f aca="false">E7+E20+E21+E22+E23+E25+E24</f>
        <v>368833.34835247</v>
      </c>
      <c r="F26" s="40" t="n">
        <f aca="false">F7+F20+F21+F22+F23+F25+F24</f>
        <v>1</v>
      </c>
      <c r="G26" s="1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</row>
    <row r="29" customFormat="false" ht="15" hidden="false" customHeight="true" outlineLevel="0" collapsed="false">
      <c r="A29" s="14" t="s">
        <v>7</v>
      </c>
      <c r="B29" s="14"/>
      <c r="C29" s="14"/>
      <c r="D29" s="14"/>
      <c r="E29" s="14"/>
      <c r="G29" s="1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</row>
    <row r="30" customFormat="false" ht="15" hidden="false" customHeight="true" outlineLevel="0" collapsed="false">
      <c r="A30" s="41" t="s">
        <v>8</v>
      </c>
      <c r="B30" s="41"/>
      <c r="C30" s="41"/>
      <c r="D30" s="41"/>
      <c r="E30" s="42" t="s">
        <v>9</v>
      </c>
      <c r="G30" s="11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</row>
    <row r="31" customFormat="false" ht="20.35" hidden="false" customHeight="true" outlineLevel="0" collapsed="false">
      <c r="A31" s="43" t="str">
        <f aca="false">+A47</f>
        <v>1.1. Coletor Turno Dia</v>
      </c>
      <c r="B31" s="44"/>
      <c r="C31" s="44"/>
      <c r="D31" s="45"/>
      <c r="E31" s="46" t="n">
        <v>12</v>
      </c>
      <c r="G31" s="11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</row>
    <row r="32" customFormat="false" ht="18.3" hidden="false" customHeight="true" outlineLevel="0" collapsed="false">
      <c r="A32" s="47" t="str">
        <f aca="false">A60</f>
        <v>1.2. Coletor  veículo médio porte</v>
      </c>
      <c r="B32" s="48"/>
      <c r="C32" s="48"/>
      <c r="D32" s="49"/>
      <c r="E32" s="50" t="n">
        <v>2</v>
      </c>
      <c r="G32" s="11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customFormat="false" ht="15" hidden="false" customHeight="true" outlineLevel="0" collapsed="false">
      <c r="A33" s="47" t="str">
        <f aca="false">+A91</f>
        <v>1.3. Motorista Turno do Dia ( 4 caminhões)</v>
      </c>
      <c r="B33" s="48"/>
      <c r="C33" s="48"/>
      <c r="D33" s="49"/>
      <c r="E33" s="50" t="n">
        <v>4</v>
      </c>
      <c r="G33" s="11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customFormat="false" ht="15" hidden="false" customHeight="true" outlineLevel="0" collapsed="false">
      <c r="A34" s="47" t="s">
        <v>10</v>
      </c>
      <c r="B34" s="48"/>
      <c r="C34" s="48"/>
      <c r="D34" s="49"/>
      <c r="E34" s="50" t="n">
        <f aca="false">E32</f>
        <v>2</v>
      </c>
      <c r="G34" s="11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</row>
    <row r="35" customFormat="false" ht="15" hidden="true" customHeight="true" outlineLevel="0" collapsed="false">
      <c r="A35" s="47" t="str">
        <f aca="false">+A122</f>
        <v>1.4. Motorista Turno Noite</v>
      </c>
      <c r="B35" s="48"/>
      <c r="C35" s="48"/>
      <c r="D35" s="49"/>
      <c r="E35" s="50" t="n">
        <f aca="false">C140</f>
        <v>0</v>
      </c>
      <c r="G35" s="1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customFormat="false" ht="15" hidden="false" customHeight="true" outlineLevel="0" collapsed="false">
      <c r="A36" s="47" t="str">
        <f aca="false">A143</f>
        <v>1.4 Líder de equipe (Administração e manutenção)</v>
      </c>
      <c r="B36" s="48"/>
      <c r="C36" s="48"/>
      <c r="D36" s="49"/>
      <c r="E36" s="50" t="n">
        <v>1</v>
      </c>
      <c r="G36" s="11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customFormat="false" ht="15" hidden="false" customHeight="true" outlineLevel="0" collapsed="false">
      <c r="A37" s="51" t="s">
        <v>11</v>
      </c>
      <c r="B37" s="52"/>
      <c r="C37" s="52"/>
      <c r="D37" s="53"/>
      <c r="E37" s="54" t="n">
        <f aca="false">SUM(E31:E36)</f>
        <v>21</v>
      </c>
      <c r="G37" s="11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customFormat="false" ht="15" hidden="false" customHeight="true" outlineLevel="0" collapsed="false">
      <c r="A38" s="55"/>
      <c r="B38" s="56"/>
      <c r="C38" s="2"/>
      <c r="E38" s="57"/>
      <c r="G38" s="11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</row>
    <row r="39" customFormat="false" ht="15" hidden="false" customHeight="true" outlineLevel="0" collapsed="false">
      <c r="A39" s="58" t="s">
        <v>12</v>
      </c>
      <c r="B39" s="58"/>
      <c r="C39" s="58"/>
      <c r="D39" s="58"/>
      <c r="E39" s="42" t="s">
        <v>9</v>
      </c>
      <c r="F39" s="1"/>
      <c r="G39" s="11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customFormat="false" ht="15" hidden="false" customHeight="true" outlineLevel="0" collapsed="false">
      <c r="A40" s="59" t="str">
        <f aca="false">+A260</f>
        <v>3.1. Veículo Coletor Compactador 15 m³ + 1 RESERVA</v>
      </c>
      <c r="B40" s="60"/>
      <c r="C40" s="60"/>
      <c r="D40" s="61"/>
      <c r="E40" s="62" t="n">
        <v>5</v>
      </c>
      <c r="F40" s="1"/>
      <c r="G40" s="11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</row>
    <row r="41" customFormat="false" ht="15" hidden="false" customHeight="true" outlineLevel="0" collapsed="false">
      <c r="A41" s="59" t="str">
        <f aca="false">+A347</f>
        <v>3.2 Veículo de menor porte</v>
      </c>
      <c r="B41" s="60"/>
      <c r="C41" s="60"/>
      <c r="D41" s="61"/>
      <c r="E41" s="62" t="n">
        <v>1</v>
      </c>
      <c r="F41" s="1"/>
      <c r="G41" s="11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</row>
    <row r="42" customFormat="false" ht="12.8" hidden="false" customHeight="false" outlineLevel="0" collapsed="false">
      <c r="A42" s="59" t="str">
        <f aca="false">A408</f>
        <v>3.3. Veículo Coletor Médio Porte (coleta de orgânico e recicláveis em locais de difícil acesso)</v>
      </c>
      <c r="B42" s="60"/>
      <c r="C42" s="60"/>
      <c r="D42" s="61"/>
      <c r="E42" s="62" t="n">
        <f aca="false">E32</f>
        <v>2</v>
      </c>
      <c r="F42" s="1"/>
      <c r="G42" s="11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</row>
    <row r="43" customFormat="false" ht="15.75" hidden="true" customHeight="true" outlineLevel="0" collapsed="false">
      <c r="A43" s="63" t="s">
        <v>13</v>
      </c>
      <c r="B43" s="64" t="n">
        <v>0.7158</v>
      </c>
      <c r="C43" s="25"/>
      <c r="D43" s="65"/>
      <c r="E43" s="66"/>
      <c r="F43" s="26"/>
      <c r="G43" s="25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</row>
    <row r="44" customFormat="false" ht="15.75" hidden="false" customHeight="true" outlineLevel="0" collapsed="false">
      <c r="A44" s="2"/>
      <c r="B44" s="2"/>
      <c r="C44" s="2"/>
      <c r="D44" s="67"/>
      <c r="E44" s="68"/>
      <c r="F44" s="1"/>
      <c r="G44" s="11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</row>
    <row r="45" customFormat="false" ht="13.15" hidden="false" customHeight="true" outlineLevel="0" collapsed="false">
      <c r="A45" s="26" t="s">
        <v>14</v>
      </c>
    </row>
    <row r="46" customFormat="false" ht="11.25" hidden="false" customHeight="true" outlineLevel="0" collapsed="false"/>
    <row r="47" customFormat="false" ht="13.9" hidden="false" customHeight="true" outlineLevel="0" collapsed="false">
      <c r="A47" s="69" t="s">
        <v>15</v>
      </c>
    </row>
    <row r="48" customFormat="false" ht="13.9" hidden="false" customHeight="true" outlineLevel="0" collapsed="false">
      <c r="A48" s="70" t="s">
        <v>16</v>
      </c>
      <c r="B48" s="71" t="s">
        <v>17</v>
      </c>
      <c r="C48" s="71" t="s">
        <v>9</v>
      </c>
      <c r="D48" s="72" t="s">
        <v>18</v>
      </c>
      <c r="E48" s="72" t="s">
        <v>19</v>
      </c>
      <c r="F48" s="73" t="s">
        <v>20</v>
      </c>
    </row>
    <row r="49" customFormat="false" ht="13.15" hidden="false" customHeight="true" outlineLevel="0" collapsed="false">
      <c r="A49" s="74" t="s">
        <v>21</v>
      </c>
      <c r="B49" s="75" t="s">
        <v>22</v>
      </c>
      <c r="C49" s="75" t="n">
        <v>1</v>
      </c>
      <c r="D49" s="76" t="n">
        <f aca="false">'VALORES BASE'!B1</f>
        <v>2082.31</v>
      </c>
      <c r="E49" s="77" t="n">
        <f aca="false">C49*D49</f>
        <v>2082.31</v>
      </c>
    </row>
    <row r="50" customFormat="false" ht="12.8" hidden="false" customHeight="false" outlineLevel="0" collapsed="false">
      <c r="A50" s="78" t="s">
        <v>23</v>
      </c>
      <c r="B50" s="79" t="s">
        <v>24</v>
      </c>
      <c r="C50" s="80" t="n">
        <f aca="false">'VALORES BASE'!B58</f>
        <v>7.92</v>
      </c>
      <c r="D50" s="81" t="n">
        <f aca="false">D49/220*2</f>
        <v>18.9300909090909</v>
      </c>
      <c r="E50" s="81" t="n">
        <f aca="false">C50*D50</f>
        <v>149.92632</v>
      </c>
    </row>
    <row r="51" customFormat="false" ht="13.15" hidden="false" customHeight="true" outlineLevel="0" collapsed="false">
      <c r="A51" s="78" t="s">
        <v>25</v>
      </c>
      <c r="B51" s="79" t="s">
        <v>24</v>
      </c>
      <c r="C51" s="80"/>
      <c r="D51" s="81" t="n">
        <f aca="false">D49/220*1.5</f>
        <v>14.1975681818182</v>
      </c>
      <c r="E51" s="81" t="n">
        <f aca="false">C51*D51</f>
        <v>0</v>
      </c>
    </row>
    <row r="52" customFormat="false" ht="13.15" hidden="false" customHeight="true" outlineLevel="0" collapsed="false">
      <c r="A52" s="78" t="s">
        <v>26</v>
      </c>
      <c r="B52" s="79" t="s">
        <v>27</v>
      </c>
      <c r="D52" s="81" t="n">
        <f aca="false">63/302*(SUM(E50:E51))</f>
        <v>31.276020397351</v>
      </c>
      <c r="E52" s="81" t="n">
        <f aca="false">D52</f>
        <v>31.276020397351</v>
      </c>
    </row>
    <row r="53" customFormat="false" ht="12.8" hidden="false" customHeight="false" outlineLevel="0" collapsed="false">
      <c r="A53" s="78" t="s">
        <v>28</v>
      </c>
      <c r="B53" s="79" t="s">
        <v>5</v>
      </c>
      <c r="C53" s="79" t="n">
        <v>40</v>
      </c>
      <c r="D53" s="81" t="n">
        <f aca="false">SUM(E49:E52)</f>
        <v>2263.51234039735</v>
      </c>
      <c r="E53" s="81" t="n">
        <f aca="false">C53*D53/100</f>
        <v>905.404936158941</v>
      </c>
    </row>
    <row r="54" customFormat="false" ht="12.8" hidden="false" customHeight="false" outlineLevel="0" collapsed="false">
      <c r="A54" s="82" t="s">
        <v>29</v>
      </c>
      <c r="B54" s="83"/>
      <c r="C54" s="83"/>
      <c r="D54" s="84"/>
      <c r="E54" s="85" t="n">
        <f aca="false">SUM(E49:E53)</f>
        <v>3168.91727655629</v>
      </c>
    </row>
    <row r="55" customFormat="false" ht="12.8" hidden="false" customHeight="false" outlineLevel="0" collapsed="false">
      <c r="A55" s="78" t="s">
        <v>30</v>
      </c>
      <c r="B55" s="79" t="s">
        <v>5</v>
      </c>
      <c r="C55" s="86" t="n">
        <f aca="false">'2.Encargos Sociais'!$C$31*100</f>
        <v>70.595952</v>
      </c>
      <c r="D55" s="81" t="n">
        <f aca="false">E54</f>
        <v>3168.91727655629</v>
      </c>
      <c r="E55" s="81" t="n">
        <f aca="false">D55*C55/100</f>
        <v>2237.12731947739</v>
      </c>
    </row>
    <row r="56" customFormat="false" ht="12.8" hidden="false" customHeight="false" outlineLevel="0" collapsed="false">
      <c r="A56" s="82" t="s">
        <v>31</v>
      </c>
      <c r="B56" s="83"/>
      <c r="C56" s="83"/>
      <c r="D56" s="84"/>
      <c r="E56" s="85" t="n">
        <f aca="false">E54+E55</f>
        <v>5406.04459603368</v>
      </c>
    </row>
    <row r="57" customFormat="false" ht="12.8" hidden="false" customHeight="false" outlineLevel="0" collapsed="false">
      <c r="A57" s="78" t="s">
        <v>32</v>
      </c>
      <c r="B57" s="79" t="s">
        <v>33</v>
      </c>
      <c r="C57" s="87" t="n">
        <f aca="false">E31</f>
        <v>12</v>
      </c>
      <c r="D57" s="81" t="n">
        <f aca="false">E56</f>
        <v>5406.04459603368</v>
      </c>
      <c r="E57" s="81" t="n">
        <f aca="false">C57*D57</f>
        <v>64872.5351524041</v>
      </c>
      <c r="G57" s="11"/>
    </row>
    <row r="58" customFormat="false" ht="13.9" hidden="false" customHeight="true" outlineLevel="0" collapsed="false">
      <c r="D58" s="88" t="s">
        <v>34</v>
      </c>
      <c r="E58" s="89" t="n">
        <f aca="false">'FATOR FU_OFICIAL'!F5</f>
        <v>1</v>
      </c>
      <c r="F58" s="90" t="n">
        <f aca="false">E57*E58</f>
        <v>64872.5351524041</v>
      </c>
      <c r="G58" s="11"/>
    </row>
    <row r="59" customFormat="false" ht="13.9" hidden="false" customHeight="true" outlineLevel="0" collapsed="false">
      <c r="D59" s="88"/>
      <c r="G59" s="11"/>
    </row>
    <row r="60" customFormat="false" ht="13.9" hidden="false" customHeight="true" outlineLevel="0" collapsed="false">
      <c r="A60" s="69" t="s">
        <v>35</v>
      </c>
      <c r="G60" s="11"/>
    </row>
    <row r="61" customFormat="false" ht="13.9" hidden="false" customHeight="true" outlineLevel="0" collapsed="false">
      <c r="A61" s="70" t="s">
        <v>16</v>
      </c>
      <c r="B61" s="71" t="s">
        <v>17</v>
      </c>
      <c r="C61" s="71" t="s">
        <v>9</v>
      </c>
      <c r="D61" s="72" t="s">
        <v>18</v>
      </c>
      <c r="E61" s="72" t="s">
        <v>19</v>
      </c>
      <c r="F61" s="73" t="s">
        <v>20</v>
      </c>
      <c r="G61" s="11"/>
    </row>
    <row r="62" customFormat="false" ht="13.9" hidden="false" customHeight="true" outlineLevel="0" collapsed="false">
      <c r="A62" s="74" t="s">
        <v>21</v>
      </c>
      <c r="B62" s="75" t="s">
        <v>22</v>
      </c>
      <c r="C62" s="75" t="n">
        <v>1</v>
      </c>
      <c r="D62" s="76" t="n">
        <f aca="false">D49</f>
        <v>2082.31</v>
      </c>
      <c r="E62" s="77" t="n">
        <f aca="false">C62*D62</f>
        <v>2082.31</v>
      </c>
      <c r="G62" s="11"/>
    </row>
    <row r="63" customFormat="false" ht="13.9" hidden="false" customHeight="true" outlineLevel="0" collapsed="false">
      <c r="A63" s="78" t="s">
        <v>23</v>
      </c>
      <c r="B63" s="79" t="s">
        <v>24</v>
      </c>
      <c r="C63" s="80" t="n">
        <f aca="false">C50</f>
        <v>7.92</v>
      </c>
      <c r="D63" s="81" t="n">
        <f aca="false">D62/220*2</f>
        <v>18.9300909090909</v>
      </c>
      <c r="E63" s="81" t="n">
        <f aca="false">C63*D63</f>
        <v>149.92632</v>
      </c>
      <c r="G63" s="11"/>
    </row>
    <row r="64" customFormat="false" ht="13.9" hidden="false" customHeight="true" outlineLevel="0" collapsed="false">
      <c r="A64" s="78" t="s">
        <v>25</v>
      </c>
      <c r="B64" s="79" t="s">
        <v>24</v>
      </c>
      <c r="C64" s="80"/>
      <c r="D64" s="81" t="n">
        <f aca="false">D62/220*1.5</f>
        <v>14.1975681818182</v>
      </c>
      <c r="E64" s="81" t="n">
        <f aca="false">C64*D64</f>
        <v>0</v>
      </c>
      <c r="G64" s="11"/>
    </row>
    <row r="65" customFormat="false" ht="13.9" hidden="false" customHeight="true" outlineLevel="0" collapsed="false">
      <c r="A65" s="78" t="s">
        <v>26</v>
      </c>
      <c r="B65" s="79" t="s">
        <v>27</v>
      </c>
      <c r="D65" s="81" t="n">
        <f aca="false">63/302*(SUM(E63:E64))</f>
        <v>31.276020397351</v>
      </c>
      <c r="E65" s="81" t="n">
        <f aca="false">D65</f>
        <v>31.276020397351</v>
      </c>
      <c r="G65" s="11"/>
    </row>
    <row r="66" customFormat="false" ht="13.9" hidden="false" customHeight="true" outlineLevel="0" collapsed="false">
      <c r="A66" s="78" t="s">
        <v>28</v>
      </c>
      <c r="B66" s="79" t="s">
        <v>5</v>
      </c>
      <c r="C66" s="79" t="n">
        <v>40</v>
      </c>
      <c r="D66" s="81" t="n">
        <f aca="false">SUM(E62:E65)</f>
        <v>2263.51234039735</v>
      </c>
      <c r="E66" s="81" t="n">
        <f aca="false">C66*D66/100</f>
        <v>905.404936158941</v>
      </c>
      <c r="G66" s="11"/>
    </row>
    <row r="67" customFormat="false" ht="13.9" hidden="false" customHeight="true" outlineLevel="0" collapsed="false">
      <c r="A67" s="82" t="s">
        <v>29</v>
      </c>
      <c r="B67" s="83"/>
      <c r="C67" s="83"/>
      <c r="D67" s="84"/>
      <c r="E67" s="85" t="n">
        <f aca="false">SUM(E62:E66)</f>
        <v>3168.91727655629</v>
      </c>
      <c r="G67" s="11"/>
    </row>
    <row r="68" customFormat="false" ht="13.9" hidden="false" customHeight="true" outlineLevel="0" collapsed="false">
      <c r="A68" s="78" t="s">
        <v>30</v>
      </c>
      <c r="B68" s="79" t="s">
        <v>5</v>
      </c>
      <c r="C68" s="86" t="n">
        <f aca="false">'2.Encargos Sociais'!$C$31*100</f>
        <v>70.595952</v>
      </c>
      <c r="D68" s="81" t="n">
        <f aca="false">E67</f>
        <v>3168.91727655629</v>
      </c>
      <c r="E68" s="81" t="n">
        <f aca="false">D68*C68/100</f>
        <v>2237.12731947739</v>
      </c>
      <c r="G68" s="11"/>
    </row>
    <row r="69" customFormat="false" ht="13.9" hidden="false" customHeight="true" outlineLevel="0" collapsed="false">
      <c r="A69" s="82" t="s">
        <v>31</v>
      </c>
      <c r="B69" s="83"/>
      <c r="C69" s="83"/>
      <c r="D69" s="84"/>
      <c r="E69" s="85" t="n">
        <f aca="false">E67+E68</f>
        <v>5406.04459603368</v>
      </c>
      <c r="G69" s="11"/>
    </row>
    <row r="70" customFormat="false" ht="13.9" hidden="false" customHeight="true" outlineLevel="0" collapsed="false">
      <c r="A70" s="78" t="s">
        <v>32</v>
      </c>
      <c r="B70" s="79" t="s">
        <v>33</v>
      </c>
      <c r="C70" s="87" t="n">
        <f aca="false">E32</f>
        <v>2</v>
      </c>
      <c r="D70" s="81" t="n">
        <f aca="false">E69</f>
        <v>5406.04459603368</v>
      </c>
      <c r="E70" s="81" t="n">
        <f aca="false">C70*D70</f>
        <v>10812.0891920674</v>
      </c>
      <c r="G70" s="11"/>
    </row>
    <row r="71" customFormat="false" ht="13.9" hidden="false" customHeight="true" outlineLevel="0" collapsed="false">
      <c r="D71" s="88" t="s">
        <v>34</v>
      </c>
      <c r="E71" s="89" t="n">
        <f aca="false">'FATOR FU_OFICIAL'!F9</f>
        <v>1</v>
      </c>
      <c r="F71" s="90" t="n">
        <f aca="false">E70*E71</f>
        <v>10812.0891920674</v>
      </c>
      <c r="G71" s="11"/>
    </row>
    <row r="72" customFormat="false" ht="12.8" hidden="true" customHeight="false" outlineLevel="0" collapsed="false">
      <c r="A72" s="1" t="s">
        <v>36</v>
      </c>
    </row>
    <row r="73" customFormat="false" ht="12.8" hidden="true" customHeight="false" outlineLevel="0" collapsed="false">
      <c r="A73" s="70" t="s">
        <v>16</v>
      </c>
      <c r="B73" s="71" t="s">
        <v>17</v>
      </c>
      <c r="C73" s="71" t="s">
        <v>9</v>
      </c>
      <c r="D73" s="72" t="s">
        <v>18</v>
      </c>
      <c r="E73" s="72" t="s">
        <v>19</v>
      </c>
      <c r="F73" s="73" t="s">
        <v>20</v>
      </c>
    </row>
    <row r="74" customFormat="false" ht="12.8" hidden="true" customHeight="false" outlineLevel="0" collapsed="false">
      <c r="A74" s="74" t="s">
        <v>21</v>
      </c>
      <c r="B74" s="75" t="s">
        <v>22</v>
      </c>
      <c r="C74" s="75" t="n">
        <v>1</v>
      </c>
      <c r="D74" s="77" t="n">
        <f aca="false">D49</f>
        <v>2082.31</v>
      </c>
      <c r="E74" s="77" t="n">
        <f aca="false">C74*D74</f>
        <v>2082.31</v>
      </c>
    </row>
    <row r="75" customFormat="false" ht="12.8" hidden="true" customHeight="false" outlineLevel="0" collapsed="false">
      <c r="A75" s="78" t="s">
        <v>37</v>
      </c>
      <c r="B75" s="79" t="s">
        <v>38</v>
      </c>
      <c r="C75" s="80"/>
      <c r="D75" s="81"/>
      <c r="E75" s="81"/>
    </row>
    <row r="76" customFormat="false" ht="12.8" hidden="true" customHeight="false" outlineLevel="0" collapsed="false">
      <c r="A76" s="78"/>
      <c r="B76" s="79" t="s">
        <v>39</v>
      </c>
      <c r="C76" s="91" t="n">
        <f aca="false">C75*8/7</f>
        <v>0</v>
      </c>
      <c r="D76" s="81" t="n">
        <f aca="false">D74/220*0.2</f>
        <v>1.89300909090909</v>
      </c>
      <c r="E76" s="81" t="n">
        <f aca="false">C76*D76</f>
        <v>0</v>
      </c>
    </row>
    <row r="77" customFormat="false" ht="12.8" hidden="true" customHeight="false" outlineLevel="0" collapsed="false">
      <c r="A77" s="78" t="s">
        <v>23</v>
      </c>
      <c r="B77" s="79" t="s">
        <v>24</v>
      </c>
      <c r="C77" s="80"/>
      <c r="D77" s="81" t="n">
        <f aca="false">D74/220*2</f>
        <v>18.9300909090909</v>
      </c>
      <c r="E77" s="81" t="n">
        <f aca="false">C77*D77</f>
        <v>0</v>
      </c>
    </row>
    <row r="78" customFormat="false" ht="12.8" hidden="true" customHeight="false" outlineLevel="0" collapsed="false">
      <c r="A78" s="78" t="s">
        <v>40</v>
      </c>
      <c r="B78" s="79" t="s">
        <v>38</v>
      </c>
      <c r="C78" s="80"/>
      <c r="D78" s="81"/>
      <c r="E78" s="81"/>
    </row>
    <row r="79" customFormat="false" ht="12.8" hidden="true" customHeight="false" outlineLevel="0" collapsed="false">
      <c r="A79" s="78"/>
      <c r="B79" s="79" t="s">
        <v>39</v>
      </c>
      <c r="C79" s="91" t="n">
        <f aca="false">C78*8/7</f>
        <v>0</v>
      </c>
      <c r="D79" s="81" t="n">
        <f aca="false">D74/220*2*1.2</f>
        <v>22.7161090909091</v>
      </c>
      <c r="E79" s="81" t="n">
        <f aca="false">C79*D79</f>
        <v>0</v>
      </c>
    </row>
    <row r="80" customFormat="false" ht="12.8" hidden="true" customHeight="false" outlineLevel="0" collapsed="false">
      <c r="A80" s="78" t="s">
        <v>25</v>
      </c>
      <c r="B80" s="79" t="s">
        <v>24</v>
      </c>
      <c r="C80" s="80"/>
      <c r="D80" s="81" t="n">
        <f aca="false">D74/220*1.5</f>
        <v>14.1975681818182</v>
      </c>
      <c r="E80" s="81" t="n">
        <f aca="false">C80*D80</f>
        <v>0</v>
      </c>
    </row>
    <row r="81" customFormat="false" ht="12.8" hidden="true" customHeight="false" outlineLevel="0" collapsed="false">
      <c r="A81" s="78" t="s">
        <v>41</v>
      </c>
      <c r="B81" s="79" t="s">
        <v>38</v>
      </c>
      <c r="C81" s="80"/>
      <c r="D81" s="81"/>
      <c r="E81" s="81"/>
    </row>
    <row r="82" customFormat="false" ht="12.8" hidden="true" customHeight="false" outlineLevel="0" collapsed="false">
      <c r="A82" s="78"/>
      <c r="B82" s="79" t="s">
        <v>39</v>
      </c>
      <c r="C82" s="81" t="n">
        <f aca="false">C81*8/7</f>
        <v>0</v>
      </c>
      <c r="D82" s="81" t="n">
        <f aca="false">D74/220*1.5*1.2</f>
        <v>17.0370818181818</v>
      </c>
      <c r="E82" s="81" t="n">
        <f aca="false">C82*D82</f>
        <v>0</v>
      </c>
    </row>
    <row r="83" customFormat="false" ht="13.15" hidden="true" customHeight="true" outlineLevel="0" collapsed="false">
      <c r="A83" s="78" t="s">
        <v>26</v>
      </c>
      <c r="B83" s="79" t="s">
        <v>27</v>
      </c>
      <c r="D83" s="81" t="n">
        <f aca="false">63/302*(SUM(E77:E82))</f>
        <v>0</v>
      </c>
      <c r="E83" s="81" t="n">
        <f aca="false">D83</f>
        <v>0</v>
      </c>
    </row>
    <row r="84" customFormat="false" ht="12.8" hidden="true" customHeight="false" outlineLevel="0" collapsed="false">
      <c r="A84" s="78" t="s">
        <v>28</v>
      </c>
      <c r="B84" s="79" t="s">
        <v>5</v>
      </c>
      <c r="C84" s="79" t="n">
        <f aca="false">+C53</f>
        <v>40</v>
      </c>
      <c r="D84" s="81" t="n">
        <f aca="false">SUM(E74:E83)</f>
        <v>2082.31</v>
      </c>
      <c r="E84" s="81" t="n">
        <f aca="false">C84*D84/100</f>
        <v>832.924</v>
      </c>
    </row>
    <row r="85" customFormat="false" ht="12.8" hidden="true" customHeight="false" outlineLevel="0" collapsed="false">
      <c r="A85" s="82" t="s">
        <v>29</v>
      </c>
      <c r="B85" s="83"/>
      <c r="C85" s="83"/>
      <c r="D85" s="84"/>
      <c r="E85" s="85" t="n">
        <f aca="false">SUM(E74:E84)</f>
        <v>2915.234</v>
      </c>
    </row>
    <row r="86" customFormat="false" ht="12.8" hidden="true" customHeight="false" outlineLevel="0" collapsed="false">
      <c r="A86" s="78" t="s">
        <v>30</v>
      </c>
      <c r="B86" s="79" t="s">
        <v>5</v>
      </c>
      <c r="C86" s="86" t="n">
        <f aca="false">'2.Encargos Sociais'!$C$31*100</f>
        <v>70.595952</v>
      </c>
      <c r="D86" s="81" t="n">
        <f aca="false">E85</f>
        <v>2915.234</v>
      </c>
      <c r="E86" s="81" t="n">
        <f aca="false">D86*C86/100</f>
        <v>2058.03719532768</v>
      </c>
    </row>
    <row r="87" customFormat="false" ht="12.8" hidden="true" customHeight="false" outlineLevel="0" collapsed="false">
      <c r="A87" s="82" t="s">
        <v>31</v>
      </c>
      <c r="B87" s="83"/>
      <c r="C87" s="83"/>
      <c r="D87" s="84"/>
      <c r="E87" s="85" t="n">
        <f aca="false">E85+E86</f>
        <v>4973.27119532768</v>
      </c>
    </row>
    <row r="88" customFormat="false" ht="12.8" hidden="true" customHeight="false" outlineLevel="0" collapsed="false">
      <c r="A88" s="78" t="s">
        <v>32</v>
      </c>
      <c r="B88" s="79" t="s">
        <v>33</v>
      </c>
      <c r="C88" s="92" t="n">
        <v>0</v>
      </c>
      <c r="D88" s="81" t="n">
        <f aca="false">E87</f>
        <v>4973.27119532768</v>
      </c>
      <c r="E88" s="81" t="n">
        <f aca="false">C88*D88</f>
        <v>0</v>
      </c>
    </row>
    <row r="89" customFormat="false" ht="12.8" hidden="true" customHeight="false" outlineLevel="0" collapsed="false">
      <c r="D89" s="88" t="s">
        <v>34</v>
      </c>
      <c r="E89" s="93" t="n">
        <f aca="false">$B$43</f>
        <v>0.7158</v>
      </c>
      <c r="F89" s="90" t="n">
        <f aca="false">E88*E89</f>
        <v>0</v>
      </c>
    </row>
    <row r="90" customFormat="false" ht="11.25" hidden="false" customHeight="true" outlineLevel="0" collapsed="false"/>
    <row r="91" customFormat="false" ht="12.8" hidden="false" customHeight="false" outlineLevel="0" collapsed="false">
      <c r="A91" s="69" t="s">
        <v>42</v>
      </c>
    </row>
    <row r="92" customFormat="false" ht="13.15" hidden="false" customHeight="true" outlineLevel="0" collapsed="false">
      <c r="A92" s="70" t="s">
        <v>16</v>
      </c>
      <c r="B92" s="71" t="s">
        <v>17</v>
      </c>
      <c r="C92" s="71" t="s">
        <v>9</v>
      </c>
      <c r="D92" s="72" t="s">
        <v>18</v>
      </c>
      <c r="E92" s="72" t="s">
        <v>19</v>
      </c>
      <c r="F92" s="73" t="s">
        <v>20</v>
      </c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94"/>
      <c r="BQ92" s="94"/>
      <c r="BR92" s="94"/>
      <c r="BS92" s="94"/>
      <c r="BT92" s="94"/>
      <c r="BU92" s="94"/>
      <c r="BV92" s="94"/>
      <c r="BW92" s="94"/>
      <c r="BX92" s="94"/>
      <c r="BY92" s="94"/>
      <c r="BZ92" s="94"/>
      <c r="CA92" s="94"/>
      <c r="CB92" s="94"/>
      <c r="CC92" s="94"/>
      <c r="CD92" s="94"/>
      <c r="CE92" s="94"/>
      <c r="CF92" s="94"/>
      <c r="CG92" s="94"/>
      <c r="CH92" s="94"/>
      <c r="CI92" s="94"/>
      <c r="CJ92" s="94"/>
      <c r="CK92" s="94"/>
      <c r="CL92" s="94"/>
      <c r="CM92" s="94"/>
      <c r="CN92" s="94"/>
      <c r="CO92" s="94"/>
      <c r="CP92" s="94"/>
      <c r="CQ92" s="94"/>
      <c r="CR92" s="94"/>
      <c r="CS92" s="94"/>
      <c r="CT92" s="94"/>
      <c r="CU92" s="94"/>
      <c r="CV92" s="94"/>
      <c r="CW92" s="94"/>
      <c r="CX92" s="94"/>
      <c r="CY92" s="94"/>
      <c r="CZ92" s="94"/>
      <c r="DA92" s="94"/>
      <c r="DB92" s="94"/>
      <c r="DC92" s="94"/>
      <c r="DD92" s="94"/>
      <c r="DE92" s="94"/>
      <c r="DF92" s="94"/>
      <c r="DG92" s="94"/>
      <c r="DH92" s="94"/>
      <c r="DI92" s="94"/>
      <c r="DJ92" s="94"/>
      <c r="DK92" s="94"/>
      <c r="DL92" s="94"/>
      <c r="DM92" s="94"/>
      <c r="DN92" s="94"/>
      <c r="DO92" s="94"/>
      <c r="DP92" s="94"/>
      <c r="DQ92" s="94"/>
      <c r="DR92" s="94"/>
      <c r="DS92" s="94"/>
      <c r="DT92" s="94"/>
      <c r="DU92" s="94"/>
      <c r="DV92" s="94"/>
      <c r="DW92" s="94"/>
      <c r="DX92" s="94"/>
      <c r="DY92" s="94"/>
      <c r="DZ92" s="94"/>
      <c r="EA92" s="94"/>
      <c r="EB92" s="94"/>
      <c r="EC92" s="94"/>
      <c r="ED92" s="94"/>
      <c r="EE92" s="94"/>
      <c r="EF92" s="94"/>
      <c r="EG92" s="94"/>
      <c r="EH92" s="94"/>
      <c r="EI92" s="94"/>
      <c r="EJ92" s="94"/>
      <c r="EK92" s="94"/>
      <c r="EL92" s="94"/>
      <c r="EM92" s="94"/>
      <c r="EN92" s="94"/>
      <c r="EO92" s="94"/>
      <c r="EP92" s="94"/>
      <c r="EQ92" s="94"/>
      <c r="ER92" s="94"/>
      <c r="ES92" s="94"/>
      <c r="ET92" s="94"/>
      <c r="EU92" s="94"/>
      <c r="EV92" s="94"/>
      <c r="EW92" s="94"/>
      <c r="EX92" s="94"/>
      <c r="EY92" s="94"/>
      <c r="EZ92" s="94"/>
      <c r="FA92" s="94"/>
      <c r="FB92" s="94"/>
      <c r="FC92" s="94"/>
      <c r="FD92" s="94"/>
      <c r="FE92" s="94"/>
      <c r="FF92" s="94"/>
      <c r="FG92" s="94"/>
      <c r="FH92" s="94"/>
      <c r="FI92" s="94"/>
      <c r="FJ92" s="94"/>
      <c r="FK92" s="94"/>
      <c r="FL92" s="94"/>
      <c r="FM92" s="94"/>
      <c r="FN92" s="94"/>
      <c r="FO92" s="94"/>
      <c r="FP92" s="94"/>
      <c r="FQ92" s="94"/>
      <c r="FR92" s="94"/>
      <c r="FS92" s="94"/>
      <c r="FT92" s="94"/>
      <c r="FU92" s="94"/>
      <c r="FV92" s="94"/>
      <c r="FW92" s="94"/>
      <c r="FX92" s="94"/>
      <c r="FY92" s="94"/>
      <c r="FZ92" s="94"/>
      <c r="GA92" s="94"/>
      <c r="GB92" s="94"/>
      <c r="GC92" s="94"/>
      <c r="GD92" s="94"/>
      <c r="GE92" s="94"/>
      <c r="GF92" s="94"/>
      <c r="GG92" s="94"/>
      <c r="GH92" s="94"/>
      <c r="GI92" s="94"/>
      <c r="GJ92" s="94"/>
      <c r="GK92" s="94"/>
      <c r="GL92" s="94"/>
      <c r="GM92" s="94"/>
      <c r="GN92" s="94"/>
      <c r="GO92" s="94"/>
      <c r="GP92" s="94"/>
      <c r="GQ92" s="94"/>
      <c r="GR92" s="94"/>
      <c r="GS92" s="94"/>
      <c r="GT92" s="94"/>
      <c r="GU92" s="94"/>
      <c r="GV92" s="94"/>
      <c r="GW92" s="94"/>
      <c r="GX92" s="94"/>
      <c r="GY92" s="94"/>
      <c r="GZ92" s="94"/>
      <c r="HA92" s="94"/>
      <c r="HB92" s="94"/>
      <c r="HC92" s="94"/>
      <c r="HD92" s="94"/>
      <c r="HE92" s="94"/>
      <c r="HF92" s="94"/>
      <c r="HG92" s="94"/>
      <c r="HH92" s="94"/>
      <c r="HI92" s="94"/>
      <c r="HJ92" s="94"/>
      <c r="HK92" s="94"/>
      <c r="HL92" s="94"/>
      <c r="HM92" s="94"/>
      <c r="HN92" s="94"/>
      <c r="HO92" s="94"/>
      <c r="HP92" s="94"/>
      <c r="HQ92" s="94"/>
      <c r="HR92" s="94"/>
      <c r="HS92" s="94"/>
      <c r="HT92" s="94"/>
      <c r="HU92" s="94"/>
      <c r="HV92" s="94"/>
      <c r="HW92" s="94"/>
      <c r="HX92" s="94"/>
      <c r="HY92" s="94"/>
      <c r="HZ92" s="94"/>
      <c r="IA92" s="94"/>
      <c r="IB92" s="94"/>
      <c r="IC92" s="94"/>
      <c r="ID92" s="94"/>
      <c r="IE92" s="94"/>
      <c r="IF92" s="94"/>
      <c r="IG92" s="94"/>
      <c r="IH92" s="94"/>
      <c r="II92" s="94"/>
      <c r="IJ92" s="94"/>
      <c r="IK92" s="94"/>
      <c r="IL92" s="94"/>
      <c r="IM92" s="94"/>
      <c r="IN92" s="94"/>
      <c r="IO92" s="94"/>
      <c r="IP92" s="94"/>
      <c r="IQ92" s="94"/>
      <c r="IR92" s="94"/>
      <c r="IS92" s="94"/>
      <c r="IT92" s="94"/>
      <c r="IU92" s="94"/>
      <c r="IV92" s="94"/>
      <c r="IW92" s="94"/>
      <c r="IX92" s="94"/>
      <c r="IY92" s="94"/>
      <c r="IZ92" s="94"/>
      <c r="JA92" s="94"/>
      <c r="JB92" s="94"/>
      <c r="JC92" s="94"/>
      <c r="JD92" s="94"/>
      <c r="JE92" s="94"/>
      <c r="JF92" s="94"/>
      <c r="JG92" s="94"/>
      <c r="JH92" s="94"/>
      <c r="JI92" s="94"/>
      <c r="JJ92" s="94"/>
      <c r="JK92" s="94"/>
      <c r="JL92" s="94"/>
      <c r="JM92" s="94"/>
      <c r="JN92" s="94"/>
      <c r="JO92" s="94"/>
      <c r="JP92" s="94"/>
      <c r="JQ92" s="94"/>
      <c r="JR92" s="94"/>
      <c r="JS92" s="94"/>
      <c r="JT92" s="94"/>
      <c r="JU92" s="94"/>
      <c r="JV92" s="94"/>
      <c r="JW92" s="94"/>
      <c r="JX92" s="94"/>
      <c r="JY92" s="94"/>
      <c r="JZ92" s="94"/>
      <c r="KA92" s="94"/>
      <c r="KB92" s="94"/>
      <c r="KC92" s="94"/>
      <c r="KD92" s="94"/>
      <c r="KE92" s="94"/>
      <c r="KF92" s="94"/>
      <c r="KG92" s="94"/>
      <c r="KH92" s="94"/>
      <c r="KI92" s="94"/>
      <c r="KJ92" s="94"/>
      <c r="KK92" s="94"/>
      <c r="KL92" s="94"/>
      <c r="KM92" s="94"/>
      <c r="KN92" s="94"/>
      <c r="KO92" s="94"/>
      <c r="KP92" s="94"/>
      <c r="KQ92" s="94"/>
      <c r="KR92" s="94"/>
      <c r="KS92" s="94"/>
      <c r="KT92" s="94"/>
      <c r="KU92" s="94"/>
      <c r="KV92" s="94"/>
      <c r="KW92" s="94"/>
      <c r="KX92" s="94"/>
      <c r="KY92" s="94"/>
      <c r="KZ92" s="94"/>
      <c r="LA92" s="94"/>
      <c r="LB92" s="94"/>
      <c r="LC92" s="94"/>
      <c r="LD92" s="94"/>
      <c r="LE92" s="94"/>
      <c r="LF92" s="94"/>
      <c r="LG92" s="94"/>
      <c r="LH92" s="94"/>
      <c r="LI92" s="94"/>
      <c r="LJ92" s="94"/>
      <c r="LK92" s="94"/>
      <c r="LL92" s="94"/>
      <c r="LM92" s="94"/>
      <c r="LN92" s="94"/>
      <c r="LO92" s="94"/>
      <c r="LP92" s="94"/>
      <c r="LQ92" s="94"/>
      <c r="LR92" s="94"/>
      <c r="LS92" s="94"/>
      <c r="LT92" s="94"/>
      <c r="LU92" s="94"/>
      <c r="LV92" s="94"/>
      <c r="LW92" s="94"/>
      <c r="LX92" s="94"/>
      <c r="LY92" s="94"/>
      <c r="LZ92" s="94"/>
      <c r="MA92" s="94"/>
      <c r="MB92" s="94"/>
      <c r="MC92" s="94"/>
      <c r="MD92" s="94"/>
      <c r="ME92" s="94"/>
      <c r="MF92" s="94"/>
      <c r="MG92" s="94"/>
      <c r="MH92" s="94"/>
      <c r="MI92" s="94"/>
      <c r="MJ92" s="94"/>
      <c r="MK92" s="94"/>
      <c r="ML92" s="94"/>
      <c r="MM92" s="94"/>
      <c r="MN92" s="94"/>
      <c r="MO92" s="94"/>
      <c r="MP92" s="94"/>
      <c r="MQ92" s="94"/>
      <c r="MR92" s="94"/>
      <c r="MS92" s="94"/>
      <c r="MT92" s="94"/>
      <c r="MU92" s="94"/>
      <c r="MV92" s="94"/>
      <c r="MW92" s="94"/>
      <c r="MX92" s="94"/>
      <c r="MY92" s="94"/>
      <c r="MZ92" s="94"/>
      <c r="NA92" s="94"/>
      <c r="NB92" s="94"/>
      <c r="NC92" s="94"/>
      <c r="ND92" s="94"/>
      <c r="NE92" s="94"/>
      <c r="NF92" s="94"/>
      <c r="NG92" s="94"/>
      <c r="NH92" s="94"/>
      <c r="NI92" s="94"/>
      <c r="NJ92" s="94"/>
      <c r="NK92" s="94"/>
      <c r="NL92" s="94"/>
      <c r="NM92" s="94"/>
      <c r="NN92" s="94"/>
      <c r="NO92" s="94"/>
      <c r="NP92" s="94"/>
      <c r="NQ92" s="94"/>
      <c r="NR92" s="94"/>
      <c r="NS92" s="94"/>
      <c r="NT92" s="94"/>
      <c r="NU92" s="94"/>
      <c r="NV92" s="94"/>
      <c r="NW92" s="94"/>
      <c r="NX92" s="94"/>
      <c r="NY92" s="94"/>
      <c r="NZ92" s="94"/>
      <c r="OA92" s="94"/>
      <c r="OB92" s="94"/>
      <c r="OC92" s="94"/>
      <c r="OD92" s="94"/>
      <c r="OE92" s="94"/>
      <c r="OF92" s="94"/>
      <c r="OG92" s="94"/>
      <c r="OH92" s="94"/>
      <c r="OI92" s="94"/>
      <c r="OJ92" s="94"/>
      <c r="OK92" s="94"/>
      <c r="OL92" s="94"/>
      <c r="OM92" s="94"/>
      <c r="ON92" s="94"/>
      <c r="OO92" s="94"/>
      <c r="OP92" s="94"/>
      <c r="OQ92" s="94"/>
      <c r="OR92" s="94"/>
      <c r="OS92" s="94"/>
      <c r="OT92" s="94"/>
      <c r="OU92" s="94"/>
      <c r="OV92" s="94"/>
      <c r="OW92" s="94"/>
      <c r="OX92" s="94"/>
      <c r="OY92" s="94"/>
      <c r="OZ92" s="94"/>
      <c r="PA92" s="94"/>
      <c r="PB92" s="94"/>
      <c r="PC92" s="94"/>
      <c r="PD92" s="94"/>
      <c r="PE92" s="94"/>
      <c r="PF92" s="94"/>
      <c r="PG92" s="94"/>
      <c r="PH92" s="94"/>
      <c r="PI92" s="94"/>
      <c r="PJ92" s="94"/>
      <c r="PK92" s="94"/>
      <c r="PL92" s="94"/>
      <c r="PM92" s="94"/>
      <c r="PN92" s="94"/>
      <c r="PO92" s="94"/>
      <c r="PP92" s="94"/>
      <c r="PQ92" s="94"/>
      <c r="PR92" s="94"/>
      <c r="PS92" s="94"/>
      <c r="PT92" s="94"/>
      <c r="PU92" s="94"/>
      <c r="PV92" s="94"/>
      <c r="PW92" s="94"/>
      <c r="PX92" s="94"/>
      <c r="PY92" s="94"/>
      <c r="PZ92" s="94"/>
      <c r="QA92" s="94"/>
      <c r="QB92" s="94"/>
      <c r="QC92" s="94"/>
      <c r="QD92" s="94"/>
      <c r="QE92" s="94"/>
      <c r="QF92" s="94"/>
      <c r="QG92" s="94"/>
      <c r="QH92" s="94"/>
      <c r="QI92" s="94"/>
      <c r="QJ92" s="94"/>
      <c r="QK92" s="94"/>
      <c r="QL92" s="94"/>
      <c r="QM92" s="94"/>
      <c r="QN92" s="94"/>
      <c r="QO92" s="94"/>
      <c r="QP92" s="94"/>
      <c r="QQ92" s="94"/>
      <c r="QR92" s="94"/>
      <c r="QS92" s="94"/>
      <c r="QT92" s="94"/>
      <c r="QU92" s="94"/>
      <c r="QV92" s="94"/>
      <c r="QW92" s="94"/>
      <c r="QX92" s="94"/>
      <c r="QY92" s="94"/>
      <c r="QZ92" s="94"/>
      <c r="RA92" s="94"/>
      <c r="RB92" s="94"/>
      <c r="RC92" s="94"/>
      <c r="RD92" s="94"/>
      <c r="RE92" s="94"/>
      <c r="RF92" s="94"/>
      <c r="RG92" s="94"/>
      <c r="RH92" s="94"/>
      <c r="RI92" s="94"/>
      <c r="RJ92" s="94"/>
      <c r="RK92" s="94"/>
      <c r="RL92" s="94"/>
      <c r="RM92" s="94"/>
      <c r="RN92" s="94"/>
      <c r="RO92" s="94"/>
      <c r="RP92" s="94"/>
      <c r="RQ92" s="94"/>
      <c r="RR92" s="94"/>
      <c r="RS92" s="94"/>
      <c r="RT92" s="94"/>
      <c r="RU92" s="94"/>
      <c r="RV92" s="94"/>
      <c r="RW92" s="94"/>
      <c r="RX92" s="94"/>
      <c r="RY92" s="94"/>
      <c r="RZ92" s="94"/>
      <c r="SA92" s="94"/>
      <c r="SB92" s="94"/>
      <c r="SC92" s="94"/>
      <c r="SD92" s="94"/>
      <c r="SE92" s="94"/>
      <c r="SF92" s="94"/>
      <c r="SG92" s="94"/>
      <c r="SH92" s="94"/>
      <c r="SI92" s="94"/>
      <c r="SJ92" s="94"/>
      <c r="SK92" s="94"/>
      <c r="SL92" s="94"/>
      <c r="SM92" s="94"/>
      <c r="SN92" s="94"/>
      <c r="SO92" s="94"/>
      <c r="SP92" s="94"/>
      <c r="SQ92" s="94"/>
      <c r="SR92" s="94"/>
      <c r="SS92" s="94"/>
      <c r="ST92" s="94"/>
      <c r="SU92" s="94"/>
      <c r="SV92" s="94"/>
      <c r="SW92" s="94"/>
      <c r="SX92" s="94"/>
      <c r="SY92" s="94"/>
      <c r="SZ92" s="94"/>
      <c r="TA92" s="94"/>
      <c r="TB92" s="94"/>
      <c r="TC92" s="94"/>
      <c r="TD92" s="94"/>
      <c r="TE92" s="94"/>
      <c r="TF92" s="94"/>
      <c r="TG92" s="94"/>
      <c r="TH92" s="94"/>
      <c r="TI92" s="94"/>
      <c r="TJ92" s="94"/>
      <c r="TK92" s="94"/>
      <c r="TL92" s="94"/>
      <c r="TM92" s="94"/>
      <c r="TN92" s="94"/>
      <c r="TO92" s="94"/>
      <c r="TP92" s="94"/>
      <c r="TQ92" s="94"/>
      <c r="TR92" s="94"/>
      <c r="TS92" s="94"/>
      <c r="TT92" s="94"/>
      <c r="TU92" s="94"/>
      <c r="TV92" s="94"/>
      <c r="TW92" s="94"/>
      <c r="TX92" s="94"/>
      <c r="TY92" s="94"/>
      <c r="TZ92" s="94"/>
      <c r="UA92" s="94"/>
      <c r="UB92" s="94"/>
      <c r="UC92" s="94"/>
      <c r="UD92" s="94"/>
      <c r="UE92" s="94"/>
      <c r="UF92" s="94"/>
      <c r="UG92" s="94"/>
      <c r="UH92" s="94"/>
      <c r="UI92" s="94"/>
      <c r="UJ92" s="94"/>
      <c r="UK92" s="94"/>
      <c r="UL92" s="94"/>
      <c r="UM92" s="94"/>
      <c r="UN92" s="94"/>
      <c r="UO92" s="94"/>
      <c r="UP92" s="94"/>
      <c r="UQ92" s="94"/>
      <c r="UR92" s="94"/>
      <c r="US92" s="94"/>
      <c r="UT92" s="94"/>
      <c r="UU92" s="94"/>
      <c r="UV92" s="94"/>
      <c r="UW92" s="94"/>
      <c r="UX92" s="94"/>
      <c r="UY92" s="94"/>
      <c r="UZ92" s="94"/>
      <c r="VA92" s="94"/>
      <c r="VB92" s="94"/>
      <c r="VC92" s="94"/>
      <c r="VD92" s="94"/>
      <c r="VE92" s="94"/>
      <c r="VF92" s="94"/>
      <c r="VG92" s="94"/>
      <c r="VH92" s="94"/>
      <c r="VI92" s="94"/>
      <c r="VJ92" s="94"/>
      <c r="VK92" s="94"/>
      <c r="VL92" s="94"/>
      <c r="VM92" s="94"/>
      <c r="VN92" s="94"/>
      <c r="VO92" s="94"/>
      <c r="VP92" s="94"/>
      <c r="VQ92" s="94"/>
      <c r="VR92" s="94"/>
      <c r="VS92" s="94"/>
      <c r="VT92" s="94"/>
      <c r="VU92" s="94"/>
      <c r="VV92" s="94"/>
      <c r="VW92" s="94"/>
      <c r="VX92" s="94"/>
      <c r="VY92" s="94"/>
      <c r="VZ92" s="94"/>
      <c r="WA92" s="94"/>
      <c r="WB92" s="94"/>
      <c r="WC92" s="94"/>
      <c r="WD92" s="94"/>
      <c r="WE92" s="94"/>
      <c r="WF92" s="94"/>
      <c r="WG92" s="94"/>
      <c r="WH92" s="94"/>
      <c r="WI92" s="94"/>
      <c r="WJ92" s="94"/>
      <c r="WK92" s="94"/>
      <c r="WL92" s="94"/>
      <c r="WM92" s="94"/>
      <c r="WN92" s="94"/>
      <c r="WO92" s="94"/>
      <c r="WP92" s="94"/>
      <c r="WQ92" s="94"/>
      <c r="WR92" s="94"/>
      <c r="WS92" s="94"/>
      <c r="WT92" s="94"/>
      <c r="WU92" s="94"/>
      <c r="WV92" s="94"/>
      <c r="WW92" s="94"/>
      <c r="WX92" s="94"/>
      <c r="WY92" s="94"/>
      <c r="WZ92" s="94"/>
      <c r="XA92" s="94"/>
      <c r="XB92" s="94"/>
      <c r="XC92" s="94"/>
      <c r="XD92" s="94"/>
      <c r="XE92" s="94"/>
      <c r="XF92" s="94"/>
      <c r="XG92" s="94"/>
      <c r="XH92" s="94"/>
      <c r="XI92" s="94"/>
      <c r="XJ92" s="94"/>
      <c r="XK92" s="94"/>
      <c r="XL92" s="94"/>
      <c r="XM92" s="94"/>
      <c r="XN92" s="94"/>
      <c r="XO92" s="94"/>
      <c r="XP92" s="94"/>
      <c r="XQ92" s="94"/>
      <c r="XR92" s="94"/>
      <c r="XS92" s="94"/>
      <c r="XT92" s="94"/>
      <c r="XU92" s="94"/>
      <c r="XV92" s="94"/>
      <c r="XW92" s="94"/>
      <c r="XX92" s="94"/>
      <c r="XY92" s="94"/>
      <c r="XZ92" s="94"/>
      <c r="YA92" s="94"/>
      <c r="YB92" s="94"/>
      <c r="YC92" s="94"/>
      <c r="YD92" s="94"/>
      <c r="YE92" s="94"/>
      <c r="YF92" s="94"/>
      <c r="YG92" s="94"/>
      <c r="YH92" s="94"/>
      <c r="YI92" s="94"/>
      <c r="YJ92" s="94"/>
      <c r="YK92" s="94"/>
      <c r="YL92" s="94"/>
      <c r="YM92" s="94"/>
      <c r="YN92" s="94"/>
      <c r="YO92" s="94"/>
      <c r="YP92" s="94"/>
      <c r="YQ92" s="94"/>
      <c r="YR92" s="94"/>
      <c r="YS92" s="94"/>
      <c r="YT92" s="94"/>
      <c r="YU92" s="94"/>
      <c r="YV92" s="94"/>
      <c r="YW92" s="94"/>
      <c r="YX92" s="94"/>
      <c r="YY92" s="94"/>
      <c r="YZ92" s="94"/>
      <c r="ZA92" s="94"/>
      <c r="ZB92" s="94"/>
      <c r="ZC92" s="94"/>
      <c r="ZD92" s="94"/>
      <c r="ZE92" s="94"/>
      <c r="ZF92" s="94"/>
      <c r="ZG92" s="94"/>
      <c r="ZH92" s="94"/>
      <c r="ZI92" s="94"/>
      <c r="ZJ92" s="94"/>
      <c r="ZK92" s="94"/>
      <c r="ZL92" s="94"/>
      <c r="ZM92" s="94"/>
      <c r="ZN92" s="94"/>
      <c r="ZO92" s="94"/>
      <c r="ZP92" s="94"/>
      <c r="ZQ92" s="94"/>
      <c r="ZR92" s="94"/>
      <c r="ZS92" s="94"/>
      <c r="ZT92" s="94"/>
      <c r="ZU92" s="94"/>
      <c r="ZV92" s="94"/>
      <c r="ZW92" s="94"/>
      <c r="ZX92" s="94"/>
      <c r="ZY92" s="94"/>
      <c r="ZZ92" s="94"/>
      <c r="AAA92" s="94"/>
      <c r="AAB92" s="94"/>
      <c r="AAC92" s="94"/>
      <c r="AAD92" s="94"/>
      <c r="AAE92" s="94"/>
      <c r="AAF92" s="94"/>
      <c r="AAG92" s="94"/>
      <c r="AAH92" s="94"/>
      <c r="AAI92" s="94"/>
      <c r="AAJ92" s="94"/>
      <c r="AAK92" s="94"/>
      <c r="AAL92" s="94"/>
      <c r="AAM92" s="94"/>
      <c r="AAN92" s="94"/>
      <c r="AAO92" s="94"/>
      <c r="AAP92" s="94"/>
      <c r="AAQ92" s="94"/>
      <c r="AAR92" s="94"/>
      <c r="AAS92" s="94"/>
      <c r="AAT92" s="94"/>
      <c r="AAU92" s="94"/>
      <c r="AAV92" s="94"/>
      <c r="AAW92" s="94"/>
      <c r="AAX92" s="94"/>
      <c r="AAY92" s="94"/>
      <c r="AAZ92" s="94"/>
      <c r="ABA92" s="94"/>
      <c r="ABB92" s="94"/>
      <c r="ABC92" s="94"/>
      <c r="ABD92" s="94"/>
      <c r="ABE92" s="94"/>
      <c r="ABF92" s="94"/>
      <c r="ABG92" s="94"/>
      <c r="ABH92" s="94"/>
      <c r="ABI92" s="94"/>
      <c r="ABJ92" s="94"/>
      <c r="ABK92" s="94"/>
      <c r="ABL92" s="94"/>
      <c r="ABM92" s="94"/>
      <c r="ABN92" s="94"/>
      <c r="ABO92" s="94"/>
      <c r="ABP92" s="94"/>
      <c r="ABQ92" s="94"/>
      <c r="ABR92" s="94"/>
      <c r="ABS92" s="94"/>
      <c r="ABT92" s="94"/>
      <c r="ABU92" s="94"/>
      <c r="ABV92" s="94"/>
      <c r="ABW92" s="94"/>
      <c r="ABX92" s="94"/>
      <c r="ABY92" s="94"/>
      <c r="ABZ92" s="94"/>
      <c r="ACA92" s="94"/>
      <c r="ACB92" s="94"/>
      <c r="ACC92" s="94"/>
      <c r="ACD92" s="94"/>
      <c r="ACE92" s="94"/>
      <c r="ACF92" s="94"/>
      <c r="ACG92" s="94"/>
      <c r="ACH92" s="94"/>
      <c r="ACI92" s="94"/>
      <c r="ACJ92" s="94"/>
      <c r="ACK92" s="94"/>
      <c r="ACL92" s="94"/>
      <c r="ACM92" s="94"/>
      <c r="ACN92" s="94"/>
      <c r="ACO92" s="94"/>
      <c r="ACP92" s="94"/>
      <c r="ACQ92" s="94"/>
      <c r="ACR92" s="94"/>
      <c r="ACS92" s="94"/>
      <c r="ACT92" s="94"/>
      <c r="ACU92" s="94"/>
      <c r="ACV92" s="94"/>
      <c r="ACW92" s="94"/>
      <c r="ACX92" s="94"/>
      <c r="ACY92" s="94"/>
      <c r="ACZ92" s="94"/>
      <c r="ADA92" s="94"/>
      <c r="ADB92" s="94"/>
      <c r="ADC92" s="94"/>
      <c r="ADD92" s="94"/>
      <c r="ADE92" s="94"/>
      <c r="ADF92" s="94"/>
      <c r="ADG92" s="94"/>
      <c r="ADH92" s="94"/>
      <c r="ADI92" s="94"/>
      <c r="ADJ92" s="94"/>
      <c r="ADK92" s="94"/>
      <c r="ADL92" s="94"/>
      <c r="ADM92" s="94"/>
      <c r="ADN92" s="94"/>
      <c r="ADO92" s="94"/>
      <c r="ADP92" s="94"/>
      <c r="ADQ92" s="94"/>
      <c r="ADR92" s="94"/>
      <c r="ADS92" s="94"/>
      <c r="ADT92" s="94"/>
      <c r="ADU92" s="94"/>
      <c r="ADV92" s="94"/>
      <c r="ADW92" s="94"/>
      <c r="ADX92" s="94"/>
      <c r="ADY92" s="94"/>
      <c r="ADZ92" s="94"/>
      <c r="AEA92" s="94"/>
      <c r="AEB92" s="94"/>
      <c r="AEC92" s="94"/>
      <c r="AED92" s="94"/>
      <c r="AEE92" s="94"/>
      <c r="AEF92" s="94"/>
      <c r="AEG92" s="94"/>
      <c r="AEH92" s="94"/>
      <c r="AEI92" s="94"/>
      <c r="AEJ92" s="94"/>
      <c r="AEK92" s="94"/>
      <c r="AEL92" s="94"/>
      <c r="AEM92" s="94"/>
      <c r="AEN92" s="94"/>
      <c r="AEO92" s="94"/>
      <c r="AEP92" s="94"/>
      <c r="AEQ92" s="94"/>
      <c r="AER92" s="94"/>
      <c r="AES92" s="94"/>
      <c r="AET92" s="94"/>
      <c r="AEU92" s="94"/>
      <c r="AEV92" s="94"/>
      <c r="AEW92" s="94"/>
      <c r="AEX92" s="94"/>
      <c r="AEY92" s="94"/>
      <c r="AEZ92" s="94"/>
      <c r="AFA92" s="94"/>
      <c r="AFB92" s="94"/>
      <c r="AFC92" s="94"/>
      <c r="AFD92" s="94"/>
      <c r="AFE92" s="94"/>
      <c r="AFF92" s="94"/>
      <c r="AFG92" s="94"/>
      <c r="AFH92" s="94"/>
      <c r="AFI92" s="94"/>
      <c r="AFJ92" s="94"/>
      <c r="AFK92" s="94"/>
      <c r="AFL92" s="94"/>
      <c r="AFM92" s="94"/>
      <c r="AFN92" s="94"/>
      <c r="AFO92" s="94"/>
      <c r="AFP92" s="94"/>
      <c r="AFQ92" s="94"/>
      <c r="AFR92" s="94"/>
      <c r="AFS92" s="94"/>
      <c r="AFT92" s="94"/>
      <c r="AFU92" s="94"/>
      <c r="AFV92" s="94"/>
      <c r="AFW92" s="94"/>
      <c r="AFX92" s="94"/>
      <c r="AFY92" s="94"/>
      <c r="AFZ92" s="94"/>
      <c r="AGA92" s="94"/>
      <c r="AGB92" s="94"/>
      <c r="AGC92" s="94"/>
      <c r="AGD92" s="94"/>
      <c r="AGE92" s="94"/>
      <c r="AGF92" s="94"/>
      <c r="AGG92" s="94"/>
      <c r="AGH92" s="94"/>
      <c r="AGI92" s="94"/>
      <c r="AGJ92" s="94"/>
      <c r="AGK92" s="94"/>
      <c r="AGL92" s="94"/>
      <c r="AGM92" s="94"/>
      <c r="AGN92" s="94"/>
      <c r="AGO92" s="94"/>
      <c r="AGP92" s="94"/>
      <c r="AGQ92" s="94"/>
      <c r="AGR92" s="94"/>
      <c r="AGS92" s="94"/>
      <c r="AGT92" s="94"/>
      <c r="AGU92" s="94"/>
      <c r="AGV92" s="94"/>
      <c r="AGW92" s="94"/>
      <c r="AGX92" s="94"/>
      <c r="AGY92" s="94"/>
      <c r="AGZ92" s="94"/>
      <c r="AHA92" s="94"/>
      <c r="AHB92" s="94"/>
      <c r="AHC92" s="94"/>
      <c r="AHD92" s="94"/>
      <c r="AHE92" s="94"/>
      <c r="AHF92" s="94"/>
      <c r="AHG92" s="94"/>
      <c r="AHH92" s="94"/>
      <c r="AHI92" s="94"/>
      <c r="AHJ92" s="94"/>
      <c r="AHK92" s="94"/>
      <c r="AHL92" s="94"/>
      <c r="AHM92" s="94"/>
      <c r="AHN92" s="94"/>
      <c r="AHO92" s="94"/>
      <c r="AHP92" s="94"/>
      <c r="AHQ92" s="94"/>
      <c r="AHR92" s="94"/>
      <c r="AHS92" s="94"/>
      <c r="AHT92" s="94"/>
      <c r="AHU92" s="94"/>
      <c r="AHV92" s="94"/>
      <c r="AHW92" s="94"/>
      <c r="AHX92" s="94"/>
      <c r="AHY92" s="94"/>
      <c r="AHZ92" s="94"/>
      <c r="AIA92" s="94"/>
      <c r="AIB92" s="94"/>
      <c r="AIC92" s="94"/>
      <c r="AID92" s="94"/>
      <c r="AIE92" s="94"/>
      <c r="AIF92" s="94"/>
      <c r="AIG92" s="94"/>
      <c r="AIH92" s="94"/>
      <c r="AII92" s="94"/>
      <c r="AIJ92" s="94"/>
      <c r="AIK92" s="94"/>
      <c r="AIL92" s="94"/>
      <c r="AIM92" s="94"/>
      <c r="AIN92" s="94"/>
      <c r="AIO92" s="94"/>
      <c r="AIP92" s="94"/>
      <c r="AIQ92" s="94"/>
      <c r="AIR92" s="94"/>
      <c r="AIS92" s="94"/>
      <c r="AIT92" s="94"/>
      <c r="AIU92" s="94"/>
      <c r="AIV92" s="94"/>
      <c r="AIW92" s="94"/>
      <c r="AIX92" s="94"/>
      <c r="AIY92" s="94"/>
      <c r="AIZ92" s="94"/>
      <c r="AJA92" s="94"/>
      <c r="AJB92" s="94"/>
      <c r="AJC92" s="94"/>
      <c r="AJD92" s="94"/>
      <c r="AJE92" s="94"/>
      <c r="AJF92" s="94"/>
      <c r="AJG92" s="94"/>
      <c r="AJH92" s="94"/>
      <c r="AJI92" s="94"/>
      <c r="AJJ92" s="94"/>
      <c r="AJK92" s="94"/>
      <c r="AJL92" s="94"/>
      <c r="AJM92" s="94"/>
      <c r="AJN92" s="94"/>
      <c r="AJO92" s="94"/>
      <c r="AJP92" s="94"/>
      <c r="AJQ92" s="94"/>
      <c r="AJR92" s="94"/>
      <c r="AJS92" s="94"/>
      <c r="AJT92" s="94"/>
      <c r="AJU92" s="94"/>
      <c r="AJV92" s="94"/>
      <c r="AJW92" s="94"/>
      <c r="AJX92" s="94"/>
      <c r="AJY92" s="94"/>
      <c r="AJZ92" s="94"/>
      <c r="AKA92" s="94"/>
      <c r="AKB92" s="94"/>
      <c r="AKC92" s="94"/>
      <c r="AKD92" s="94"/>
      <c r="AKE92" s="94"/>
      <c r="AKF92" s="94"/>
      <c r="AKG92" s="94"/>
      <c r="AKH92" s="94"/>
      <c r="AKI92" s="94"/>
      <c r="AKJ92" s="94"/>
      <c r="AKK92" s="94"/>
      <c r="AKL92" s="94"/>
      <c r="AKM92" s="94"/>
      <c r="AKN92" s="94"/>
      <c r="AKO92" s="94"/>
      <c r="AKP92" s="94"/>
      <c r="AKQ92" s="94"/>
      <c r="AKR92" s="94"/>
      <c r="AKS92" s="94"/>
      <c r="AKT92" s="94"/>
      <c r="AKU92" s="94"/>
      <c r="AKV92" s="94"/>
      <c r="AKW92" s="94"/>
      <c r="AKX92" s="94"/>
      <c r="AKY92" s="94"/>
      <c r="AKZ92" s="94"/>
      <c r="ALA92" s="94"/>
      <c r="ALB92" s="94"/>
      <c r="ALC92" s="94"/>
      <c r="ALD92" s="94"/>
      <c r="ALE92" s="94"/>
      <c r="ALF92" s="94"/>
      <c r="ALG92" s="94"/>
      <c r="ALH92" s="94"/>
      <c r="ALI92" s="94"/>
      <c r="ALJ92" s="94"/>
      <c r="ALK92" s="94"/>
      <c r="ALL92" s="94"/>
      <c r="ALM92" s="94"/>
      <c r="ALN92" s="94"/>
      <c r="ALO92" s="94"/>
      <c r="ALP92" s="94"/>
      <c r="ALQ92" s="94"/>
      <c r="ALR92" s="94"/>
      <c r="ALS92" s="94"/>
      <c r="ALT92" s="94"/>
      <c r="ALU92" s="94"/>
      <c r="ALV92" s="94"/>
      <c r="ALW92" s="94"/>
      <c r="ALX92" s="94"/>
      <c r="ALY92" s="94"/>
      <c r="ALZ92" s="94"/>
      <c r="AMA92" s="94"/>
      <c r="AMB92" s="94"/>
      <c r="AMC92" s="94"/>
      <c r="AMD92" s="94"/>
      <c r="AME92" s="94"/>
      <c r="AMF92" s="94"/>
      <c r="AMG92" s="94"/>
      <c r="AMH92" s="94"/>
      <c r="AMI92" s="94"/>
      <c r="AMJ92" s="94"/>
    </row>
    <row r="93" customFormat="false" ht="12.8" hidden="false" customHeight="false" outlineLevel="0" collapsed="false">
      <c r="A93" s="74" t="s">
        <v>43</v>
      </c>
      <c r="B93" s="75" t="s">
        <v>22</v>
      </c>
      <c r="C93" s="75" t="n">
        <v>1</v>
      </c>
      <c r="D93" s="76" t="n">
        <f aca="false">'VALORES BASE'!B2</f>
        <v>3012</v>
      </c>
      <c r="E93" s="77" t="n">
        <f aca="false">C93*D93</f>
        <v>3012</v>
      </c>
    </row>
    <row r="94" customFormat="false" ht="12.8" hidden="false" customHeight="false" outlineLevel="0" collapsed="false">
      <c r="A94" s="74" t="s">
        <v>44</v>
      </c>
      <c r="B94" s="75" t="s">
        <v>22</v>
      </c>
      <c r="C94" s="75" t="n">
        <v>1</v>
      </c>
      <c r="D94" s="76" t="n">
        <f aca="false">'VALORES BASE'!B40</f>
        <v>1621</v>
      </c>
      <c r="E94" s="77"/>
    </row>
    <row r="95" customFormat="false" ht="12.8" hidden="false" customHeight="false" outlineLevel="0" collapsed="false">
      <c r="A95" s="78" t="s">
        <v>23</v>
      </c>
      <c r="B95" s="79" t="s">
        <v>24</v>
      </c>
      <c r="C95" s="80" t="n">
        <f aca="false">'VALORES BASE'!B58</f>
        <v>7.92</v>
      </c>
      <c r="D95" s="81" t="n">
        <f aca="false">D93/220*2</f>
        <v>27.3818181818182</v>
      </c>
      <c r="E95" s="81" t="n">
        <f aca="false">C95*D95</f>
        <v>216.864</v>
      </c>
    </row>
    <row r="96" customFormat="false" ht="12.8" hidden="false" customHeight="false" outlineLevel="0" collapsed="false">
      <c r="A96" s="78" t="s">
        <v>25</v>
      </c>
      <c r="B96" s="79" t="s">
        <v>24</v>
      </c>
      <c r="C96" s="80"/>
      <c r="D96" s="81" t="n">
        <f aca="false">D93/220*1.5</f>
        <v>20.5363636363636</v>
      </c>
      <c r="E96" s="81" t="n">
        <f aca="false">C96*D96</f>
        <v>0</v>
      </c>
    </row>
    <row r="97" customFormat="false" ht="13.15" hidden="false" customHeight="true" outlineLevel="0" collapsed="false">
      <c r="A97" s="78" t="s">
        <v>26</v>
      </c>
      <c r="B97" s="79" t="s">
        <v>27</v>
      </c>
      <c r="D97" s="81" t="n">
        <f aca="false">63/302*(SUM(E95:E96))</f>
        <v>45.2398410596027</v>
      </c>
      <c r="E97" s="81" t="n">
        <f aca="false">D97</f>
        <v>45.2398410596027</v>
      </c>
    </row>
    <row r="98" customFormat="false" ht="12.8" hidden="false" customHeight="false" outlineLevel="0" collapsed="false">
      <c r="A98" s="78" t="s">
        <v>45</v>
      </c>
      <c r="B98" s="79"/>
      <c r="C98" s="87" t="n">
        <v>1</v>
      </c>
      <c r="D98" s="81"/>
      <c r="E98" s="81"/>
    </row>
    <row r="99" customFormat="false" ht="12.8" hidden="false" customHeight="false" outlineLevel="0" collapsed="false">
      <c r="A99" s="78" t="s">
        <v>28</v>
      </c>
      <c r="B99" s="79" t="s">
        <v>5</v>
      </c>
      <c r="C99" s="92" t="n">
        <v>40</v>
      </c>
      <c r="D99" s="81" t="n">
        <f aca="false">IF(C98=2,SUM(E93:E97),IF(C98=1,(SUM(E93:E97))*D94/D93,0))</f>
        <v>1762.05920529801</v>
      </c>
      <c r="E99" s="81" t="n">
        <f aca="false">C99*D99/100</f>
        <v>704.823682119205</v>
      </c>
    </row>
    <row r="100" customFormat="false" ht="12.8" hidden="false" customHeight="false" outlineLevel="0" collapsed="false">
      <c r="A100" s="95" t="s">
        <v>29</v>
      </c>
      <c r="B100" s="83"/>
      <c r="C100" s="83"/>
      <c r="D100" s="84"/>
      <c r="E100" s="96" t="n">
        <f aca="false">SUM(E93:E99)</f>
        <v>3978.92752317881</v>
      </c>
      <c r="F100" s="25"/>
      <c r="G100" s="25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</row>
    <row r="101" customFormat="false" ht="12.8" hidden="false" customHeight="false" outlineLevel="0" collapsed="false">
      <c r="A101" s="78" t="s">
        <v>30</v>
      </c>
      <c r="B101" s="79" t="s">
        <v>5</v>
      </c>
      <c r="C101" s="86" t="n">
        <f aca="false">'2.Encargos Sociais'!$C$31*100</f>
        <v>70.595952</v>
      </c>
      <c r="D101" s="81" t="n">
        <f aca="false">E100</f>
        <v>3978.92752317881</v>
      </c>
      <c r="E101" s="81" t="n">
        <f aca="false">D101*C101/100</f>
        <v>2808.9617643781</v>
      </c>
    </row>
    <row r="102" customFormat="false" ht="12.8" hidden="false" customHeight="false" outlineLevel="0" collapsed="false">
      <c r="A102" s="95" t="s">
        <v>46</v>
      </c>
      <c r="B102" s="97"/>
      <c r="C102" s="97"/>
      <c r="D102" s="98"/>
      <c r="E102" s="96" t="n">
        <f aca="false">E100+E101</f>
        <v>6787.88928755691</v>
      </c>
      <c r="F102" s="25"/>
      <c r="G102" s="25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</row>
    <row r="103" customFormat="false" ht="12.8" hidden="false" customHeight="false" outlineLevel="0" collapsed="false">
      <c r="A103" s="78" t="s">
        <v>32</v>
      </c>
      <c r="B103" s="79" t="s">
        <v>33</v>
      </c>
      <c r="C103" s="87" t="n">
        <f aca="false">E33</f>
        <v>4</v>
      </c>
      <c r="D103" s="81" t="n">
        <f aca="false">E102</f>
        <v>6787.88928755691</v>
      </c>
      <c r="E103" s="81" t="n">
        <f aca="false">C103*D103</f>
        <v>27151.5571502276</v>
      </c>
    </row>
    <row r="104" customFormat="false" ht="12.8" hidden="false" customHeight="false" outlineLevel="0" collapsed="false">
      <c r="D104" s="88" t="s">
        <v>34</v>
      </c>
      <c r="E104" s="89" t="n">
        <f aca="false">'FATOR FU_OFICIAL'!F5</f>
        <v>1</v>
      </c>
      <c r="F104" s="90" t="n">
        <f aca="false">E103*E104</f>
        <v>27151.5571502276</v>
      </c>
    </row>
    <row r="105" customFormat="false" ht="11.25" hidden="false" customHeight="true" outlineLevel="0" collapsed="false"/>
    <row r="106" customFormat="false" ht="11.25" hidden="false" customHeight="true" outlineLevel="0" collapsed="false">
      <c r="A106" s="69" t="s">
        <v>47</v>
      </c>
    </row>
    <row r="107" customFormat="false" ht="11.25" hidden="false" customHeight="true" outlineLevel="0" collapsed="false">
      <c r="A107" s="70" t="s">
        <v>16</v>
      </c>
      <c r="B107" s="71" t="s">
        <v>17</v>
      </c>
      <c r="C107" s="71" t="s">
        <v>9</v>
      </c>
      <c r="D107" s="72" t="s">
        <v>18</v>
      </c>
      <c r="E107" s="72" t="s">
        <v>19</v>
      </c>
      <c r="F107" s="73" t="s">
        <v>20</v>
      </c>
    </row>
    <row r="108" customFormat="false" ht="11.25" hidden="false" customHeight="true" outlineLevel="0" collapsed="false">
      <c r="A108" s="74" t="s">
        <v>43</v>
      </c>
      <c r="B108" s="75" t="s">
        <v>22</v>
      </c>
      <c r="C108" s="75" t="n">
        <v>1</v>
      </c>
      <c r="D108" s="76" t="n">
        <f aca="false">'VALORES BASE'!B2</f>
        <v>3012</v>
      </c>
      <c r="E108" s="77" t="n">
        <f aca="false">C108*D108</f>
        <v>3012</v>
      </c>
    </row>
    <row r="109" customFormat="false" ht="11.25" hidden="false" customHeight="true" outlineLevel="0" collapsed="false">
      <c r="A109" s="74" t="s">
        <v>44</v>
      </c>
      <c r="B109" s="75" t="s">
        <v>22</v>
      </c>
      <c r="C109" s="75" t="n">
        <v>1</v>
      </c>
      <c r="D109" s="76" t="n">
        <f aca="false">'VALORES BASE'!B40</f>
        <v>1621</v>
      </c>
      <c r="E109" s="77"/>
    </row>
    <row r="110" customFormat="false" ht="11.25" hidden="false" customHeight="true" outlineLevel="0" collapsed="false">
      <c r="A110" s="78" t="s">
        <v>23</v>
      </c>
      <c r="B110" s="79" t="s">
        <v>24</v>
      </c>
      <c r="C110" s="80" t="n">
        <f aca="false">'VALORES BASE'!B58</f>
        <v>7.92</v>
      </c>
      <c r="D110" s="81" t="n">
        <f aca="false">D108/220*2</f>
        <v>27.3818181818182</v>
      </c>
      <c r="E110" s="81" t="n">
        <f aca="false">C110*D110</f>
        <v>216.864</v>
      </c>
    </row>
    <row r="111" customFormat="false" ht="11.25" hidden="false" customHeight="true" outlineLevel="0" collapsed="false">
      <c r="A111" s="78" t="s">
        <v>25</v>
      </c>
      <c r="B111" s="79" t="s">
        <v>24</v>
      </c>
      <c r="C111" s="80"/>
      <c r="D111" s="81" t="n">
        <f aca="false">D108/220*1.5</f>
        <v>20.5363636363636</v>
      </c>
      <c r="E111" s="81" t="n">
        <f aca="false">C111*D111</f>
        <v>0</v>
      </c>
    </row>
    <row r="112" customFormat="false" ht="11.25" hidden="false" customHeight="true" outlineLevel="0" collapsed="false">
      <c r="A112" s="78" t="s">
        <v>26</v>
      </c>
      <c r="B112" s="79" t="s">
        <v>27</v>
      </c>
      <c r="D112" s="81" t="n">
        <f aca="false">63/302*(SUM(E110:E111))</f>
        <v>45.2398410596027</v>
      </c>
      <c r="E112" s="81" t="n">
        <f aca="false">D112</f>
        <v>45.2398410596027</v>
      </c>
    </row>
    <row r="113" customFormat="false" ht="11.25" hidden="false" customHeight="true" outlineLevel="0" collapsed="false">
      <c r="A113" s="78" t="s">
        <v>45</v>
      </c>
      <c r="B113" s="79"/>
      <c r="C113" s="87" t="n">
        <v>1</v>
      </c>
      <c r="D113" s="81"/>
      <c r="E113" s="81"/>
    </row>
    <row r="114" customFormat="false" ht="11.25" hidden="false" customHeight="true" outlineLevel="0" collapsed="false">
      <c r="A114" s="78" t="s">
        <v>28</v>
      </c>
      <c r="B114" s="79" t="s">
        <v>5</v>
      </c>
      <c r="C114" s="92" t="n">
        <v>40</v>
      </c>
      <c r="D114" s="81" t="n">
        <f aca="false">IF(C113=2,SUM(E108:E112),IF(C113=1,(SUM(E108:E112))*D109/D108,0))</f>
        <v>1762.05920529801</v>
      </c>
      <c r="E114" s="81" t="n">
        <f aca="false">C114*D114/100</f>
        <v>704.823682119205</v>
      </c>
    </row>
    <row r="115" customFormat="false" ht="11.25" hidden="false" customHeight="true" outlineLevel="0" collapsed="false">
      <c r="A115" s="95" t="s">
        <v>29</v>
      </c>
      <c r="B115" s="83"/>
      <c r="C115" s="83"/>
      <c r="D115" s="84"/>
      <c r="E115" s="96" t="n">
        <f aca="false">SUM(E108:E114)</f>
        <v>3978.92752317881</v>
      </c>
      <c r="F115" s="25"/>
    </row>
    <row r="116" customFormat="false" ht="11.25" hidden="false" customHeight="true" outlineLevel="0" collapsed="false">
      <c r="A116" s="78" t="s">
        <v>30</v>
      </c>
      <c r="B116" s="79" t="s">
        <v>5</v>
      </c>
      <c r="C116" s="86" t="n">
        <f aca="false">'2.Encargos Sociais'!$C$31*100</f>
        <v>70.595952</v>
      </c>
      <c r="D116" s="81" t="n">
        <f aca="false">E115</f>
        <v>3978.92752317881</v>
      </c>
      <c r="E116" s="81" t="n">
        <f aca="false">D116*C116/100</f>
        <v>2808.9617643781</v>
      </c>
    </row>
    <row r="117" customFormat="false" ht="11.25" hidden="false" customHeight="true" outlineLevel="0" collapsed="false">
      <c r="A117" s="95" t="s">
        <v>46</v>
      </c>
      <c r="B117" s="97"/>
      <c r="C117" s="97"/>
      <c r="D117" s="98"/>
      <c r="E117" s="96" t="n">
        <f aca="false">E115+E116</f>
        <v>6787.88928755691</v>
      </c>
      <c r="F117" s="25"/>
    </row>
    <row r="118" customFormat="false" ht="11.25" hidden="false" customHeight="true" outlineLevel="0" collapsed="false">
      <c r="A118" s="78" t="s">
        <v>32</v>
      </c>
      <c r="B118" s="79" t="s">
        <v>33</v>
      </c>
      <c r="C118" s="87" t="n">
        <f aca="false">E34</f>
        <v>2</v>
      </c>
      <c r="D118" s="81" t="n">
        <f aca="false">E117</f>
        <v>6787.88928755691</v>
      </c>
      <c r="E118" s="81" t="n">
        <f aca="false">C118*D118</f>
        <v>13575.7785751138</v>
      </c>
    </row>
    <row r="119" customFormat="false" ht="11.25" hidden="false" customHeight="true" outlineLevel="0" collapsed="false">
      <c r="D119" s="88" t="s">
        <v>34</v>
      </c>
      <c r="E119" s="89" t="n">
        <f aca="false">'FATOR FU_OFICIAL'!F9</f>
        <v>1</v>
      </c>
      <c r="F119" s="90" t="n">
        <f aca="false">E118*E119</f>
        <v>13575.7785751138</v>
      </c>
    </row>
    <row r="120" customFormat="false" ht="11.25" hidden="true" customHeight="true" outlineLevel="0" collapsed="false"/>
    <row r="121" customFormat="false" ht="11.25" hidden="true" customHeight="true" outlineLevel="0" collapsed="false"/>
    <row r="122" customFormat="false" ht="12.8" hidden="true" customHeight="false" outlineLevel="0" collapsed="false">
      <c r="A122" s="1" t="s">
        <v>48</v>
      </c>
    </row>
    <row r="123" customFormat="false" ht="12.8" hidden="true" customHeight="false" outlineLevel="0" collapsed="false">
      <c r="A123" s="70" t="s">
        <v>16</v>
      </c>
      <c r="B123" s="71" t="s">
        <v>17</v>
      </c>
      <c r="C123" s="71" t="s">
        <v>9</v>
      </c>
      <c r="D123" s="72" t="s">
        <v>18</v>
      </c>
      <c r="E123" s="72" t="s">
        <v>19</v>
      </c>
      <c r="F123" s="73" t="s">
        <v>20</v>
      </c>
    </row>
    <row r="124" customFormat="false" ht="12.8" hidden="true" customHeight="false" outlineLevel="0" collapsed="false">
      <c r="A124" s="74" t="s">
        <v>43</v>
      </c>
      <c r="B124" s="75" t="s">
        <v>22</v>
      </c>
      <c r="C124" s="75" t="n">
        <v>1</v>
      </c>
      <c r="D124" s="77" t="n">
        <f aca="false">D93</f>
        <v>3012</v>
      </c>
      <c r="E124" s="77" t="n">
        <f aca="false">C124*D124</f>
        <v>3012</v>
      </c>
    </row>
    <row r="125" customFormat="false" ht="12.8" hidden="true" customHeight="false" outlineLevel="0" collapsed="false">
      <c r="A125" s="74" t="s">
        <v>44</v>
      </c>
      <c r="B125" s="75" t="s">
        <v>22</v>
      </c>
      <c r="C125" s="75" t="n">
        <v>1</v>
      </c>
      <c r="D125" s="81" t="n">
        <f aca="false">D94</f>
        <v>1621</v>
      </c>
      <c r="E125" s="81"/>
    </row>
    <row r="126" customFormat="false" ht="12.8" hidden="true" customHeight="false" outlineLevel="0" collapsed="false">
      <c r="A126" s="78" t="s">
        <v>37</v>
      </c>
      <c r="B126" s="79" t="s">
        <v>38</v>
      </c>
      <c r="C126" s="80"/>
      <c r="D126" s="78"/>
      <c r="E126" s="78"/>
    </row>
    <row r="127" customFormat="false" ht="12.8" hidden="true" customHeight="false" outlineLevel="0" collapsed="false">
      <c r="A127" s="78"/>
      <c r="B127" s="79" t="s">
        <v>39</v>
      </c>
      <c r="C127" s="81" t="n">
        <f aca="false">C126*8/7</f>
        <v>0</v>
      </c>
      <c r="D127" s="81" t="n">
        <f aca="false">D124/220*0.2</f>
        <v>2.73818181818182</v>
      </c>
      <c r="E127" s="81" t="n">
        <f aca="false">C127*D127</f>
        <v>0</v>
      </c>
    </row>
    <row r="128" customFormat="false" ht="12.8" hidden="true" customHeight="false" outlineLevel="0" collapsed="false">
      <c r="A128" s="78" t="s">
        <v>23</v>
      </c>
      <c r="B128" s="79" t="s">
        <v>24</v>
      </c>
      <c r="C128" s="80"/>
      <c r="D128" s="81" t="n">
        <f aca="false">D124/220*2</f>
        <v>27.3818181818182</v>
      </c>
      <c r="E128" s="81" t="n">
        <f aca="false">C128*D128</f>
        <v>0</v>
      </c>
      <c r="G128" s="2" t="s">
        <v>49</v>
      </c>
    </row>
    <row r="129" customFormat="false" ht="12.8" hidden="true" customHeight="false" outlineLevel="0" collapsed="false">
      <c r="A129" s="78" t="s">
        <v>40</v>
      </c>
      <c r="B129" s="79" t="s">
        <v>38</v>
      </c>
      <c r="C129" s="80"/>
      <c r="D129" s="81"/>
      <c r="E129" s="81"/>
      <c r="G129" s="2" t="s">
        <v>50</v>
      </c>
    </row>
    <row r="130" customFormat="false" ht="12.8" hidden="true" customHeight="false" outlineLevel="0" collapsed="false">
      <c r="A130" s="78"/>
      <c r="B130" s="79" t="s">
        <v>39</v>
      </c>
      <c r="C130" s="81" t="n">
        <f aca="false">C129*8/7</f>
        <v>0</v>
      </c>
      <c r="D130" s="81" t="n">
        <f aca="false">D124/220*2*1.2</f>
        <v>32.8581818181818</v>
      </c>
      <c r="E130" s="81" t="n">
        <f aca="false">C130*D130</f>
        <v>0</v>
      </c>
      <c r="G130" s="2" t="s">
        <v>50</v>
      </c>
    </row>
    <row r="131" customFormat="false" ht="12.8" hidden="true" customHeight="false" outlineLevel="0" collapsed="false">
      <c r="A131" s="78" t="s">
        <v>25</v>
      </c>
      <c r="B131" s="79" t="s">
        <v>24</v>
      </c>
      <c r="C131" s="80"/>
      <c r="D131" s="81" t="n">
        <f aca="false">D124/220*1.5</f>
        <v>20.5363636363636</v>
      </c>
      <c r="E131" s="81" t="n">
        <f aca="false">C131*D131</f>
        <v>0</v>
      </c>
      <c r="G131" s="2" t="s">
        <v>51</v>
      </c>
    </row>
    <row r="132" customFormat="false" ht="12.8" hidden="true" customHeight="false" outlineLevel="0" collapsed="false">
      <c r="A132" s="78" t="s">
        <v>41</v>
      </c>
      <c r="B132" s="79" t="s">
        <v>38</v>
      </c>
      <c r="C132" s="80"/>
      <c r="D132" s="81"/>
      <c r="E132" s="81"/>
      <c r="G132" s="2" t="s">
        <v>52</v>
      </c>
    </row>
    <row r="133" customFormat="false" ht="12.8" hidden="true" customHeight="false" outlineLevel="0" collapsed="false">
      <c r="A133" s="78"/>
      <c r="B133" s="79" t="s">
        <v>39</v>
      </c>
      <c r="C133" s="81" t="n">
        <f aca="false">C132*8/7</f>
        <v>0</v>
      </c>
      <c r="D133" s="81" t="n">
        <f aca="false">D124/220*1.5*1.2</f>
        <v>24.6436363636364</v>
      </c>
      <c r="E133" s="81" t="n">
        <f aca="false">C133*D133</f>
        <v>0</v>
      </c>
      <c r="G133" s="2" t="s">
        <v>52</v>
      </c>
    </row>
    <row r="134" customFormat="false" ht="13.15" hidden="true" customHeight="true" outlineLevel="0" collapsed="false">
      <c r="A134" s="78" t="s">
        <v>26</v>
      </c>
      <c r="B134" s="79" t="s">
        <v>27</v>
      </c>
      <c r="D134" s="81" t="n">
        <f aca="false">63/302*(SUM(E128:E133))</f>
        <v>0</v>
      </c>
      <c r="E134" s="81" t="n">
        <f aca="false">D134</f>
        <v>0</v>
      </c>
      <c r="G134" s="2" t="s">
        <v>53</v>
      </c>
    </row>
    <row r="135" customFormat="false" ht="12.8" hidden="true" customHeight="false" outlineLevel="0" collapsed="false">
      <c r="A135" s="78" t="s">
        <v>45</v>
      </c>
      <c r="B135" s="79"/>
      <c r="C135" s="87"/>
      <c r="D135" s="81"/>
      <c r="E135" s="81"/>
    </row>
    <row r="136" customFormat="false" ht="12.8" hidden="true" customHeight="false" outlineLevel="0" collapsed="false">
      <c r="A136" s="78" t="s">
        <v>28</v>
      </c>
      <c r="B136" s="79" t="s">
        <v>5</v>
      </c>
      <c r="C136" s="81" t="n">
        <f aca="false">+C99</f>
        <v>40</v>
      </c>
      <c r="D136" s="81" t="n">
        <f aca="false">IF(C135=2,SUM(E124:E134),IF(C135=1,SUM(E124:E134)*D125/D124,0))</f>
        <v>0</v>
      </c>
      <c r="E136" s="81" t="n">
        <f aca="false">C136*D136/100</f>
        <v>0</v>
      </c>
    </row>
    <row r="137" customFormat="false" ht="12.8" hidden="true" customHeight="false" outlineLevel="0" collapsed="false">
      <c r="A137" s="82" t="s">
        <v>29</v>
      </c>
      <c r="B137" s="83"/>
      <c r="C137" s="83"/>
      <c r="D137" s="84"/>
      <c r="E137" s="85" t="n">
        <f aca="false">SUM(E124:E136)</f>
        <v>3012</v>
      </c>
      <c r="F137" s="25"/>
      <c r="G137" s="25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</row>
    <row r="138" customFormat="false" ht="12.8" hidden="true" customHeight="false" outlineLevel="0" collapsed="false">
      <c r="A138" s="78" t="s">
        <v>30</v>
      </c>
      <c r="B138" s="79" t="s">
        <v>5</v>
      </c>
      <c r="C138" s="86" t="n">
        <f aca="false">'2.Encargos Sociais'!$C$31*100</f>
        <v>70.595952</v>
      </c>
      <c r="D138" s="81" t="n">
        <f aca="false">E137</f>
        <v>3012</v>
      </c>
      <c r="E138" s="81" t="n">
        <f aca="false">D138*C138/100</f>
        <v>2126.35007424</v>
      </c>
    </row>
    <row r="139" customFormat="false" ht="12.8" hidden="true" customHeight="false" outlineLevel="0" collapsed="false">
      <c r="A139" s="82" t="s">
        <v>46</v>
      </c>
      <c r="B139" s="83"/>
      <c r="C139" s="83"/>
      <c r="D139" s="84"/>
      <c r="E139" s="85" t="n">
        <f aca="false">E137+E138</f>
        <v>5138.35007424</v>
      </c>
      <c r="F139" s="25"/>
      <c r="G139" s="25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</row>
    <row r="140" customFormat="false" ht="12.8" hidden="true" customHeight="false" outlineLevel="0" collapsed="false">
      <c r="A140" s="78" t="s">
        <v>32</v>
      </c>
      <c r="B140" s="79" t="s">
        <v>33</v>
      </c>
      <c r="C140" s="92" t="n">
        <v>0</v>
      </c>
      <c r="D140" s="81" t="n">
        <f aca="false">E139</f>
        <v>5138.35007424</v>
      </c>
      <c r="E140" s="81" t="n">
        <f aca="false">C140*D140</f>
        <v>0</v>
      </c>
    </row>
    <row r="141" customFormat="false" ht="12.8" hidden="true" customHeight="false" outlineLevel="0" collapsed="false">
      <c r="D141" s="88" t="s">
        <v>34</v>
      </c>
      <c r="E141" s="93" t="n">
        <f aca="false">$B$43</f>
        <v>0.7158</v>
      </c>
      <c r="F141" s="90" t="n">
        <f aca="false">E140*E141</f>
        <v>0</v>
      </c>
    </row>
    <row r="142" customFormat="false" ht="11.25" hidden="false" customHeight="true" outlineLevel="0" collapsed="false">
      <c r="G142" s="1"/>
    </row>
    <row r="143" customFormat="false" ht="11.25" hidden="false" customHeight="true" outlineLevel="0" collapsed="false">
      <c r="A143" s="69" t="s">
        <v>54</v>
      </c>
      <c r="G143" s="1"/>
    </row>
    <row r="144" customFormat="false" ht="11.25" hidden="false" customHeight="true" outlineLevel="0" collapsed="false">
      <c r="A144" s="70" t="s">
        <v>16</v>
      </c>
      <c r="B144" s="71" t="s">
        <v>17</v>
      </c>
      <c r="C144" s="71" t="s">
        <v>9</v>
      </c>
      <c r="D144" s="72" t="s">
        <v>18</v>
      </c>
      <c r="E144" s="72" t="s">
        <v>19</v>
      </c>
      <c r="F144" s="73" t="s">
        <v>20</v>
      </c>
      <c r="G144" s="1"/>
    </row>
    <row r="145" customFormat="false" ht="11.25" hidden="false" customHeight="true" outlineLevel="0" collapsed="false">
      <c r="A145" s="74" t="s">
        <v>43</v>
      </c>
      <c r="B145" s="75" t="s">
        <v>22</v>
      </c>
      <c r="C145" s="99" t="n">
        <f aca="false">E36</f>
        <v>1</v>
      </c>
      <c r="D145" s="76" t="n">
        <f aca="false">'VALORES BASE'!B2</f>
        <v>3012</v>
      </c>
      <c r="E145" s="77" t="n">
        <f aca="false">C145*D145</f>
        <v>3012</v>
      </c>
      <c r="G145" s="1"/>
    </row>
    <row r="146" customFormat="false" ht="11.25" hidden="false" customHeight="true" outlineLevel="0" collapsed="false">
      <c r="A146" s="74" t="s">
        <v>55</v>
      </c>
      <c r="B146" s="75" t="s">
        <v>5</v>
      </c>
      <c r="C146" s="99" t="n">
        <v>40</v>
      </c>
      <c r="D146" s="76" t="n">
        <f aca="false">D145</f>
        <v>3012</v>
      </c>
      <c r="E146" s="77" t="n">
        <f aca="false">D146*C146/100</f>
        <v>1204.8</v>
      </c>
      <c r="G146" s="1"/>
    </row>
    <row r="147" customFormat="false" ht="11.25" hidden="false" customHeight="true" outlineLevel="0" collapsed="false">
      <c r="A147" s="74" t="s">
        <v>44</v>
      </c>
      <c r="B147" s="75" t="s">
        <v>22</v>
      </c>
      <c r="C147" s="75" t="n">
        <v>1</v>
      </c>
      <c r="D147" s="76" t="n">
        <f aca="false">'VALORES BASE'!B40</f>
        <v>1621</v>
      </c>
      <c r="E147" s="77"/>
      <c r="G147" s="1"/>
    </row>
    <row r="148" customFormat="false" ht="11.25" hidden="false" customHeight="true" outlineLevel="0" collapsed="false">
      <c r="A148" s="78" t="s">
        <v>23</v>
      </c>
      <c r="B148" s="79" t="s">
        <v>24</v>
      </c>
      <c r="C148" s="80" t="n">
        <f aca="false">'VALORES BASE'!B64</f>
        <v>7.9164</v>
      </c>
      <c r="D148" s="81" t="n">
        <f aca="false">((D145+E146)/220)*2</f>
        <v>38.3345454545455</v>
      </c>
      <c r="E148" s="81" t="n">
        <f aca="false">C148*D148</f>
        <v>303.471595636364</v>
      </c>
      <c r="G148" s="1"/>
    </row>
    <row r="149" customFormat="false" ht="11.25" hidden="false" customHeight="true" outlineLevel="0" collapsed="false">
      <c r="A149" s="78" t="s">
        <v>25</v>
      </c>
      <c r="B149" s="79" t="s">
        <v>24</v>
      </c>
      <c r="C149" s="80"/>
      <c r="D149" s="81" t="n">
        <f aca="false">((D145+E146)/220)*1.5</f>
        <v>28.7509090909091</v>
      </c>
      <c r="E149" s="81" t="n">
        <f aca="false">C149*D149</f>
        <v>0</v>
      </c>
      <c r="G149" s="1"/>
    </row>
    <row r="150" customFormat="false" ht="11.25" hidden="false" customHeight="true" outlineLevel="0" collapsed="false">
      <c r="A150" s="78" t="s">
        <v>26</v>
      </c>
      <c r="B150" s="79" t="s">
        <v>27</v>
      </c>
      <c r="D150" s="81" t="n">
        <f aca="false">63/302*(SUM(E148:E149))</f>
        <v>63.3069884936785</v>
      </c>
      <c r="E150" s="81" t="n">
        <f aca="false">D150</f>
        <v>63.3069884936785</v>
      </c>
      <c r="G150" s="1"/>
    </row>
    <row r="151" customFormat="false" ht="11.25" hidden="false" customHeight="true" outlineLevel="0" collapsed="false">
      <c r="A151" s="78" t="s">
        <v>45</v>
      </c>
      <c r="B151" s="79"/>
      <c r="C151" s="87" t="n">
        <v>1</v>
      </c>
      <c r="D151" s="81"/>
      <c r="E151" s="81"/>
      <c r="G151" s="1"/>
    </row>
    <row r="152" customFormat="false" ht="11.25" hidden="false" customHeight="true" outlineLevel="0" collapsed="false">
      <c r="A152" s="78" t="s">
        <v>28</v>
      </c>
      <c r="B152" s="79" t="s">
        <v>5</v>
      </c>
      <c r="C152" s="92" t="n">
        <v>40</v>
      </c>
      <c r="D152" s="81" t="n">
        <f aca="false">IF(C151=2,SUM(E145:E150),IF(C151=1,(SUM(E145:E150))*D147/D145,0))</f>
        <v>2466.79312246839</v>
      </c>
      <c r="E152" s="81" t="n">
        <f aca="false">C152*D152/100</f>
        <v>986.717248987357</v>
      </c>
      <c r="G152" s="1"/>
    </row>
    <row r="153" customFormat="false" ht="11.25" hidden="false" customHeight="true" outlineLevel="0" collapsed="false">
      <c r="A153" s="95" t="s">
        <v>29</v>
      </c>
      <c r="B153" s="83"/>
      <c r="C153" s="83"/>
      <c r="D153" s="84"/>
      <c r="E153" s="96" t="n">
        <f aca="false">SUM(E145:E152)</f>
        <v>5570.2958331174</v>
      </c>
      <c r="F153" s="25"/>
      <c r="G153" s="1"/>
    </row>
    <row r="154" customFormat="false" ht="11.25" hidden="false" customHeight="true" outlineLevel="0" collapsed="false">
      <c r="A154" s="78" t="s">
        <v>30</v>
      </c>
      <c r="B154" s="79" t="s">
        <v>5</v>
      </c>
      <c r="C154" s="86" t="n">
        <f aca="false">'2.Encargos Sociais'!$C$31*100</f>
        <v>70.595952</v>
      </c>
      <c r="D154" s="81" t="n">
        <f aca="false">E153</f>
        <v>5570.2958331174</v>
      </c>
      <c r="E154" s="81" t="n">
        <f aca="false">D154*C154/100</f>
        <v>3932.40337260556</v>
      </c>
      <c r="G154" s="1"/>
    </row>
    <row r="155" customFormat="false" ht="11.25" hidden="false" customHeight="true" outlineLevel="0" collapsed="false">
      <c r="A155" s="95" t="s">
        <v>46</v>
      </c>
      <c r="B155" s="97"/>
      <c r="C155" s="97"/>
      <c r="D155" s="98"/>
      <c r="E155" s="96" t="n">
        <f aca="false">E153+E154</f>
        <v>9502.69920572296</v>
      </c>
      <c r="F155" s="25"/>
      <c r="G155" s="1"/>
    </row>
    <row r="156" customFormat="false" ht="11.25" hidden="false" customHeight="true" outlineLevel="0" collapsed="false">
      <c r="A156" s="78" t="s">
        <v>32</v>
      </c>
      <c r="B156" s="79" t="s">
        <v>33</v>
      </c>
      <c r="C156" s="87" t="n">
        <f aca="false">E36</f>
        <v>1</v>
      </c>
      <c r="D156" s="81" t="n">
        <f aca="false">E155</f>
        <v>9502.69920572296</v>
      </c>
      <c r="E156" s="81" t="n">
        <f aca="false">C156*D156</f>
        <v>9502.69920572296</v>
      </c>
      <c r="G156" s="1"/>
    </row>
    <row r="157" customFormat="false" ht="11.25" hidden="false" customHeight="true" outlineLevel="0" collapsed="false">
      <c r="D157" s="88" t="s">
        <v>34</v>
      </c>
      <c r="E157" s="89" t="n">
        <v>1</v>
      </c>
      <c r="F157" s="90" t="n">
        <f aca="false">E156*E157</f>
        <v>9502.69920572296</v>
      </c>
      <c r="G157" s="1"/>
    </row>
    <row r="158" customFormat="false" ht="11.25" hidden="false" customHeight="true" outlineLevel="0" collapsed="false">
      <c r="D158" s="88"/>
      <c r="E158" s="89"/>
      <c r="F158" s="88"/>
      <c r="G158" s="1"/>
    </row>
    <row r="159" customFormat="false" ht="11.25" hidden="false" customHeight="true" outlineLevel="0" collapsed="false">
      <c r="D159" s="88"/>
      <c r="E159" s="89"/>
      <c r="F159" s="88"/>
      <c r="G159" s="1"/>
    </row>
    <row r="160" customFormat="false" ht="12.8" hidden="false" customHeight="false" outlineLevel="0" collapsed="false">
      <c r="A160" s="69" t="s">
        <v>56</v>
      </c>
      <c r="B160" s="100"/>
      <c r="D160" s="1"/>
      <c r="E160" s="1"/>
      <c r="G160" s="1"/>
    </row>
    <row r="161" customFormat="false" ht="12.8" hidden="false" customHeight="false" outlineLevel="0" collapsed="false">
      <c r="A161" s="70" t="s">
        <v>16</v>
      </c>
      <c r="B161" s="71" t="s">
        <v>17</v>
      </c>
      <c r="C161" s="71" t="s">
        <v>9</v>
      </c>
      <c r="D161" s="72" t="s">
        <v>18</v>
      </c>
      <c r="E161" s="72" t="s">
        <v>19</v>
      </c>
      <c r="F161" s="73" t="s">
        <v>20</v>
      </c>
      <c r="G161" s="1"/>
    </row>
    <row r="162" customFormat="false" ht="12.8" hidden="false" customHeight="false" outlineLevel="0" collapsed="false">
      <c r="A162" s="78" t="s">
        <v>57</v>
      </c>
      <c r="B162" s="79" t="s">
        <v>27</v>
      </c>
      <c r="C162" s="101" t="n">
        <v>1</v>
      </c>
      <c r="D162" s="102" t="n">
        <f aca="false">'VALORES BASE'!B18</f>
        <v>6.5</v>
      </c>
      <c r="E162" s="81"/>
      <c r="G162" s="1"/>
    </row>
    <row r="163" customFormat="false" ht="12.8" hidden="false" customHeight="false" outlineLevel="0" collapsed="false">
      <c r="A163" s="78" t="s">
        <v>58</v>
      </c>
      <c r="B163" s="79" t="s">
        <v>59</v>
      </c>
      <c r="C163" s="103" t="n">
        <v>26</v>
      </c>
      <c r="D163" s="81"/>
      <c r="E163" s="81"/>
      <c r="G163" s="1"/>
    </row>
    <row r="164" customFormat="false" ht="12.8" hidden="false" customHeight="false" outlineLevel="0" collapsed="false">
      <c r="A164" s="78" t="s">
        <v>60</v>
      </c>
      <c r="B164" s="79" t="s">
        <v>61</v>
      </c>
      <c r="C164" s="104" t="n">
        <f aca="false">$C$163*2*(C57+C70)</f>
        <v>728</v>
      </c>
      <c r="D164" s="77" t="n">
        <f aca="false">IFERROR((($C$163*2*$D$162)-(E49*0.06*C163/26))/($C$163*2),"-")</f>
        <v>4.09733461538462</v>
      </c>
      <c r="E164" s="81" t="n">
        <f aca="false">IFERROR(C164*D164,"-")</f>
        <v>2982.8596</v>
      </c>
      <c r="G164" s="1"/>
    </row>
    <row r="165" customFormat="false" ht="12.8" hidden="false" customHeight="false" outlineLevel="0" collapsed="false">
      <c r="A165" s="74" t="s">
        <v>62</v>
      </c>
      <c r="B165" s="75" t="s">
        <v>61</v>
      </c>
      <c r="C165" s="104" t="n">
        <f aca="false">$C$163*2*(C103+C140+C118)</f>
        <v>312</v>
      </c>
      <c r="D165" s="77" t="n">
        <f aca="false">IFERROR((($C$163*2*$D$162)-(E93*0.06*C163/26))/($C$163*2),"-")</f>
        <v>3.02461538461538</v>
      </c>
      <c r="E165" s="77" t="n">
        <f aca="false">IFERROR(C165*D165,"-")</f>
        <v>943.68</v>
      </c>
      <c r="G165" s="1"/>
    </row>
    <row r="166" customFormat="false" ht="12.8" hidden="false" customHeight="false" outlineLevel="0" collapsed="false">
      <c r="A166" s="74" t="s">
        <v>63</v>
      </c>
      <c r="B166" s="75" t="s">
        <v>61</v>
      </c>
      <c r="C166" s="104" t="n">
        <f aca="false">$C$163*2*(C156)</f>
        <v>52</v>
      </c>
      <c r="D166" s="77" t="n">
        <f aca="false">IFERROR((($C$163*2*$D$162)-(D145*0.06*C163/26))/($C$163*2),"-")</f>
        <v>3.02461538461538</v>
      </c>
      <c r="E166" s="77" t="n">
        <f aca="false">IFERROR(C166*D166,"-")</f>
        <v>157.28</v>
      </c>
      <c r="G166" s="1"/>
    </row>
    <row r="167" customFormat="false" ht="12.8" hidden="false" customHeight="false" outlineLevel="0" collapsed="false">
      <c r="F167" s="105" t="n">
        <f aca="false">SUM(E164:E166)</f>
        <v>4083.8196</v>
      </c>
      <c r="G167" s="1"/>
    </row>
    <row r="168" customFormat="false" ht="11.25" hidden="false" customHeight="true" outlineLevel="0" collapsed="false">
      <c r="G168" s="1"/>
    </row>
    <row r="169" customFormat="false" ht="12.8" hidden="false" customHeight="false" outlineLevel="0" collapsed="false">
      <c r="A169" s="69" t="s">
        <v>64</v>
      </c>
      <c r="F169" s="25"/>
      <c r="G169" s="1"/>
    </row>
    <row r="170" customFormat="false" ht="12.8" hidden="false" customHeight="false" outlineLevel="0" collapsed="false">
      <c r="A170" s="70" t="s">
        <v>16</v>
      </c>
      <c r="B170" s="71" t="s">
        <v>17</v>
      </c>
      <c r="C170" s="71" t="s">
        <v>9</v>
      </c>
      <c r="D170" s="72" t="s">
        <v>18</v>
      </c>
      <c r="E170" s="72" t="s">
        <v>19</v>
      </c>
      <c r="F170" s="73" t="s">
        <v>20</v>
      </c>
      <c r="G170" s="1"/>
    </row>
    <row r="171" customFormat="false" ht="12.8" hidden="false" customHeight="false" outlineLevel="0" collapsed="false">
      <c r="A171" s="78" t="str">
        <f aca="false">+A164</f>
        <v>Coletor</v>
      </c>
      <c r="B171" s="79" t="s">
        <v>65</v>
      </c>
      <c r="C171" s="104" t="n">
        <f aca="false">C163*(E31+E32)</f>
        <v>364</v>
      </c>
      <c r="D171" s="106" t="n">
        <f aca="false">'VALORES BASE'!B19</f>
        <v>27.15</v>
      </c>
      <c r="E171" s="89" t="n">
        <f aca="false">C171*D171</f>
        <v>9882.6</v>
      </c>
      <c r="F171" s="25"/>
      <c r="G171" s="1"/>
    </row>
    <row r="172" customFormat="false" ht="12.8" hidden="false" customHeight="false" outlineLevel="0" collapsed="false">
      <c r="A172" s="78" t="str">
        <f aca="false">+A165</f>
        <v>Motorista</v>
      </c>
      <c r="B172" s="79" t="s">
        <v>65</v>
      </c>
      <c r="C172" s="104" t="n">
        <f aca="false">C163*(E33+E34+E35)</f>
        <v>156</v>
      </c>
      <c r="D172" s="106" t="n">
        <f aca="false">'VALORES BASE'!B20</f>
        <v>35.75</v>
      </c>
      <c r="E172" s="89" t="n">
        <f aca="false">C172*D172</f>
        <v>5577</v>
      </c>
      <c r="F172" s="25"/>
      <c r="G172" s="1"/>
    </row>
    <row r="173" customFormat="false" ht="12.8" hidden="false" customHeight="false" outlineLevel="0" collapsed="false">
      <c r="A173" s="78" t="str">
        <f aca="false">A166</f>
        <v>Líder de Equipe</v>
      </c>
      <c r="B173" s="79" t="s">
        <v>65</v>
      </c>
      <c r="C173" s="104" t="n">
        <f aca="false">C163*(E36)</f>
        <v>26</v>
      </c>
      <c r="D173" s="106" t="n">
        <f aca="false">'VALORES BASE'!B20</f>
        <v>35.75</v>
      </c>
      <c r="E173" s="89" t="n">
        <f aca="false">C173*D173</f>
        <v>929.5</v>
      </c>
      <c r="F173" s="25"/>
      <c r="G173" s="1"/>
    </row>
    <row r="174" customFormat="false" ht="12.8" hidden="false" customHeight="false" outlineLevel="0" collapsed="false">
      <c r="F174" s="105" t="n">
        <f aca="false">SUM(E171:E173)</f>
        <v>16389.1</v>
      </c>
      <c r="G174" s="1"/>
    </row>
    <row r="175" customFormat="false" ht="12.8" hidden="false" customHeight="false" outlineLevel="0" collapsed="false">
      <c r="G175" s="1"/>
    </row>
    <row r="176" customFormat="false" ht="12.8" hidden="false" customHeight="false" outlineLevel="0" collapsed="false">
      <c r="A176" s="69" t="s">
        <v>66</v>
      </c>
      <c r="F176" s="25"/>
      <c r="G176" s="1"/>
    </row>
    <row r="177" customFormat="false" ht="12.8" hidden="false" customHeight="false" outlineLevel="0" collapsed="false">
      <c r="A177" s="70" t="s">
        <v>16</v>
      </c>
      <c r="B177" s="71" t="s">
        <v>17</v>
      </c>
      <c r="C177" s="71" t="s">
        <v>9</v>
      </c>
      <c r="D177" s="72" t="s">
        <v>18</v>
      </c>
      <c r="E177" s="72" t="s">
        <v>19</v>
      </c>
      <c r="F177" s="73" t="s">
        <v>20</v>
      </c>
      <c r="G177" s="1"/>
    </row>
    <row r="178" customFormat="false" ht="12.8" hidden="false" customHeight="false" outlineLevel="0" collapsed="false">
      <c r="A178" s="78" t="str">
        <f aca="false">+A171</f>
        <v>Coletor</v>
      </c>
      <c r="B178" s="79" t="s">
        <v>65</v>
      </c>
      <c r="C178" s="104" t="n">
        <f aca="false">E31</f>
        <v>12</v>
      </c>
      <c r="D178" s="106" t="n">
        <f aca="false">'VALORES BASE'!B21</f>
        <v>400</v>
      </c>
      <c r="E178" s="89" t="n">
        <f aca="false">C178*D178</f>
        <v>4800</v>
      </c>
      <c r="F178" s="25"/>
      <c r="G178" s="1"/>
    </row>
    <row r="179" customFormat="false" ht="12.8" hidden="false" customHeight="false" outlineLevel="0" collapsed="false">
      <c r="A179" s="78" t="str">
        <f aca="false">+A172</f>
        <v>Motorista</v>
      </c>
      <c r="B179" s="79" t="s">
        <v>65</v>
      </c>
      <c r="C179" s="104" t="n">
        <f aca="false">E33</f>
        <v>4</v>
      </c>
      <c r="D179" s="106" t="n">
        <f aca="false">'VALORES BASE'!B22</f>
        <v>400</v>
      </c>
      <c r="E179" s="89" t="n">
        <f aca="false">C179*D179</f>
        <v>1600</v>
      </c>
      <c r="F179" s="25"/>
      <c r="G179" s="1"/>
    </row>
    <row r="180" customFormat="false" ht="12.8" hidden="false" customHeight="false" outlineLevel="0" collapsed="false">
      <c r="D180" s="88" t="s">
        <v>34</v>
      </c>
      <c r="E180" s="89" t="n">
        <f aca="false">'FATOR FU_OFICIAL'!F5</f>
        <v>1</v>
      </c>
      <c r="F180" s="105" t="n">
        <f aca="false">SUM(E178:E179)*E180</f>
        <v>6400</v>
      </c>
      <c r="G180" s="1"/>
    </row>
    <row r="181" customFormat="false" ht="12.8" hidden="false" customHeight="false" outlineLevel="0" collapsed="false">
      <c r="G181" s="1"/>
    </row>
    <row r="182" customFormat="false" ht="12.8" hidden="false" customHeight="false" outlineLevel="0" collapsed="false">
      <c r="A182" s="69" t="s">
        <v>67</v>
      </c>
      <c r="F182" s="25"/>
      <c r="G182" s="1"/>
    </row>
    <row r="183" customFormat="false" ht="12.8" hidden="false" customHeight="false" outlineLevel="0" collapsed="false">
      <c r="A183" s="70" t="s">
        <v>16</v>
      </c>
      <c r="B183" s="71" t="s">
        <v>17</v>
      </c>
      <c r="C183" s="71" t="s">
        <v>9</v>
      </c>
      <c r="D183" s="72" t="s">
        <v>18</v>
      </c>
      <c r="E183" s="72" t="s">
        <v>19</v>
      </c>
      <c r="F183" s="73" t="s">
        <v>20</v>
      </c>
      <c r="G183" s="1"/>
    </row>
    <row r="184" customFormat="false" ht="12.8" hidden="false" customHeight="false" outlineLevel="0" collapsed="false">
      <c r="A184" s="78" t="s">
        <v>68</v>
      </c>
      <c r="B184" s="79" t="s">
        <v>65</v>
      </c>
      <c r="C184" s="104" t="n">
        <f aca="false">E34</f>
        <v>2</v>
      </c>
      <c r="D184" s="106" t="n">
        <f aca="false">'VALORES BASE'!B21</f>
        <v>400</v>
      </c>
      <c r="E184" s="89" t="n">
        <f aca="false">C184*D184</f>
        <v>800</v>
      </c>
      <c r="F184" s="25"/>
      <c r="G184" s="1"/>
    </row>
    <row r="185" customFormat="false" ht="12.8" hidden="false" customHeight="false" outlineLevel="0" collapsed="false">
      <c r="A185" s="78" t="s">
        <v>69</v>
      </c>
      <c r="B185" s="79" t="s">
        <v>65</v>
      </c>
      <c r="C185" s="104" t="n">
        <f aca="false">E36</f>
        <v>1</v>
      </c>
      <c r="D185" s="106" t="n">
        <f aca="false">'VALORES BASE'!B22</f>
        <v>400</v>
      </c>
      <c r="E185" s="89" t="n">
        <f aca="false">C185*D185</f>
        <v>400</v>
      </c>
      <c r="F185" s="25"/>
      <c r="G185" s="1"/>
    </row>
    <row r="186" customFormat="false" ht="12.8" hidden="false" customHeight="false" outlineLevel="0" collapsed="false">
      <c r="A186" s="78" t="s">
        <v>70</v>
      </c>
      <c r="B186" s="79" t="s">
        <v>65</v>
      </c>
      <c r="C186" s="104" t="n">
        <f aca="false">E32</f>
        <v>2</v>
      </c>
      <c r="D186" s="106" t="n">
        <f aca="false">'VALORES BASE'!B22</f>
        <v>400</v>
      </c>
      <c r="E186" s="89" t="n">
        <f aca="false">C186*D186</f>
        <v>800</v>
      </c>
      <c r="F186" s="25"/>
      <c r="G186" s="1"/>
    </row>
    <row r="187" customFormat="false" ht="12.8" hidden="false" customHeight="false" outlineLevel="0" collapsed="false">
      <c r="D187" s="88" t="s">
        <v>34</v>
      </c>
      <c r="E187" s="89" t="n">
        <f aca="false">'FATOR FU_OFICIAL'!F9</f>
        <v>1</v>
      </c>
      <c r="F187" s="105" t="n">
        <f aca="false">SUM(E184:E186)*E187</f>
        <v>2000</v>
      </c>
      <c r="G187" s="1"/>
    </row>
    <row r="188" customFormat="false" ht="12.8" hidden="false" customHeight="false" outlineLevel="0" collapsed="false">
      <c r="G188" s="1"/>
    </row>
    <row r="189" customFormat="false" ht="12.8" hidden="false" customHeight="false" outlineLevel="0" collapsed="false">
      <c r="A189" s="69" t="s">
        <v>71</v>
      </c>
      <c r="F189" s="25"/>
      <c r="G189" s="1"/>
    </row>
    <row r="190" customFormat="false" ht="12.8" hidden="false" customHeight="false" outlineLevel="0" collapsed="false">
      <c r="A190" s="70" t="s">
        <v>16</v>
      </c>
      <c r="B190" s="71" t="s">
        <v>17</v>
      </c>
      <c r="C190" s="71" t="s">
        <v>9</v>
      </c>
      <c r="D190" s="72" t="s">
        <v>18</v>
      </c>
      <c r="E190" s="72" t="s">
        <v>19</v>
      </c>
      <c r="F190" s="107" t="s">
        <v>72</v>
      </c>
      <c r="G190" s="1"/>
    </row>
    <row r="191" customFormat="false" ht="12.8" hidden="false" customHeight="false" outlineLevel="0" collapsed="false">
      <c r="A191" s="78" t="s">
        <v>73</v>
      </c>
      <c r="B191" s="79" t="s">
        <v>65</v>
      </c>
      <c r="C191" s="104" t="n">
        <f aca="false">E31+E32</f>
        <v>14</v>
      </c>
      <c r="D191" s="106" t="n">
        <f aca="false">'VALORES BASE'!B65</f>
        <v>28</v>
      </c>
      <c r="E191" s="89" t="n">
        <f aca="false">C191*D191</f>
        <v>392</v>
      </c>
      <c r="F191" s="25"/>
      <c r="G191" s="1"/>
    </row>
    <row r="192" customFormat="false" ht="12.8" hidden="false" customHeight="false" outlineLevel="0" collapsed="false">
      <c r="A192" s="78" t="s">
        <v>74</v>
      </c>
      <c r="B192" s="79" t="s">
        <v>65</v>
      </c>
      <c r="C192" s="104" t="n">
        <f aca="false">E33+E34+E36</f>
        <v>7</v>
      </c>
      <c r="D192" s="106" t="n">
        <f aca="false">'VALORES BASE'!B65</f>
        <v>28</v>
      </c>
      <c r="E192" s="89" t="n">
        <f aca="false">C192*D192</f>
        <v>196</v>
      </c>
      <c r="F192" s="25"/>
      <c r="G192" s="1"/>
    </row>
    <row r="193" customFormat="false" ht="12.8" hidden="false" customHeight="false" outlineLevel="0" collapsed="false">
      <c r="A193" s="3"/>
      <c r="D193" s="88" t="s">
        <v>34</v>
      </c>
      <c r="E193" s="89" t="n">
        <f aca="false">'FATOR FU_OFICIAL'!F9</f>
        <v>1</v>
      </c>
      <c r="F193" s="105" t="n">
        <f aca="false">E193*(E191+E192)</f>
        <v>588</v>
      </c>
      <c r="G193" s="1"/>
    </row>
    <row r="194" customFormat="false" ht="12.8" hidden="false" customHeight="false" outlineLevel="0" collapsed="false">
      <c r="G194" s="1"/>
    </row>
    <row r="195" customFormat="false" ht="12.8" hidden="false" customHeight="false" outlineLevel="0" collapsed="false">
      <c r="A195" s="69" t="s">
        <v>75</v>
      </c>
      <c r="F195" s="25"/>
      <c r="G195" s="1"/>
    </row>
    <row r="196" customFormat="false" ht="12.8" hidden="false" customHeight="false" outlineLevel="0" collapsed="false">
      <c r="A196" s="70" t="s">
        <v>16</v>
      </c>
      <c r="B196" s="71" t="s">
        <v>17</v>
      </c>
      <c r="C196" s="71" t="s">
        <v>9</v>
      </c>
      <c r="D196" s="72" t="s">
        <v>18</v>
      </c>
      <c r="E196" s="72" t="s">
        <v>19</v>
      </c>
      <c r="F196" s="107" t="s">
        <v>72</v>
      </c>
      <c r="G196" s="1"/>
    </row>
    <row r="197" customFormat="false" ht="12.8" hidden="false" customHeight="false" outlineLevel="0" collapsed="false">
      <c r="A197" s="78" t="s">
        <v>73</v>
      </c>
      <c r="B197" s="79" t="s">
        <v>65</v>
      </c>
      <c r="C197" s="104" t="n">
        <f aca="false">E31+E32</f>
        <v>14</v>
      </c>
      <c r="D197" s="106" t="n">
        <f aca="false">'VALORES BASE'!B67</f>
        <v>80</v>
      </c>
      <c r="E197" s="89" t="n">
        <f aca="false">C197*D197</f>
        <v>1120</v>
      </c>
      <c r="F197" s="25"/>
      <c r="G197" s="1"/>
    </row>
    <row r="198" customFormat="false" ht="12.8" hidden="false" customHeight="false" outlineLevel="0" collapsed="false">
      <c r="A198" s="78" t="s">
        <v>74</v>
      </c>
      <c r="B198" s="79" t="s">
        <v>65</v>
      </c>
      <c r="C198" s="104" t="n">
        <f aca="false">E33+E34+E36</f>
        <v>7</v>
      </c>
      <c r="D198" s="106" t="n">
        <f aca="false">'VALORES BASE'!B66</f>
        <v>100.4</v>
      </c>
      <c r="E198" s="89" t="n">
        <f aca="false">C198*D198</f>
        <v>702.8</v>
      </c>
      <c r="F198" s="25"/>
      <c r="G198" s="1"/>
    </row>
    <row r="199" customFormat="false" ht="12.8" hidden="false" customHeight="false" outlineLevel="0" collapsed="false">
      <c r="D199" s="88" t="s">
        <v>34</v>
      </c>
      <c r="E199" s="89" t="n">
        <f aca="false">'FATOR FU_OFICIAL'!F9</f>
        <v>1</v>
      </c>
      <c r="F199" s="105" t="n">
        <f aca="false">E199*(E197+E198)</f>
        <v>1822.8</v>
      </c>
      <c r="G199" s="1"/>
    </row>
    <row r="200" customFormat="false" ht="12.8" hidden="false" customHeight="false" outlineLevel="0" collapsed="false">
      <c r="G200" s="1"/>
    </row>
    <row r="201" customFormat="false" ht="12.8" hidden="false" customHeight="false" outlineLevel="0" collapsed="false">
      <c r="A201" s="69" t="s">
        <v>76</v>
      </c>
      <c r="F201" s="25"/>
      <c r="G201" s="1"/>
    </row>
    <row r="202" customFormat="false" ht="12.8" hidden="false" customHeight="false" outlineLevel="0" collapsed="false">
      <c r="A202" s="70" t="s">
        <v>16</v>
      </c>
      <c r="B202" s="71" t="s">
        <v>17</v>
      </c>
      <c r="C202" s="71" t="s">
        <v>9</v>
      </c>
      <c r="D202" s="72" t="s">
        <v>18</v>
      </c>
      <c r="E202" s="72" t="s">
        <v>19</v>
      </c>
      <c r="F202" s="107" t="s">
        <v>72</v>
      </c>
      <c r="G202" s="1"/>
    </row>
    <row r="203" customFormat="false" ht="12.8" hidden="false" customHeight="false" outlineLevel="0" collapsed="false">
      <c r="A203" s="78" t="s">
        <v>73</v>
      </c>
      <c r="B203" s="79" t="s">
        <v>65</v>
      </c>
      <c r="C203" s="104" t="n">
        <f aca="false">+E32+E31</f>
        <v>14</v>
      </c>
      <c r="D203" s="106" t="n">
        <f aca="false">'VALORES BASE'!B68</f>
        <v>25.52</v>
      </c>
      <c r="E203" s="89" t="n">
        <f aca="false">C203*D203</f>
        <v>357.28</v>
      </c>
      <c r="F203" s="25"/>
      <c r="G203" s="1"/>
    </row>
    <row r="204" customFormat="false" ht="12.8" hidden="false" customHeight="false" outlineLevel="0" collapsed="false">
      <c r="D204" s="88" t="s">
        <v>34</v>
      </c>
      <c r="E204" s="89" t="n">
        <f aca="false">'FATOR FU_OFICIAL'!F9</f>
        <v>1</v>
      </c>
      <c r="F204" s="105" t="n">
        <f aca="false">E204*(E203)</f>
        <v>357.28</v>
      </c>
      <c r="G204" s="1"/>
    </row>
    <row r="205" customFormat="false" ht="12.8" hidden="false" customHeight="false" outlineLevel="0" collapsed="false">
      <c r="G205" s="1"/>
    </row>
    <row r="206" customFormat="false" ht="12.8" hidden="false" customHeight="false" outlineLevel="0" collapsed="false">
      <c r="A206" s="108" t="s">
        <v>77</v>
      </c>
      <c r="B206" s="109"/>
      <c r="C206" s="109"/>
      <c r="D206" s="38"/>
      <c r="E206" s="110"/>
      <c r="F206" s="105" t="n">
        <f aca="false">F180+F119+F174+F167+F141+F104+F89+F58+F187+F157+F71+F193+F199+F204</f>
        <v>157555.658875536</v>
      </c>
      <c r="G206" s="1"/>
    </row>
    <row r="208" customFormat="false" ht="12.8" hidden="false" customHeight="false" outlineLevel="0" collapsed="false">
      <c r="A208" s="26" t="s">
        <v>78</v>
      </c>
      <c r="G208" s="1"/>
    </row>
    <row r="209" customFormat="false" ht="11.25" hidden="false" customHeight="true" outlineLevel="0" collapsed="false">
      <c r="G209" s="1"/>
    </row>
    <row r="210" customFormat="false" ht="13.9" hidden="false" customHeight="true" outlineLevel="0" collapsed="false">
      <c r="A210" s="69" t="s">
        <v>79</v>
      </c>
      <c r="G210" s="1"/>
    </row>
    <row r="211" customFormat="false" ht="11.25" hidden="false" customHeight="true" outlineLevel="0" collapsed="false">
      <c r="G211" s="1"/>
    </row>
    <row r="212" customFormat="false" ht="27.75" hidden="false" customHeight="true" outlineLevel="0" collapsed="false">
      <c r="A212" s="70" t="s">
        <v>16</v>
      </c>
      <c r="B212" s="71" t="s">
        <v>17</v>
      </c>
      <c r="C212" s="111" t="s">
        <v>80</v>
      </c>
      <c r="D212" s="72" t="s">
        <v>18</v>
      </c>
      <c r="E212" s="72" t="s">
        <v>19</v>
      </c>
      <c r="F212" s="73" t="s">
        <v>20</v>
      </c>
      <c r="G212" s="1"/>
    </row>
    <row r="213" customFormat="false" ht="12.8" hidden="false" customHeight="false" outlineLevel="0" collapsed="false">
      <c r="A213" s="74" t="s">
        <v>81</v>
      </c>
      <c r="B213" s="75" t="s">
        <v>65</v>
      </c>
      <c r="C213" s="112" t="n">
        <v>6</v>
      </c>
      <c r="D213" s="76" t="n">
        <f aca="false">'VALORES BASE'!B5</f>
        <v>150</v>
      </c>
      <c r="E213" s="77" t="n">
        <f aca="false">IFERROR((D213/C213)*2,0)</f>
        <v>50</v>
      </c>
      <c r="G213" s="1"/>
    </row>
    <row r="214" customFormat="false" ht="13.15" hidden="false" customHeight="true" outlineLevel="0" collapsed="false">
      <c r="A214" s="78" t="s">
        <v>82</v>
      </c>
      <c r="B214" s="79" t="s">
        <v>65</v>
      </c>
      <c r="C214" s="112" t="n">
        <v>6</v>
      </c>
      <c r="D214" s="76" t="n">
        <f aca="false">'VALORES BASE'!B6</f>
        <v>64.66</v>
      </c>
      <c r="E214" s="77" t="n">
        <f aca="false">IFERROR((D214/C214)*2,0)</f>
        <v>21.5533333333333</v>
      </c>
      <c r="G214" s="1"/>
    </row>
    <row r="215" customFormat="false" ht="12.8" hidden="false" customHeight="false" outlineLevel="0" collapsed="false">
      <c r="A215" s="78" t="s">
        <v>83</v>
      </c>
      <c r="B215" s="79" t="s">
        <v>65</v>
      </c>
      <c r="C215" s="112" t="n">
        <v>6</v>
      </c>
      <c r="D215" s="76" t="n">
        <f aca="false">'VALORES BASE'!B7</f>
        <v>41.89</v>
      </c>
      <c r="E215" s="77" t="n">
        <f aca="false">IFERROR((D215/C215)*2,0)</f>
        <v>13.9633333333333</v>
      </c>
      <c r="G215" s="1"/>
    </row>
    <row r="216" customFormat="false" ht="13.15" hidden="false" customHeight="true" outlineLevel="0" collapsed="false">
      <c r="A216" s="78" t="s">
        <v>84</v>
      </c>
      <c r="B216" s="79" t="s">
        <v>65</v>
      </c>
      <c r="C216" s="112" t="n">
        <v>6</v>
      </c>
      <c r="D216" s="76" t="n">
        <f aca="false">'VALORES BASE'!B8</f>
        <v>165</v>
      </c>
      <c r="E216" s="77" t="n">
        <f aca="false">IFERROR(D216/C216,0)</f>
        <v>27.5</v>
      </c>
      <c r="G216" s="1"/>
    </row>
    <row r="217" customFormat="false" ht="13.15" hidden="false" customHeight="true" outlineLevel="0" collapsed="false">
      <c r="A217" s="78" t="s">
        <v>85</v>
      </c>
      <c r="B217" s="79" t="s">
        <v>65</v>
      </c>
      <c r="C217" s="112" t="n">
        <v>6</v>
      </c>
      <c r="D217" s="76" t="n">
        <f aca="false">'VALORES BASE'!B33</f>
        <v>5</v>
      </c>
      <c r="E217" s="77" t="n">
        <f aca="false">IFERROR((D217/C217)*2,0)</f>
        <v>1.66666666666667</v>
      </c>
      <c r="G217" s="1"/>
    </row>
    <row r="218" customFormat="false" ht="13.9" hidden="false" customHeight="true" outlineLevel="0" collapsed="false">
      <c r="A218" s="78" t="s">
        <v>86</v>
      </c>
      <c r="B218" s="79" t="s">
        <v>87</v>
      </c>
      <c r="C218" s="112" t="n">
        <v>6</v>
      </c>
      <c r="D218" s="76" t="n">
        <f aca="false">'VALORES BASE'!B9</f>
        <v>119.95</v>
      </c>
      <c r="E218" s="77" t="n">
        <f aca="false">IFERROR(D218/C218,0)</f>
        <v>19.9916666666667</v>
      </c>
      <c r="G218" s="1"/>
    </row>
    <row r="219" customFormat="false" ht="13.15" hidden="false" customHeight="true" outlineLevel="0" collapsed="false">
      <c r="A219" s="78" t="s">
        <v>88</v>
      </c>
      <c r="B219" s="79" t="s">
        <v>87</v>
      </c>
      <c r="C219" s="112" t="n">
        <v>3</v>
      </c>
      <c r="D219" s="76" t="n">
        <f aca="false">'VALORES BASE'!B10</f>
        <v>7.2</v>
      </c>
      <c r="E219" s="77" t="n">
        <f aca="false">IFERROR(D219/C219,0)</f>
        <v>2.4</v>
      </c>
    </row>
    <row r="220" customFormat="false" ht="12.8" hidden="false" customHeight="false" outlineLevel="0" collapsed="false">
      <c r="A220" s="78" t="s">
        <v>89</v>
      </c>
      <c r="B220" s="79" t="s">
        <v>65</v>
      </c>
      <c r="C220" s="112" t="n">
        <v>6</v>
      </c>
      <c r="D220" s="76" t="n">
        <f aca="false">'VALORES BASE'!B11</f>
        <v>43.19</v>
      </c>
      <c r="E220" s="77" t="n">
        <f aca="false">IFERROR(D220/C220,0)</f>
        <v>7.19833333333333</v>
      </c>
    </row>
    <row r="221" customFormat="false" ht="12.8" hidden="false" customHeight="false" outlineLevel="0" collapsed="false">
      <c r="A221" s="113" t="s">
        <v>90</v>
      </c>
      <c r="B221" s="114" t="s">
        <v>65</v>
      </c>
      <c r="C221" s="112" t="n">
        <v>6</v>
      </c>
      <c r="D221" s="76" t="n">
        <f aca="false">'VALORES BASE'!B12</f>
        <v>19.13</v>
      </c>
      <c r="E221" s="77" t="n">
        <f aca="false">IFERROR((D221/C221)*2,0)</f>
        <v>6.37666666666667</v>
      </c>
      <c r="F221" s="115"/>
      <c r="G221" s="115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  <c r="AL221" s="116"/>
      <c r="AM221" s="116"/>
      <c r="AN221" s="116"/>
      <c r="AO221" s="116"/>
      <c r="AP221" s="116"/>
      <c r="AQ221" s="116"/>
      <c r="AR221" s="116"/>
      <c r="AS221" s="116"/>
      <c r="AT221" s="116"/>
      <c r="AU221" s="116"/>
      <c r="AV221" s="116"/>
      <c r="AW221" s="116"/>
      <c r="AX221" s="116"/>
      <c r="AY221" s="116"/>
      <c r="AZ221" s="116"/>
      <c r="BA221" s="116"/>
      <c r="BB221" s="116"/>
      <c r="BC221" s="116"/>
      <c r="BD221" s="116"/>
      <c r="BE221" s="116"/>
      <c r="BF221" s="116"/>
      <c r="BG221" s="116"/>
      <c r="BH221" s="116"/>
      <c r="BI221" s="116"/>
      <c r="BJ221" s="116"/>
      <c r="BK221" s="116"/>
      <c r="BL221" s="116"/>
      <c r="BM221" s="116"/>
      <c r="BN221" s="116"/>
      <c r="BO221" s="116"/>
      <c r="BP221" s="116"/>
      <c r="BQ221" s="116"/>
      <c r="BR221" s="116"/>
      <c r="BS221" s="116"/>
      <c r="BT221" s="116"/>
      <c r="BU221" s="116"/>
      <c r="BV221" s="116"/>
      <c r="BW221" s="116"/>
      <c r="BX221" s="116"/>
      <c r="BY221" s="116"/>
      <c r="BZ221" s="116"/>
      <c r="CA221" s="116"/>
      <c r="CB221" s="116"/>
      <c r="CC221" s="116"/>
      <c r="CD221" s="116"/>
      <c r="CE221" s="116"/>
      <c r="CF221" s="116"/>
      <c r="CG221" s="116"/>
      <c r="CH221" s="116"/>
      <c r="CI221" s="116"/>
      <c r="CJ221" s="116"/>
      <c r="CK221" s="116"/>
      <c r="CL221" s="116"/>
      <c r="CM221" s="116"/>
      <c r="CN221" s="116"/>
      <c r="CO221" s="116"/>
      <c r="CP221" s="116"/>
      <c r="CQ221" s="116"/>
      <c r="CR221" s="116"/>
      <c r="CS221" s="116"/>
      <c r="CT221" s="116"/>
      <c r="CU221" s="116"/>
      <c r="CV221" s="116"/>
      <c r="CW221" s="116"/>
      <c r="CX221" s="116"/>
      <c r="CY221" s="116"/>
      <c r="CZ221" s="116"/>
      <c r="DA221" s="116"/>
      <c r="DB221" s="116"/>
      <c r="DC221" s="116"/>
      <c r="DD221" s="116"/>
      <c r="DE221" s="116"/>
      <c r="DF221" s="116"/>
      <c r="DG221" s="116"/>
      <c r="DH221" s="116"/>
      <c r="DI221" s="116"/>
      <c r="DJ221" s="116"/>
      <c r="DK221" s="116"/>
      <c r="DL221" s="116"/>
      <c r="DM221" s="116"/>
      <c r="DN221" s="116"/>
      <c r="DO221" s="116"/>
      <c r="DP221" s="116"/>
      <c r="DQ221" s="116"/>
      <c r="DR221" s="116"/>
      <c r="DS221" s="116"/>
      <c r="DT221" s="116"/>
      <c r="DU221" s="116"/>
      <c r="DV221" s="116"/>
      <c r="DW221" s="116"/>
      <c r="DX221" s="116"/>
      <c r="DY221" s="116"/>
      <c r="DZ221" s="116"/>
      <c r="EA221" s="116"/>
      <c r="EB221" s="116"/>
      <c r="EC221" s="116"/>
      <c r="ED221" s="116"/>
      <c r="EE221" s="116"/>
      <c r="EF221" s="116"/>
      <c r="EG221" s="116"/>
      <c r="EH221" s="116"/>
      <c r="EI221" s="116"/>
      <c r="EJ221" s="116"/>
      <c r="EK221" s="116"/>
      <c r="EL221" s="116"/>
      <c r="EM221" s="116"/>
      <c r="EN221" s="116"/>
      <c r="EO221" s="116"/>
      <c r="EP221" s="116"/>
      <c r="EQ221" s="116"/>
      <c r="ER221" s="116"/>
      <c r="ES221" s="116"/>
      <c r="ET221" s="116"/>
      <c r="EU221" s="116"/>
      <c r="EV221" s="116"/>
      <c r="EW221" s="116"/>
      <c r="EX221" s="116"/>
      <c r="EY221" s="116"/>
      <c r="EZ221" s="116"/>
      <c r="FA221" s="116"/>
      <c r="FB221" s="116"/>
      <c r="FC221" s="116"/>
      <c r="FD221" s="116"/>
      <c r="FE221" s="116"/>
      <c r="FF221" s="116"/>
      <c r="FG221" s="116"/>
      <c r="FH221" s="116"/>
      <c r="FI221" s="116"/>
      <c r="FJ221" s="116"/>
      <c r="FK221" s="116"/>
      <c r="FL221" s="116"/>
      <c r="FM221" s="116"/>
      <c r="FN221" s="116"/>
      <c r="FO221" s="116"/>
      <c r="FP221" s="116"/>
      <c r="FQ221" s="116"/>
      <c r="FR221" s="116"/>
      <c r="FS221" s="116"/>
      <c r="FT221" s="116"/>
      <c r="FU221" s="116"/>
      <c r="FV221" s="116"/>
      <c r="FW221" s="116"/>
      <c r="FX221" s="116"/>
      <c r="FY221" s="116"/>
      <c r="FZ221" s="116"/>
      <c r="GA221" s="116"/>
      <c r="GB221" s="116"/>
      <c r="GC221" s="116"/>
      <c r="GD221" s="116"/>
      <c r="GE221" s="116"/>
      <c r="GF221" s="116"/>
      <c r="GG221" s="116"/>
      <c r="GH221" s="116"/>
      <c r="GI221" s="116"/>
      <c r="GJ221" s="116"/>
      <c r="GK221" s="116"/>
      <c r="GL221" s="116"/>
      <c r="GM221" s="116"/>
      <c r="GN221" s="116"/>
      <c r="GO221" s="116"/>
      <c r="GP221" s="116"/>
      <c r="GQ221" s="116"/>
      <c r="GR221" s="116"/>
      <c r="GS221" s="116"/>
      <c r="GT221" s="116"/>
      <c r="GU221" s="116"/>
      <c r="GV221" s="116"/>
      <c r="GW221" s="116"/>
      <c r="GX221" s="116"/>
      <c r="GY221" s="116"/>
      <c r="GZ221" s="116"/>
      <c r="HA221" s="116"/>
      <c r="HB221" s="116"/>
      <c r="HC221" s="116"/>
      <c r="HD221" s="116"/>
      <c r="HE221" s="116"/>
      <c r="HF221" s="116"/>
      <c r="HG221" s="116"/>
      <c r="HH221" s="116"/>
      <c r="HI221" s="116"/>
      <c r="HJ221" s="116"/>
      <c r="HK221" s="116"/>
      <c r="HL221" s="116"/>
      <c r="HM221" s="116"/>
      <c r="HN221" s="116"/>
      <c r="HO221" s="116"/>
      <c r="HP221" s="116"/>
      <c r="HQ221" s="116"/>
      <c r="HR221" s="116"/>
      <c r="HS221" s="116"/>
      <c r="HT221" s="116"/>
      <c r="HU221" s="116"/>
      <c r="HV221" s="116"/>
      <c r="HW221" s="116"/>
      <c r="HX221" s="116"/>
      <c r="HY221" s="116"/>
      <c r="HZ221" s="116"/>
      <c r="IA221" s="116"/>
      <c r="IB221" s="116"/>
      <c r="IC221" s="116"/>
      <c r="ID221" s="116"/>
      <c r="IE221" s="116"/>
      <c r="IF221" s="116"/>
      <c r="IG221" s="116"/>
      <c r="IH221" s="116"/>
      <c r="II221" s="116"/>
      <c r="IJ221" s="116"/>
      <c r="IK221" s="116"/>
      <c r="IL221" s="116"/>
      <c r="IM221" s="116"/>
      <c r="IN221" s="116"/>
      <c r="IO221" s="116"/>
      <c r="IP221" s="116"/>
      <c r="IQ221" s="116"/>
      <c r="IR221" s="116"/>
      <c r="IS221" s="116"/>
      <c r="IT221" s="116"/>
      <c r="IU221" s="116"/>
      <c r="IV221" s="116"/>
      <c r="IW221" s="116"/>
      <c r="IX221" s="116"/>
      <c r="IY221" s="116"/>
      <c r="IZ221" s="116"/>
      <c r="JA221" s="116"/>
      <c r="JB221" s="116"/>
      <c r="JC221" s="116"/>
      <c r="JD221" s="116"/>
      <c r="JE221" s="116"/>
      <c r="JF221" s="116"/>
      <c r="JG221" s="116"/>
      <c r="JH221" s="116"/>
      <c r="JI221" s="116"/>
      <c r="JJ221" s="116"/>
      <c r="JK221" s="116"/>
      <c r="JL221" s="116"/>
      <c r="JM221" s="116"/>
      <c r="JN221" s="116"/>
      <c r="JO221" s="116"/>
      <c r="JP221" s="116"/>
      <c r="JQ221" s="116"/>
      <c r="JR221" s="116"/>
      <c r="JS221" s="116"/>
      <c r="JT221" s="116"/>
      <c r="JU221" s="116"/>
      <c r="JV221" s="116"/>
      <c r="JW221" s="116"/>
      <c r="JX221" s="116"/>
      <c r="JY221" s="116"/>
      <c r="JZ221" s="116"/>
      <c r="KA221" s="116"/>
      <c r="KB221" s="116"/>
      <c r="KC221" s="116"/>
      <c r="KD221" s="116"/>
      <c r="KE221" s="116"/>
      <c r="KF221" s="116"/>
      <c r="KG221" s="116"/>
      <c r="KH221" s="116"/>
      <c r="KI221" s="116"/>
      <c r="KJ221" s="116"/>
      <c r="KK221" s="116"/>
      <c r="KL221" s="116"/>
      <c r="KM221" s="116"/>
      <c r="KN221" s="116"/>
      <c r="KO221" s="116"/>
      <c r="KP221" s="116"/>
      <c r="KQ221" s="116"/>
      <c r="KR221" s="116"/>
      <c r="KS221" s="116"/>
      <c r="KT221" s="116"/>
      <c r="KU221" s="116"/>
      <c r="KV221" s="116"/>
      <c r="KW221" s="116"/>
      <c r="KX221" s="116"/>
      <c r="KY221" s="116"/>
      <c r="KZ221" s="116"/>
      <c r="LA221" s="116"/>
      <c r="LB221" s="116"/>
      <c r="LC221" s="116"/>
      <c r="LD221" s="116"/>
      <c r="LE221" s="116"/>
      <c r="LF221" s="116"/>
      <c r="LG221" s="116"/>
      <c r="LH221" s="116"/>
      <c r="LI221" s="116"/>
      <c r="LJ221" s="116"/>
      <c r="LK221" s="116"/>
      <c r="LL221" s="116"/>
      <c r="LM221" s="116"/>
      <c r="LN221" s="116"/>
      <c r="LO221" s="116"/>
      <c r="LP221" s="116"/>
      <c r="LQ221" s="116"/>
      <c r="LR221" s="116"/>
      <c r="LS221" s="116"/>
      <c r="LT221" s="116"/>
      <c r="LU221" s="116"/>
      <c r="LV221" s="116"/>
      <c r="LW221" s="116"/>
      <c r="LX221" s="116"/>
      <c r="LY221" s="116"/>
      <c r="LZ221" s="116"/>
      <c r="MA221" s="116"/>
      <c r="MB221" s="116"/>
      <c r="MC221" s="116"/>
      <c r="MD221" s="116"/>
      <c r="ME221" s="116"/>
      <c r="MF221" s="116"/>
      <c r="MG221" s="116"/>
      <c r="MH221" s="116"/>
      <c r="MI221" s="116"/>
      <c r="MJ221" s="116"/>
      <c r="MK221" s="116"/>
      <c r="ML221" s="116"/>
      <c r="MM221" s="116"/>
      <c r="MN221" s="116"/>
      <c r="MO221" s="116"/>
      <c r="MP221" s="116"/>
      <c r="MQ221" s="116"/>
      <c r="MR221" s="116"/>
      <c r="MS221" s="116"/>
      <c r="MT221" s="116"/>
      <c r="MU221" s="116"/>
      <c r="MV221" s="116"/>
      <c r="MW221" s="116"/>
      <c r="MX221" s="116"/>
      <c r="MY221" s="116"/>
      <c r="MZ221" s="116"/>
      <c r="NA221" s="116"/>
      <c r="NB221" s="116"/>
      <c r="NC221" s="116"/>
      <c r="ND221" s="116"/>
      <c r="NE221" s="116"/>
      <c r="NF221" s="116"/>
      <c r="NG221" s="116"/>
      <c r="NH221" s="116"/>
      <c r="NI221" s="116"/>
      <c r="NJ221" s="116"/>
      <c r="NK221" s="116"/>
      <c r="NL221" s="116"/>
      <c r="NM221" s="116"/>
      <c r="NN221" s="116"/>
      <c r="NO221" s="116"/>
      <c r="NP221" s="116"/>
      <c r="NQ221" s="116"/>
      <c r="NR221" s="116"/>
      <c r="NS221" s="116"/>
      <c r="NT221" s="116"/>
      <c r="NU221" s="116"/>
      <c r="NV221" s="116"/>
      <c r="NW221" s="116"/>
      <c r="NX221" s="116"/>
      <c r="NY221" s="116"/>
      <c r="NZ221" s="116"/>
      <c r="OA221" s="116"/>
      <c r="OB221" s="116"/>
      <c r="OC221" s="116"/>
      <c r="OD221" s="116"/>
      <c r="OE221" s="116"/>
      <c r="OF221" s="116"/>
      <c r="OG221" s="116"/>
      <c r="OH221" s="116"/>
      <c r="OI221" s="116"/>
      <c r="OJ221" s="116"/>
      <c r="OK221" s="116"/>
      <c r="OL221" s="116"/>
      <c r="OM221" s="116"/>
      <c r="ON221" s="116"/>
      <c r="OO221" s="116"/>
      <c r="OP221" s="116"/>
      <c r="OQ221" s="116"/>
      <c r="OR221" s="116"/>
      <c r="OS221" s="116"/>
      <c r="OT221" s="116"/>
      <c r="OU221" s="116"/>
      <c r="OV221" s="116"/>
      <c r="OW221" s="116"/>
      <c r="OX221" s="116"/>
      <c r="OY221" s="116"/>
      <c r="OZ221" s="116"/>
      <c r="PA221" s="116"/>
      <c r="PB221" s="116"/>
      <c r="PC221" s="116"/>
      <c r="PD221" s="116"/>
      <c r="PE221" s="116"/>
      <c r="PF221" s="116"/>
      <c r="PG221" s="116"/>
      <c r="PH221" s="116"/>
      <c r="PI221" s="116"/>
      <c r="PJ221" s="116"/>
      <c r="PK221" s="116"/>
      <c r="PL221" s="116"/>
      <c r="PM221" s="116"/>
      <c r="PN221" s="116"/>
      <c r="PO221" s="116"/>
      <c r="PP221" s="116"/>
      <c r="PQ221" s="116"/>
      <c r="PR221" s="116"/>
      <c r="PS221" s="116"/>
      <c r="PT221" s="116"/>
      <c r="PU221" s="116"/>
      <c r="PV221" s="116"/>
      <c r="PW221" s="116"/>
      <c r="PX221" s="116"/>
      <c r="PY221" s="116"/>
      <c r="PZ221" s="116"/>
      <c r="QA221" s="116"/>
      <c r="QB221" s="116"/>
      <c r="QC221" s="116"/>
      <c r="QD221" s="116"/>
      <c r="QE221" s="116"/>
      <c r="QF221" s="116"/>
      <c r="QG221" s="116"/>
      <c r="QH221" s="116"/>
      <c r="QI221" s="116"/>
      <c r="QJ221" s="116"/>
      <c r="QK221" s="116"/>
      <c r="QL221" s="116"/>
      <c r="QM221" s="116"/>
      <c r="QN221" s="116"/>
      <c r="QO221" s="116"/>
      <c r="QP221" s="116"/>
      <c r="QQ221" s="116"/>
      <c r="QR221" s="116"/>
      <c r="QS221" s="116"/>
      <c r="QT221" s="116"/>
      <c r="QU221" s="116"/>
      <c r="QV221" s="116"/>
      <c r="QW221" s="116"/>
      <c r="QX221" s="116"/>
      <c r="QY221" s="116"/>
      <c r="QZ221" s="116"/>
      <c r="RA221" s="116"/>
      <c r="RB221" s="116"/>
      <c r="RC221" s="116"/>
      <c r="RD221" s="116"/>
      <c r="RE221" s="116"/>
      <c r="RF221" s="116"/>
      <c r="RG221" s="116"/>
      <c r="RH221" s="116"/>
      <c r="RI221" s="116"/>
      <c r="RJ221" s="116"/>
      <c r="RK221" s="116"/>
      <c r="RL221" s="116"/>
      <c r="RM221" s="116"/>
      <c r="RN221" s="116"/>
      <c r="RO221" s="116"/>
      <c r="RP221" s="116"/>
      <c r="RQ221" s="116"/>
      <c r="RR221" s="116"/>
      <c r="RS221" s="116"/>
      <c r="RT221" s="116"/>
      <c r="RU221" s="116"/>
      <c r="RV221" s="116"/>
      <c r="RW221" s="116"/>
      <c r="RX221" s="116"/>
      <c r="RY221" s="116"/>
      <c r="RZ221" s="116"/>
      <c r="SA221" s="116"/>
      <c r="SB221" s="116"/>
      <c r="SC221" s="116"/>
      <c r="SD221" s="116"/>
      <c r="SE221" s="116"/>
      <c r="SF221" s="116"/>
      <c r="SG221" s="116"/>
      <c r="SH221" s="116"/>
      <c r="SI221" s="116"/>
      <c r="SJ221" s="116"/>
      <c r="SK221" s="116"/>
      <c r="SL221" s="116"/>
      <c r="SM221" s="116"/>
      <c r="SN221" s="116"/>
      <c r="SO221" s="116"/>
      <c r="SP221" s="116"/>
      <c r="SQ221" s="116"/>
      <c r="SR221" s="116"/>
      <c r="SS221" s="116"/>
      <c r="ST221" s="116"/>
      <c r="SU221" s="116"/>
      <c r="SV221" s="116"/>
      <c r="SW221" s="116"/>
      <c r="SX221" s="116"/>
      <c r="SY221" s="116"/>
      <c r="SZ221" s="116"/>
      <c r="TA221" s="116"/>
      <c r="TB221" s="116"/>
      <c r="TC221" s="116"/>
      <c r="TD221" s="116"/>
      <c r="TE221" s="116"/>
      <c r="TF221" s="116"/>
      <c r="TG221" s="116"/>
      <c r="TH221" s="116"/>
      <c r="TI221" s="116"/>
      <c r="TJ221" s="116"/>
      <c r="TK221" s="116"/>
      <c r="TL221" s="116"/>
      <c r="TM221" s="116"/>
      <c r="TN221" s="116"/>
      <c r="TO221" s="116"/>
      <c r="TP221" s="116"/>
      <c r="TQ221" s="116"/>
      <c r="TR221" s="116"/>
      <c r="TS221" s="116"/>
      <c r="TT221" s="116"/>
      <c r="TU221" s="116"/>
      <c r="TV221" s="116"/>
      <c r="TW221" s="116"/>
      <c r="TX221" s="116"/>
      <c r="TY221" s="116"/>
      <c r="TZ221" s="116"/>
      <c r="UA221" s="116"/>
      <c r="UB221" s="116"/>
      <c r="UC221" s="116"/>
      <c r="UD221" s="116"/>
      <c r="UE221" s="116"/>
      <c r="UF221" s="116"/>
      <c r="UG221" s="116"/>
      <c r="UH221" s="116"/>
      <c r="UI221" s="116"/>
      <c r="UJ221" s="116"/>
      <c r="UK221" s="116"/>
      <c r="UL221" s="116"/>
      <c r="UM221" s="116"/>
      <c r="UN221" s="116"/>
      <c r="UO221" s="116"/>
      <c r="UP221" s="116"/>
      <c r="UQ221" s="116"/>
      <c r="UR221" s="116"/>
      <c r="US221" s="116"/>
      <c r="UT221" s="116"/>
      <c r="UU221" s="116"/>
      <c r="UV221" s="116"/>
      <c r="UW221" s="116"/>
      <c r="UX221" s="116"/>
      <c r="UY221" s="116"/>
      <c r="UZ221" s="116"/>
      <c r="VA221" s="116"/>
      <c r="VB221" s="116"/>
      <c r="VC221" s="116"/>
      <c r="VD221" s="116"/>
      <c r="VE221" s="116"/>
      <c r="VF221" s="116"/>
      <c r="VG221" s="116"/>
      <c r="VH221" s="116"/>
      <c r="VI221" s="116"/>
      <c r="VJ221" s="116"/>
      <c r="VK221" s="116"/>
      <c r="VL221" s="116"/>
      <c r="VM221" s="116"/>
      <c r="VN221" s="116"/>
      <c r="VO221" s="116"/>
      <c r="VP221" s="116"/>
      <c r="VQ221" s="116"/>
      <c r="VR221" s="116"/>
      <c r="VS221" s="116"/>
      <c r="VT221" s="116"/>
      <c r="VU221" s="116"/>
      <c r="VV221" s="116"/>
      <c r="VW221" s="116"/>
      <c r="VX221" s="116"/>
      <c r="VY221" s="116"/>
      <c r="VZ221" s="116"/>
      <c r="WA221" s="116"/>
      <c r="WB221" s="116"/>
      <c r="WC221" s="116"/>
      <c r="WD221" s="116"/>
      <c r="WE221" s="116"/>
      <c r="WF221" s="116"/>
      <c r="WG221" s="116"/>
      <c r="WH221" s="116"/>
      <c r="WI221" s="116"/>
      <c r="WJ221" s="116"/>
      <c r="WK221" s="116"/>
      <c r="WL221" s="116"/>
      <c r="WM221" s="116"/>
      <c r="WN221" s="116"/>
      <c r="WO221" s="116"/>
      <c r="WP221" s="116"/>
      <c r="WQ221" s="116"/>
      <c r="WR221" s="116"/>
      <c r="WS221" s="116"/>
      <c r="WT221" s="116"/>
      <c r="WU221" s="116"/>
      <c r="WV221" s="116"/>
      <c r="WW221" s="116"/>
      <c r="WX221" s="116"/>
      <c r="WY221" s="116"/>
      <c r="WZ221" s="116"/>
      <c r="XA221" s="116"/>
      <c r="XB221" s="116"/>
      <c r="XC221" s="116"/>
      <c r="XD221" s="116"/>
      <c r="XE221" s="116"/>
      <c r="XF221" s="116"/>
      <c r="XG221" s="116"/>
      <c r="XH221" s="116"/>
      <c r="XI221" s="116"/>
      <c r="XJ221" s="116"/>
      <c r="XK221" s="116"/>
      <c r="XL221" s="116"/>
      <c r="XM221" s="116"/>
      <c r="XN221" s="116"/>
      <c r="XO221" s="116"/>
      <c r="XP221" s="116"/>
      <c r="XQ221" s="116"/>
      <c r="XR221" s="116"/>
      <c r="XS221" s="116"/>
      <c r="XT221" s="116"/>
      <c r="XU221" s="116"/>
      <c r="XV221" s="116"/>
      <c r="XW221" s="116"/>
      <c r="XX221" s="116"/>
      <c r="XY221" s="116"/>
      <c r="XZ221" s="116"/>
      <c r="YA221" s="116"/>
      <c r="YB221" s="116"/>
      <c r="YC221" s="116"/>
      <c r="YD221" s="116"/>
      <c r="YE221" s="116"/>
      <c r="YF221" s="116"/>
      <c r="YG221" s="116"/>
      <c r="YH221" s="116"/>
      <c r="YI221" s="116"/>
      <c r="YJ221" s="116"/>
      <c r="YK221" s="116"/>
      <c r="YL221" s="116"/>
      <c r="YM221" s="116"/>
      <c r="YN221" s="116"/>
      <c r="YO221" s="116"/>
      <c r="YP221" s="116"/>
      <c r="YQ221" s="116"/>
      <c r="YR221" s="116"/>
      <c r="YS221" s="116"/>
      <c r="YT221" s="116"/>
      <c r="YU221" s="116"/>
      <c r="YV221" s="116"/>
      <c r="YW221" s="116"/>
      <c r="YX221" s="116"/>
      <c r="YY221" s="116"/>
      <c r="YZ221" s="116"/>
      <c r="ZA221" s="116"/>
      <c r="ZB221" s="116"/>
      <c r="ZC221" s="116"/>
      <c r="ZD221" s="116"/>
      <c r="ZE221" s="116"/>
      <c r="ZF221" s="116"/>
      <c r="ZG221" s="116"/>
      <c r="ZH221" s="116"/>
      <c r="ZI221" s="116"/>
      <c r="ZJ221" s="116"/>
      <c r="ZK221" s="116"/>
      <c r="ZL221" s="116"/>
      <c r="ZM221" s="116"/>
      <c r="ZN221" s="116"/>
      <c r="ZO221" s="116"/>
      <c r="ZP221" s="116"/>
      <c r="ZQ221" s="116"/>
      <c r="ZR221" s="116"/>
      <c r="ZS221" s="116"/>
      <c r="ZT221" s="116"/>
      <c r="ZU221" s="116"/>
      <c r="ZV221" s="116"/>
      <c r="ZW221" s="116"/>
      <c r="ZX221" s="116"/>
      <c r="ZY221" s="116"/>
      <c r="ZZ221" s="116"/>
      <c r="AAA221" s="116"/>
      <c r="AAB221" s="116"/>
      <c r="AAC221" s="116"/>
      <c r="AAD221" s="116"/>
      <c r="AAE221" s="116"/>
      <c r="AAF221" s="116"/>
      <c r="AAG221" s="116"/>
      <c r="AAH221" s="116"/>
      <c r="AAI221" s="116"/>
      <c r="AAJ221" s="116"/>
      <c r="AAK221" s="116"/>
      <c r="AAL221" s="116"/>
      <c r="AAM221" s="116"/>
      <c r="AAN221" s="116"/>
      <c r="AAO221" s="116"/>
      <c r="AAP221" s="116"/>
      <c r="AAQ221" s="116"/>
      <c r="AAR221" s="116"/>
      <c r="AAS221" s="116"/>
      <c r="AAT221" s="116"/>
      <c r="AAU221" s="116"/>
      <c r="AAV221" s="116"/>
      <c r="AAW221" s="116"/>
      <c r="AAX221" s="116"/>
      <c r="AAY221" s="116"/>
      <c r="AAZ221" s="116"/>
      <c r="ABA221" s="116"/>
      <c r="ABB221" s="116"/>
      <c r="ABC221" s="116"/>
      <c r="ABD221" s="116"/>
      <c r="ABE221" s="116"/>
      <c r="ABF221" s="116"/>
      <c r="ABG221" s="116"/>
      <c r="ABH221" s="116"/>
      <c r="ABI221" s="116"/>
      <c r="ABJ221" s="116"/>
      <c r="ABK221" s="116"/>
      <c r="ABL221" s="116"/>
      <c r="ABM221" s="116"/>
      <c r="ABN221" s="116"/>
      <c r="ABO221" s="116"/>
      <c r="ABP221" s="116"/>
      <c r="ABQ221" s="116"/>
      <c r="ABR221" s="116"/>
      <c r="ABS221" s="116"/>
      <c r="ABT221" s="116"/>
      <c r="ABU221" s="116"/>
      <c r="ABV221" s="116"/>
      <c r="ABW221" s="116"/>
      <c r="ABX221" s="116"/>
      <c r="ABY221" s="116"/>
      <c r="ABZ221" s="116"/>
      <c r="ACA221" s="116"/>
      <c r="ACB221" s="116"/>
      <c r="ACC221" s="116"/>
      <c r="ACD221" s="116"/>
      <c r="ACE221" s="116"/>
      <c r="ACF221" s="116"/>
      <c r="ACG221" s="116"/>
      <c r="ACH221" s="116"/>
      <c r="ACI221" s="116"/>
      <c r="ACJ221" s="116"/>
      <c r="ACK221" s="116"/>
      <c r="ACL221" s="116"/>
      <c r="ACM221" s="116"/>
      <c r="ACN221" s="116"/>
      <c r="ACO221" s="116"/>
      <c r="ACP221" s="116"/>
      <c r="ACQ221" s="116"/>
      <c r="ACR221" s="116"/>
      <c r="ACS221" s="116"/>
      <c r="ACT221" s="116"/>
      <c r="ACU221" s="116"/>
      <c r="ACV221" s="116"/>
      <c r="ACW221" s="116"/>
      <c r="ACX221" s="116"/>
      <c r="ACY221" s="116"/>
      <c r="ACZ221" s="116"/>
      <c r="ADA221" s="116"/>
      <c r="ADB221" s="116"/>
      <c r="ADC221" s="116"/>
      <c r="ADD221" s="116"/>
      <c r="ADE221" s="116"/>
      <c r="ADF221" s="116"/>
      <c r="ADG221" s="116"/>
      <c r="ADH221" s="116"/>
      <c r="ADI221" s="116"/>
      <c r="ADJ221" s="116"/>
      <c r="ADK221" s="116"/>
      <c r="ADL221" s="116"/>
      <c r="ADM221" s="116"/>
      <c r="ADN221" s="116"/>
      <c r="ADO221" s="116"/>
      <c r="ADP221" s="116"/>
      <c r="ADQ221" s="116"/>
      <c r="ADR221" s="116"/>
      <c r="ADS221" s="116"/>
      <c r="ADT221" s="116"/>
      <c r="ADU221" s="116"/>
      <c r="ADV221" s="116"/>
      <c r="ADW221" s="116"/>
      <c r="ADX221" s="116"/>
      <c r="ADY221" s="116"/>
      <c r="ADZ221" s="116"/>
      <c r="AEA221" s="116"/>
      <c r="AEB221" s="116"/>
      <c r="AEC221" s="116"/>
      <c r="AED221" s="116"/>
      <c r="AEE221" s="116"/>
      <c r="AEF221" s="116"/>
      <c r="AEG221" s="116"/>
      <c r="AEH221" s="116"/>
      <c r="AEI221" s="116"/>
      <c r="AEJ221" s="116"/>
      <c r="AEK221" s="116"/>
      <c r="AEL221" s="116"/>
      <c r="AEM221" s="116"/>
      <c r="AEN221" s="116"/>
      <c r="AEO221" s="116"/>
      <c r="AEP221" s="116"/>
      <c r="AEQ221" s="116"/>
      <c r="AER221" s="116"/>
      <c r="AES221" s="116"/>
      <c r="AET221" s="116"/>
      <c r="AEU221" s="116"/>
      <c r="AEV221" s="116"/>
      <c r="AEW221" s="116"/>
      <c r="AEX221" s="116"/>
      <c r="AEY221" s="116"/>
      <c r="AEZ221" s="116"/>
      <c r="AFA221" s="116"/>
      <c r="AFB221" s="116"/>
      <c r="AFC221" s="116"/>
      <c r="AFD221" s="116"/>
      <c r="AFE221" s="116"/>
      <c r="AFF221" s="116"/>
      <c r="AFG221" s="116"/>
      <c r="AFH221" s="116"/>
      <c r="AFI221" s="116"/>
      <c r="AFJ221" s="116"/>
      <c r="AFK221" s="116"/>
      <c r="AFL221" s="116"/>
      <c r="AFM221" s="116"/>
      <c r="AFN221" s="116"/>
      <c r="AFO221" s="116"/>
      <c r="AFP221" s="116"/>
      <c r="AFQ221" s="116"/>
      <c r="AFR221" s="116"/>
      <c r="AFS221" s="116"/>
      <c r="AFT221" s="116"/>
      <c r="AFU221" s="116"/>
      <c r="AFV221" s="116"/>
      <c r="AFW221" s="116"/>
      <c r="AFX221" s="116"/>
      <c r="AFY221" s="116"/>
      <c r="AFZ221" s="116"/>
      <c r="AGA221" s="116"/>
      <c r="AGB221" s="116"/>
      <c r="AGC221" s="116"/>
      <c r="AGD221" s="116"/>
      <c r="AGE221" s="116"/>
      <c r="AGF221" s="116"/>
      <c r="AGG221" s="116"/>
      <c r="AGH221" s="116"/>
      <c r="AGI221" s="116"/>
      <c r="AGJ221" s="116"/>
      <c r="AGK221" s="116"/>
      <c r="AGL221" s="116"/>
      <c r="AGM221" s="116"/>
      <c r="AGN221" s="116"/>
      <c r="AGO221" s="116"/>
      <c r="AGP221" s="116"/>
      <c r="AGQ221" s="116"/>
      <c r="AGR221" s="116"/>
      <c r="AGS221" s="116"/>
      <c r="AGT221" s="116"/>
      <c r="AGU221" s="116"/>
      <c r="AGV221" s="116"/>
      <c r="AGW221" s="116"/>
      <c r="AGX221" s="116"/>
      <c r="AGY221" s="116"/>
      <c r="AGZ221" s="116"/>
      <c r="AHA221" s="116"/>
      <c r="AHB221" s="116"/>
      <c r="AHC221" s="116"/>
      <c r="AHD221" s="116"/>
      <c r="AHE221" s="116"/>
      <c r="AHF221" s="116"/>
      <c r="AHG221" s="116"/>
      <c r="AHH221" s="116"/>
      <c r="AHI221" s="116"/>
      <c r="AHJ221" s="116"/>
      <c r="AHK221" s="116"/>
      <c r="AHL221" s="116"/>
      <c r="AHM221" s="116"/>
      <c r="AHN221" s="116"/>
      <c r="AHO221" s="116"/>
      <c r="AHP221" s="116"/>
      <c r="AHQ221" s="116"/>
      <c r="AHR221" s="116"/>
      <c r="AHS221" s="116"/>
      <c r="AHT221" s="116"/>
      <c r="AHU221" s="116"/>
      <c r="AHV221" s="116"/>
      <c r="AHW221" s="116"/>
      <c r="AHX221" s="116"/>
      <c r="AHY221" s="116"/>
      <c r="AHZ221" s="116"/>
      <c r="AIA221" s="116"/>
      <c r="AIB221" s="116"/>
      <c r="AIC221" s="116"/>
      <c r="AID221" s="116"/>
      <c r="AIE221" s="116"/>
      <c r="AIF221" s="116"/>
      <c r="AIG221" s="116"/>
      <c r="AIH221" s="116"/>
      <c r="AII221" s="116"/>
      <c r="AIJ221" s="116"/>
      <c r="AIK221" s="116"/>
      <c r="AIL221" s="116"/>
      <c r="AIM221" s="116"/>
      <c r="AIN221" s="116"/>
      <c r="AIO221" s="116"/>
      <c r="AIP221" s="116"/>
      <c r="AIQ221" s="116"/>
      <c r="AIR221" s="116"/>
      <c r="AIS221" s="116"/>
      <c r="AIT221" s="116"/>
      <c r="AIU221" s="116"/>
      <c r="AIV221" s="116"/>
      <c r="AIW221" s="116"/>
      <c r="AIX221" s="116"/>
      <c r="AIY221" s="116"/>
      <c r="AIZ221" s="116"/>
      <c r="AJA221" s="116"/>
      <c r="AJB221" s="116"/>
      <c r="AJC221" s="116"/>
      <c r="AJD221" s="116"/>
      <c r="AJE221" s="116"/>
      <c r="AJF221" s="116"/>
      <c r="AJG221" s="116"/>
      <c r="AJH221" s="116"/>
      <c r="AJI221" s="116"/>
      <c r="AJJ221" s="116"/>
      <c r="AJK221" s="116"/>
      <c r="AJL221" s="116"/>
      <c r="AJM221" s="116"/>
      <c r="AJN221" s="116"/>
      <c r="AJO221" s="116"/>
      <c r="AJP221" s="116"/>
      <c r="AJQ221" s="116"/>
      <c r="AJR221" s="116"/>
      <c r="AJS221" s="116"/>
      <c r="AJT221" s="116"/>
      <c r="AJU221" s="116"/>
      <c r="AJV221" s="116"/>
      <c r="AJW221" s="116"/>
      <c r="AJX221" s="116"/>
      <c r="AJY221" s="116"/>
      <c r="AJZ221" s="116"/>
      <c r="AKA221" s="116"/>
      <c r="AKB221" s="116"/>
      <c r="AKC221" s="116"/>
      <c r="AKD221" s="116"/>
      <c r="AKE221" s="116"/>
      <c r="AKF221" s="116"/>
      <c r="AKG221" s="116"/>
      <c r="AKH221" s="116"/>
      <c r="AKI221" s="116"/>
      <c r="AKJ221" s="116"/>
      <c r="AKK221" s="116"/>
      <c r="AKL221" s="116"/>
      <c r="AKM221" s="116"/>
      <c r="AKN221" s="116"/>
      <c r="AKO221" s="116"/>
      <c r="AKP221" s="116"/>
      <c r="AKQ221" s="116"/>
      <c r="AKR221" s="116"/>
      <c r="AKS221" s="116"/>
      <c r="AKT221" s="116"/>
      <c r="AKU221" s="116"/>
      <c r="AKV221" s="116"/>
      <c r="AKW221" s="116"/>
      <c r="AKX221" s="116"/>
      <c r="AKY221" s="116"/>
      <c r="AKZ221" s="116"/>
      <c r="ALA221" s="116"/>
      <c r="ALB221" s="116"/>
      <c r="ALC221" s="116"/>
      <c r="ALD221" s="116"/>
      <c r="ALE221" s="116"/>
      <c r="ALF221" s="116"/>
      <c r="ALG221" s="116"/>
      <c r="ALH221" s="116"/>
      <c r="ALI221" s="116"/>
      <c r="ALJ221" s="116"/>
      <c r="ALK221" s="116"/>
      <c r="ALL221" s="116"/>
      <c r="ALM221" s="116"/>
      <c r="ALN221" s="116"/>
      <c r="ALO221" s="116"/>
      <c r="ALP221" s="116"/>
      <c r="ALQ221" s="116"/>
      <c r="ALR221" s="116"/>
      <c r="ALS221" s="116"/>
      <c r="ALT221" s="116"/>
      <c r="ALU221" s="116"/>
      <c r="ALV221" s="116"/>
      <c r="ALW221" s="116"/>
      <c r="ALX221" s="116"/>
      <c r="ALY221" s="116"/>
      <c r="ALZ221" s="116"/>
      <c r="AMA221" s="116"/>
      <c r="AMB221" s="116"/>
      <c r="AMC221" s="116"/>
      <c r="AMD221" s="116"/>
      <c r="AME221" s="116"/>
      <c r="AMF221" s="116"/>
      <c r="AMG221" s="116"/>
      <c r="AMH221" s="116"/>
      <c r="AMI221" s="116"/>
      <c r="AMJ221" s="116"/>
    </row>
    <row r="222" customFormat="false" ht="12.8" hidden="false" customHeight="false" outlineLevel="0" collapsed="false">
      <c r="A222" s="78" t="s">
        <v>91</v>
      </c>
      <c r="B222" s="79" t="s">
        <v>87</v>
      </c>
      <c r="C222" s="112" t="n">
        <v>0.25</v>
      </c>
      <c r="D222" s="76" t="n">
        <f aca="false">'VALORES BASE'!B13</f>
        <v>28.39</v>
      </c>
      <c r="E222" s="77" t="n">
        <f aca="false">IFERROR(D222/C222,0)</f>
        <v>113.56</v>
      </c>
    </row>
    <row r="223" customFormat="false" ht="13.15" hidden="false" customHeight="true" outlineLevel="0" collapsed="false">
      <c r="A223" s="78" t="s">
        <v>92</v>
      </c>
      <c r="B223" s="79" t="s">
        <v>93</v>
      </c>
      <c r="C223" s="112" t="n">
        <v>1</v>
      </c>
      <c r="D223" s="76" t="n">
        <f aca="false">'VALORES BASE'!B14</f>
        <v>13.99</v>
      </c>
      <c r="E223" s="77" t="n">
        <f aca="false">IFERROR(D223/C223,0)</f>
        <v>13.99</v>
      </c>
    </row>
    <row r="224" customFormat="false" ht="12.8" hidden="false" customHeight="false" outlineLevel="0" collapsed="false">
      <c r="A224" s="78" t="s">
        <v>94</v>
      </c>
      <c r="B224" s="79" t="s">
        <v>95</v>
      </c>
      <c r="C224" s="117" t="n">
        <v>1</v>
      </c>
      <c r="D224" s="76" t="n">
        <f aca="false">'VALORES BASE'!B15</f>
        <v>100</v>
      </c>
      <c r="E224" s="81" t="n">
        <f aca="false">C224*D224</f>
        <v>100</v>
      </c>
    </row>
    <row r="225" customFormat="false" ht="12.8" hidden="false" customHeight="false" outlineLevel="0" collapsed="false">
      <c r="A225" s="78" t="s">
        <v>32</v>
      </c>
      <c r="B225" s="79" t="s">
        <v>33</v>
      </c>
      <c r="C225" s="117" t="n">
        <f aca="false">E31+E32</f>
        <v>14</v>
      </c>
      <c r="D225" s="81" t="n">
        <f aca="false">+SUM(E213:E224)</f>
        <v>378.2</v>
      </c>
      <c r="E225" s="81" t="n">
        <f aca="false">C225*D225</f>
        <v>5294.8</v>
      </c>
    </row>
    <row r="226" customFormat="false" ht="12.8" hidden="false" customHeight="false" outlineLevel="0" collapsed="false">
      <c r="D226" s="88" t="s">
        <v>34</v>
      </c>
      <c r="E226" s="89" t="n">
        <f aca="false">'FATOR FU_OFICIAL'!F5</f>
        <v>1</v>
      </c>
      <c r="F226" s="90" t="n">
        <f aca="false">E225*E226</f>
        <v>5294.8</v>
      </c>
    </row>
    <row r="227" customFormat="false" ht="11.25" hidden="false" customHeight="true" outlineLevel="0" collapsed="false"/>
    <row r="228" customFormat="false" ht="13.9" hidden="false" customHeight="true" outlineLevel="0" collapsed="false">
      <c r="A228" s="69" t="s">
        <v>96</v>
      </c>
    </row>
    <row r="229" customFormat="false" ht="11.25" hidden="false" customHeight="true" outlineLevel="0" collapsed="false"/>
    <row r="230" customFormat="false" ht="24.85" hidden="false" customHeight="true" outlineLevel="0" collapsed="false">
      <c r="A230" s="70" t="s">
        <v>16</v>
      </c>
      <c r="B230" s="71" t="s">
        <v>17</v>
      </c>
      <c r="C230" s="111" t="s">
        <v>80</v>
      </c>
      <c r="D230" s="72" t="s">
        <v>18</v>
      </c>
      <c r="E230" s="72" t="s">
        <v>19</v>
      </c>
      <c r="F230" s="73" t="s">
        <v>20</v>
      </c>
    </row>
    <row r="231" customFormat="false" ht="12.8" hidden="false" customHeight="false" outlineLevel="0" collapsed="false">
      <c r="A231" s="74" t="s">
        <v>81</v>
      </c>
      <c r="B231" s="75" t="s">
        <v>65</v>
      </c>
      <c r="C231" s="112" t="n">
        <v>6</v>
      </c>
      <c r="D231" s="77" t="n">
        <f aca="false">+D213</f>
        <v>150</v>
      </c>
      <c r="E231" s="77" t="n">
        <f aca="false">IFERROR((D231/C231)*2,0)</f>
        <v>50</v>
      </c>
    </row>
    <row r="232" customFormat="false" ht="12.8" hidden="false" customHeight="false" outlineLevel="0" collapsed="false">
      <c r="A232" s="78" t="s">
        <v>82</v>
      </c>
      <c r="B232" s="79" t="s">
        <v>65</v>
      </c>
      <c r="C232" s="112" t="n">
        <v>6</v>
      </c>
      <c r="D232" s="81" t="n">
        <f aca="false">+D214</f>
        <v>64.66</v>
      </c>
      <c r="E232" s="77" t="n">
        <f aca="false">IFERROR((D232/C232)*2,0)</f>
        <v>21.5533333333333</v>
      </c>
    </row>
    <row r="233" customFormat="false" ht="12.8" hidden="false" customHeight="false" outlineLevel="0" collapsed="false">
      <c r="A233" s="78" t="s">
        <v>83</v>
      </c>
      <c r="B233" s="79" t="s">
        <v>65</v>
      </c>
      <c r="C233" s="112" t="n">
        <v>6</v>
      </c>
      <c r="D233" s="81" t="n">
        <f aca="false">+D215</f>
        <v>41.89</v>
      </c>
      <c r="E233" s="77" t="n">
        <f aca="false">IFERROR((D233/C233)*2,0)</f>
        <v>13.9633333333333</v>
      </c>
    </row>
    <row r="234" customFormat="false" ht="12.8" hidden="false" customHeight="false" outlineLevel="0" collapsed="false">
      <c r="A234" s="78" t="s">
        <v>85</v>
      </c>
      <c r="B234" s="79" t="s">
        <v>65</v>
      </c>
      <c r="C234" s="112" t="n">
        <v>6</v>
      </c>
      <c r="D234" s="77" t="n">
        <f aca="false">'VALORES BASE'!B33</f>
        <v>5</v>
      </c>
      <c r="E234" s="77" t="n">
        <f aca="false">IFERROR((D234/C234)*2,0)</f>
        <v>1.66666666666667</v>
      </c>
    </row>
    <row r="235" customFormat="false" ht="12.8" hidden="false" customHeight="false" outlineLevel="0" collapsed="false">
      <c r="A235" s="78" t="s">
        <v>86</v>
      </c>
      <c r="B235" s="79" t="s">
        <v>87</v>
      </c>
      <c r="C235" s="112" t="n">
        <v>12</v>
      </c>
      <c r="D235" s="81" t="n">
        <f aca="false">+D218</f>
        <v>119.95</v>
      </c>
      <c r="E235" s="77" t="n">
        <f aca="false">IFERROR(D235/C235,0)</f>
        <v>9.99583333333333</v>
      </c>
    </row>
    <row r="236" customFormat="false" ht="12.8" hidden="false" customHeight="false" outlineLevel="0" collapsed="false">
      <c r="A236" s="78" t="s">
        <v>89</v>
      </c>
      <c r="B236" s="79" t="s">
        <v>65</v>
      </c>
      <c r="C236" s="112" t="n">
        <v>6</v>
      </c>
      <c r="D236" s="81" t="n">
        <f aca="false">+D220</f>
        <v>43.19</v>
      </c>
      <c r="E236" s="77" t="n">
        <f aca="false">IFERROR(D236/C236,0)</f>
        <v>7.19833333333333</v>
      </c>
      <c r="G236" s="1"/>
    </row>
    <row r="237" customFormat="false" ht="12.8" hidden="false" customHeight="false" outlineLevel="0" collapsed="false">
      <c r="A237" s="78" t="s">
        <v>92</v>
      </c>
      <c r="B237" s="79" t="s">
        <v>93</v>
      </c>
      <c r="C237" s="112" t="n">
        <v>2</v>
      </c>
      <c r="D237" s="81" t="n">
        <f aca="false">+D223</f>
        <v>13.99</v>
      </c>
      <c r="E237" s="77" t="n">
        <f aca="false">IFERROR(D237/C237,0)</f>
        <v>6.995</v>
      </c>
      <c r="G237" s="1"/>
    </row>
    <row r="238" customFormat="false" ht="12.8" hidden="false" customHeight="false" outlineLevel="0" collapsed="false">
      <c r="A238" s="78" t="s">
        <v>94</v>
      </c>
      <c r="B238" s="79" t="s">
        <v>95</v>
      </c>
      <c r="C238" s="117" t="n">
        <v>1</v>
      </c>
      <c r="D238" s="118" t="n">
        <f aca="false">D224</f>
        <v>100</v>
      </c>
      <c r="E238" s="81" t="n">
        <f aca="false">C238*D238</f>
        <v>100</v>
      </c>
      <c r="G238" s="1"/>
    </row>
    <row r="239" customFormat="false" ht="12.8" hidden="false" customHeight="false" outlineLevel="0" collapsed="false">
      <c r="A239" s="78" t="s">
        <v>32</v>
      </c>
      <c r="B239" s="79" t="s">
        <v>33</v>
      </c>
      <c r="C239" s="117" t="n">
        <f aca="false">E33</f>
        <v>4</v>
      </c>
      <c r="D239" s="81" t="n">
        <f aca="false">+SUM(E231:E238)</f>
        <v>211.3725</v>
      </c>
      <c r="E239" s="81" t="n">
        <f aca="false">C239*D239</f>
        <v>845.49</v>
      </c>
      <c r="G239" s="1"/>
    </row>
    <row r="240" customFormat="false" ht="12.8" hidden="false" customHeight="false" outlineLevel="0" collapsed="false">
      <c r="D240" s="88" t="s">
        <v>34</v>
      </c>
      <c r="E240" s="89" t="n">
        <f aca="false">'FATOR FU_OFICIAL'!F5</f>
        <v>1</v>
      </c>
      <c r="F240" s="90" t="n">
        <f aca="false">E239*E240</f>
        <v>845.49</v>
      </c>
      <c r="G240" s="1"/>
    </row>
    <row r="241" customFormat="false" ht="11.25" hidden="false" customHeight="true" outlineLevel="0" collapsed="false">
      <c r="G241" s="1"/>
    </row>
    <row r="242" customFormat="false" ht="12.4" hidden="false" customHeight="true" outlineLevel="0" collapsed="false">
      <c r="A242" s="69" t="s">
        <v>97</v>
      </c>
      <c r="G242" s="1"/>
    </row>
    <row r="243" customFormat="false" ht="11.25" hidden="false" customHeight="true" outlineLevel="0" collapsed="false">
      <c r="G243" s="1"/>
    </row>
    <row r="244" customFormat="false" ht="22.35" hidden="false" customHeight="true" outlineLevel="0" collapsed="false">
      <c r="A244" s="70" t="s">
        <v>16</v>
      </c>
      <c r="B244" s="71" t="s">
        <v>17</v>
      </c>
      <c r="C244" s="111" t="s">
        <v>80</v>
      </c>
      <c r="D244" s="72" t="s">
        <v>18</v>
      </c>
      <c r="E244" s="72" t="s">
        <v>19</v>
      </c>
      <c r="F244" s="73" t="s">
        <v>20</v>
      </c>
      <c r="G244" s="1"/>
    </row>
    <row r="245" customFormat="false" ht="11.25" hidden="false" customHeight="true" outlineLevel="0" collapsed="false">
      <c r="A245" s="74" t="s">
        <v>81</v>
      </c>
      <c r="B245" s="75" t="s">
        <v>65</v>
      </c>
      <c r="C245" s="112" t="n">
        <v>6</v>
      </c>
      <c r="D245" s="77" t="n">
        <f aca="false">D231</f>
        <v>150</v>
      </c>
      <c r="E245" s="77" t="n">
        <f aca="false">IFERROR((D245/C245)*2,0)</f>
        <v>50</v>
      </c>
      <c r="G245" s="1"/>
    </row>
    <row r="246" customFormat="false" ht="11.25" hidden="false" customHeight="true" outlineLevel="0" collapsed="false">
      <c r="A246" s="78" t="s">
        <v>82</v>
      </c>
      <c r="B246" s="79" t="s">
        <v>65</v>
      </c>
      <c r="C246" s="112" t="n">
        <v>6</v>
      </c>
      <c r="D246" s="77" t="n">
        <f aca="false">D232</f>
        <v>64.66</v>
      </c>
      <c r="E246" s="77" t="n">
        <f aca="false">IFERROR((D246/C246)*2,0)</f>
        <v>21.5533333333333</v>
      </c>
      <c r="G246" s="1"/>
    </row>
    <row r="247" customFormat="false" ht="11.25" hidden="false" customHeight="true" outlineLevel="0" collapsed="false">
      <c r="A247" s="78" t="s">
        <v>83</v>
      </c>
      <c r="B247" s="79" t="s">
        <v>65</v>
      </c>
      <c r="C247" s="112" t="n">
        <v>6</v>
      </c>
      <c r="D247" s="77" t="n">
        <f aca="false">D233</f>
        <v>41.89</v>
      </c>
      <c r="E247" s="77" t="n">
        <f aca="false">IFERROR((D247/C247)*2,0)</f>
        <v>13.9633333333333</v>
      </c>
      <c r="G247" s="1"/>
    </row>
    <row r="248" customFormat="false" ht="11.25" hidden="false" customHeight="true" outlineLevel="0" collapsed="false">
      <c r="A248" s="78" t="s">
        <v>85</v>
      </c>
      <c r="B248" s="79" t="s">
        <v>65</v>
      </c>
      <c r="C248" s="112" t="n">
        <v>6</v>
      </c>
      <c r="D248" s="77" t="n">
        <f aca="false">'VALORES BASE'!B33</f>
        <v>5</v>
      </c>
      <c r="E248" s="77" t="n">
        <f aca="false">IFERROR((D248/C248)*2,0)</f>
        <v>1.66666666666667</v>
      </c>
      <c r="G248" s="1"/>
    </row>
    <row r="249" customFormat="false" ht="11.25" hidden="false" customHeight="true" outlineLevel="0" collapsed="false">
      <c r="A249" s="78" t="s">
        <v>86</v>
      </c>
      <c r="B249" s="79" t="s">
        <v>87</v>
      </c>
      <c r="C249" s="112" t="n">
        <v>12</v>
      </c>
      <c r="D249" s="77" t="n">
        <f aca="false">D235</f>
        <v>119.95</v>
      </c>
      <c r="E249" s="77" t="n">
        <f aca="false">IFERROR(D249/C249,0)</f>
        <v>9.99583333333333</v>
      </c>
      <c r="G249" s="1"/>
    </row>
    <row r="250" customFormat="false" ht="11.25" hidden="false" customHeight="true" outlineLevel="0" collapsed="false">
      <c r="A250" s="78" t="s">
        <v>89</v>
      </c>
      <c r="B250" s="79" t="s">
        <v>65</v>
      </c>
      <c r="C250" s="112" t="n">
        <v>6</v>
      </c>
      <c r="D250" s="77" t="n">
        <f aca="false">D236</f>
        <v>43.19</v>
      </c>
      <c r="E250" s="77" t="n">
        <f aca="false">IFERROR(D250/C250,0)</f>
        <v>7.19833333333333</v>
      </c>
      <c r="G250" s="1"/>
    </row>
    <row r="251" customFormat="false" ht="11.25" hidden="false" customHeight="true" outlineLevel="0" collapsed="false">
      <c r="A251" s="78" t="s">
        <v>92</v>
      </c>
      <c r="B251" s="79" t="s">
        <v>93</v>
      </c>
      <c r="C251" s="112" t="n">
        <v>2</v>
      </c>
      <c r="D251" s="77" t="n">
        <f aca="false">D237</f>
        <v>13.99</v>
      </c>
      <c r="E251" s="77" t="n">
        <f aca="false">IFERROR(D251/C251,0)</f>
        <v>6.995</v>
      </c>
      <c r="G251" s="1"/>
    </row>
    <row r="252" customFormat="false" ht="11.25" hidden="false" customHeight="true" outlineLevel="0" collapsed="false">
      <c r="A252" s="78" t="s">
        <v>94</v>
      </c>
      <c r="B252" s="79" t="s">
        <v>95</v>
      </c>
      <c r="C252" s="117" t="n">
        <v>1</v>
      </c>
      <c r="D252" s="77" t="n">
        <f aca="false">D238</f>
        <v>100</v>
      </c>
      <c r="E252" s="81" t="n">
        <f aca="false">C252*D252</f>
        <v>100</v>
      </c>
      <c r="G252" s="1"/>
    </row>
    <row r="253" customFormat="false" ht="11.25" hidden="false" customHeight="true" outlineLevel="0" collapsed="false">
      <c r="A253" s="78" t="s">
        <v>32</v>
      </c>
      <c r="B253" s="79" t="s">
        <v>33</v>
      </c>
      <c r="C253" s="117" t="n">
        <f aca="false">E34+E36</f>
        <v>3</v>
      </c>
      <c r="D253" s="81" t="n">
        <f aca="false">+SUM(E245:E252)</f>
        <v>211.3725</v>
      </c>
      <c r="E253" s="81" t="n">
        <f aca="false">C253*D253</f>
        <v>634.1175</v>
      </c>
      <c r="G253" s="1"/>
    </row>
    <row r="254" customFormat="false" ht="11.25" hidden="false" customHeight="true" outlineLevel="0" collapsed="false">
      <c r="D254" s="88" t="s">
        <v>34</v>
      </c>
      <c r="E254" s="89" t="n">
        <f aca="false">'FATOR FU_OFICIAL'!F23</f>
        <v>1</v>
      </c>
      <c r="F254" s="90" t="n">
        <f aca="false">E253*E254</f>
        <v>634.1175</v>
      </c>
      <c r="G254" s="1"/>
    </row>
    <row r="255" customFormat="false" ht="11.25" hidden="false" customHeight="true" outlineLevel="0" collapsed="false">
      <c r="G255" s="1"/>
    </row>
    <row r="256" customFormat="false" ht="12.8" hidden="false" customHeight="false" outlineLevel="0" collapsed="false">
      <c r="A256" s="108" t="s">
        <v>98</v>
      </c>
      <c r="B256" s="119"/>
      <c r="C256" s="119"/>
      <c r="D256" s="120"/>
      <c r="E256" s="121"/>
      <c r="F256" s="122" t="n">
        <f aca="false">+F226+F240+F254</f>
        <v>6774.4075</v>
      </c>
      <c r="G256" s="1"/>
    </row>
    <row r="257" customFormat="false" ht="11.25" hidden="false" customHeight="true" outlineLevel="0" collapsed="false">
      <c r="G257" s="1"/>
    </row>
    <row r="258" customFormat="false" ht="12.8" hidden="false" customHeight="false" outlineLevel="0" collapsed="false">
      <c r="A258" s="26" t="s">
        <v>99</v>
      </c>
      <c r="G258" s="1"/>
    </row>
    <row r="259" customFormat="false" ht="11.25" hidden="false" customHeight="true" outlineLevel="0" collapsed="false">
      <c r="B259" s="123"/>
      <c r="G259" s="1"/>
    </row>
    <row r="260" customFormat="false" ht="12.8" hidden="false" customHeight="false" outlineLevel="0" collapsed="false">
      <c r="A260" s="124" t="s">
        <v>100</v>
      </c>
      <c r="G260" s="1"/>
    </row>
    <row r="261" customFormat="false" ht="11.25" hidden="false" customHeight="true" outlineLevel="0" collapsed="false">
      <c r="G261" s="1"/>
    </row>
    <row r="262" customFormat="false" ht="12.8" hidden="false" customHeight="false" outlineLevel="0" collapsed="false">
      <c r="A262" s="125" t="s">
        <v>101</v>
      </c>
      <c r="G262" s="1"/>
    </row>
    <row r="263" customFormat="false" ht="12.8" hidden="false" customHeight="false" outlineLevel="0" collapsed="false">
      <c r="A263" s="70" t="s">
        <v>16</v>
      </c>
      <c r="B263" s="71" t="s">
        <v>17</v>
      </c>
      <c r="C263" s="71" t="s">
        <v>9</v>
      </c>
      <c r="D263" s="72" t="s">
        <v>18</v>
      </c>
      <c r="E263" s="72" t="s">
        <v>19</v>
      </c>
      <c r="F263" s="73" t="s">
        <v>20</v>
      </c>
      <c r="G263" s="1"/>
    </row>
    <row r="264" customFormat="false" ht="12.8" hidden="false" customHeight="false" outlineLevel="0" collapsed="false">
      <c r="A264" s="74" t="s">
        <v>102</v>
      </c>
      <c r="B264" s="75" t="s">
        <v>65</v>
      </c>
      <c r="C264" s="75" t="n">
        <v>1</v>
      </c>
      <c r="D264" s="76" t="n">
        <f aca="false">'VALORES BASE'!B3</f>
        <v>545875</v>
      </c>
      <c r="E264" s="77" t="n">
        <f aca="false">C264*D264</f>
        <v>545875</v>
      </c>
      <c r="G264" s="1"/>
    </row>
    <row r="265" customFormat="false" ht="12.8" hidden="false" customHeight="false" outlineLevel="0" collapsed="false">
      <c r="A265" s="78" t="s">
        <v>103</v>
      </c>
      <c r="B265" s="79" t="s">
        <v>104</v>
      </c>
      <c r="C265" s="92" t="n">
        <v>5</v>
      </c>
      <c r="D265" s="81"/>
      <c r="E265" s="81"/>
      <c r="G265" s="1"/>
    </row>
    <row r="266" customFormat="false" ht="12.8" hidden="false" customHeight="false" outlineLevel="0" collapsed="false">
      <c r="A266" s="78" t="s">
        <v>105</v>
      </c>
      <c r="B266" s="79" t="s">
        <v>104</v>
      </c>
      <c r="C266" s="92" t="n">
        <v>0</v>
      </c>
      <c r="D266" s="81"/>
      <c r="E266" s="81"/>
      <c r="F266" s="126"/>
      <c r="I266" s="127"/>
      <c r="J266" s="127"/>
    </row>
    <row r="267" customFormat="false" ht="12.8" hidden="false" customHeight="false" outlineLevel="0" collapsed="false">
      <c r="A267" s="78" t="s">
        <v>106</v>
      </c>
      <c r="B267" s="79" t="s">
        <v>5</v>
      </c>
      <c r="C267" s="86" t="n">
        <f aca="false">IFERROR(VLOOKUP(C265,'5. Depreciação'!A3:B17,2,0),0)</f>
        <v>55.68</v>
      </c>
      <c r="D267" s="81" t="n">
        <f aca="false">E264</f>
        <v>545875</v>
      </c>
      <c r="E267" s="81" t="n">
        <f aca="false">C267*D267/100</f>
        <v>303943.2</v>
      </c>
    </row>
    <row r="268" customFormat="false" ht="12.8" hidden="false" customHeight="false" outlineLevel="0" collapsed="false">
      <c r="A268" s="128" t="s">
        <v>107</v>
      </c>
      <c r="B268" s="129" t="s">
        <v>22</v>
      </c>
      <c r="C268" s="129" t="n">
        <f aca="false">C265*12</f>
        <v>60</v>
      </c>
      <c r="D268" s="130" t="n">
        <f aca="false">IF(C266&lt;=C265,E267,0)</f>
        <v>303943.2</v>
      </c>
      <c r="E268" s="131" t="n">
        <f aca="false">IFERROR(D268/C268,0)</f>
        <v>5065.72</v>
      </c>
    </row>
    <row r="269" customFormat="false" ht="12.8" hidden="false" customHeight="false" outlineLevel="0" collapsed="false">
      <c r="A269" s="74" t="s">
        <v>108</v>
      </c>
      <c r="B269" s="75" t="s">
        <v>65</v>
      </c>
      <c r="C269" s="75" t="n">
        <f aca="false">C264</f>
        <v>1</v>
      </c>
      <c r="D269" s="76" t="n">
        <f aca="false">'VALORES BASE'!B30</f>
        <v>247760</v>
      </c>
      <c r="E269" s="77" t="n">
        <f aca="false">C269*D269</f>
        <v>247760</v>
      </c>
      <c r="G269" s="1"/>
    </row>
    <row r="270" customFormat="false" ht="12.8" hidden="false" customHeight="false" outlineLevel="0" collapsed="false">
      <c r="A270" s="78" t="s">
        <v>109</v>
      </c>
      <c r="B270" s="79" t="s">
        <v>104</v>
      </c>
      <c r="C270" s="92" t="n">
        <v>5</v>
      </c>
      <c r="D270" s="81"/>
      <c r="E270" s="81"/>
    </row>
    <row r="271" customFormat="false" ht="12.8" hidden="false" customHeight="false" outlineLevel="0" collapsed="false">
      <c r="A271" s="78" t="s">
        <v>110</v>
      </c>
      <c r="B271" s="79" t="s">
        <v>104</v>
      </c>
      <c r="C271" s="92" t="n">
        <v>0</v>
      </c>
      <c r="D271" s="81"/>
      <c r="E271" s="81"/>
      <c r="F271" s="126"/>
      <c r="I271" s="127"/>
      <c r="J271" s="127"/>
    </row>
    <row r="272" customFormat="false" ht="12.8" hidden="false" customHeight="false" outlineLevel="0" collapsed="false">
      <c r="A272" s="78" t="s">
        <v>111</v>
      </c>
      <c r="B272" s="79" t="s">
        <v>5</v>
      </c>
      <c r="C272" s="132" t="n">
        <f aca="false">IFERROR(VLOOKUP(C270,'5. Depreciação'!A3:B17,2,0),0)</f>
        <v>55.68</v>
      </c>
      <c r="D272" s="81" t="n">
        <f aca="false">E269</f>
        <v>247760</v>
      </c>
      <c r="E272" s="81" t="n">
        <f aca="false">C272*D272/100</f>
        <v>137952.768</v>
      </c>
    </row>
    <row r="273" customFormat="false" ht="12.8" hidden="false" customHeight="false" outlineLevel="0" collapsed="false">
      <c r="A273" s="95" t="s">
        <v>112</v>
      </c>
      <c r="B273" s="133" t="s">
        <v>22</v>
      </c>
      <c r="C273" s="133" t="n">
        <f aca="false">C270*12</f>
        <v>60</v>
      </c>
      <c r="D273" s="96" t="n">
        <f aca="false">IF(C271&lt;=C270,E272,0)</f>
        <v>137952.768</v>
      </c>
      <c r="E273" s="134" t="n">
        <f aca="false">IFERROR(D273/C273,0)</f>
        <v>2299.2128</v>
      </c>
    </row>
    <row r="274" customFormat="false" ht="12.8" hidden="false" customHeight="false" outlineLevel="0" collapsed="false">
      <c r="A274" s="82" t="s">
        <v>113</v>
      </c>
      <c r="B274" s="83"/>
      <c r="C274" s="83"/>
      <c r="D274" s="84"/>
      <c r="E274" s="85" t="n">
        <f aca="false">E268+E273</f>
        <v>7364.9328</v>
      </c>
    </row>
    <row r="275" customFormat="false" ht="12.8" hidden="false" customHeight="false" outlineLevel="0" collapsed="false">
      <c r="A275" s="95" t="s">
        <v>114</v>
      </c>
      <c r="B275" s="133" t="s">
        <v>65</v>
      </c>
      <c r="C275" s="87" t="n">
        <f aca="false">E40</f>
        <v>5</v>
      </c>
      <c r="D275" s="96" t="n">
        <f aca="false">E274</f>
        <v>7364.9328</v>
      </c>
      <c r="E275" s="85" t="n">
        <f aca="false">C275*D275</f>
        <v>36824.664</v>
      </c>
    </row>
    <row r="276" customFormat="false" ht="12.8" hidden="false" customHeight="false" outlineLevel="0" collapsed="false">
      <c r="A276" s="135"/>
      <c r="B276" s="135"/>
      <c r="C276" s="135"/>
      <c r="D276" s="88" t="s">
        <v>34</v>
      </c>
      <c r="E276" s="89" t="n">
        <f aca="false">'FATOR FU_OFICIAL'!F5</f>
        <v>1</v>
      </c>
      <c r="F276" s="122" t="n">
        <f aca="false">E275*E276</f>
        <v>36824.664</v>
      </c>
    </row>
    <row r="277" customFormat="false" ht="11.25" hidden="false" customHeight="true" outlineLevel="0" collapsed="false"/>
    <row r="278" customFormat="false" ht="12.8" hidden="false" customHeight="false" outlineLevel="0" collapsed="false">
      <c r="A278" s="125" t="s">
        <v>115</v>
      </c>
    </row>
    <row r="279" customFormat="false" ht="12.8" hidden="false" customHeight="false" outlineLevel="0" collapsed="false">
      <c r="A279" s="136" t="s">
        <v>16</v>
      </c>
      <c r="B279" s="137" t="s">
        <v>17</v>
      </c>
      <c r="C279" s="137" t="s">
        <v>9</v>
      </c>
      <c r="D279" s="72" t="s">
        <v>18</v>
      </c>
      <c r="E279" s="138" t="s">
        <v>19</v>
      </c>
      <c r="F279" s="73" t="s">
        <v>20</v>
      </c>
      <c r="I279" s="127"/>
      <c r="J279" s="127"/>
    </row>
    <row r="280" customFormat="false" ht="12.8" hidden="false" customHeight="false" outlineLevel="0" collapsed="false">
      <c r="A280" s="78" t="s">
        <v>116</v>
      </c>
      <c r="B280" s="79" t="s">
        <v>65</v>
      </c>
      <c r="C280" s="75" t="n">
        <v>1</v>
      </c>
      <c r="D280" s="81" t="n">
        <f aca="false">D264</f>
        <v>545875</v>
      </c>
      <c r="E280" s="81" t="n">
        <f aca="false">C280*D280</f>
        <v>545875</v>
      </c>
      <c r="F280" s="126"/>
      <c r="I280" s="127"/>
      <c r="J280" s="127"/>
    </row>
    <row r="281" customFormat="false" ht="12.8" hidden="false" customHeight="false" outlineLevel="0" collapsed="false">
      <c r="A281" s="78" t="s">
        <v>117</v>
      </c>
      <c r="B281" s="79" t="s">
        <v>5</v>
      </c>
      <c r="C281" s="92" t="n">
        <f aca="false">'VALORES BASE'!B32</f>
        <v>14.5</v>
      </c>
      <c r="D281" s="81"/>
      <c r="E281" s="81"/>
      <c r="F281" s="126"/>
      <c r="I281" s="127"/>
      <c r="J281" s="127"/>
    </row>
    <row r="282" customFormat="false" ht="12.8" hidden="false" customHeight="false" outlineLevel="0" collapsed="false">
      <c r="A282" s="78" t="s">
        <v>118</v>
      </c>
      <c r="B282" s="79" t="s">
        <v>27</v>
      </c>
      <c r="C282" s="139" t="n">
        <f aca="false">IFERROR(IF(C266&lt;=C265,E264-(C267/(100*C265)*C266)*E264,E264-E267),0)</f>
        <v>545875</v>
      </c>
      <c r="D282" s="81"/>
      <c r="E282" s="81"/>
      <c r="F282" s="126"/>
      <c r="I282" s="127"/>
      <c r="J282" s="127"/>
    </row>
    <row r="283" customFormat="false" ht="12.8" hidden="false" customHeight="false" outlineLevel="0" collapsed="false">
      <c r="A283" s="78" t="s">
        <v>119</v>
      </c>
      <c r="B283" s="79" t="s">
        <v>27</v>
      </c>
      <c r="C283" s="81" t="n">
        <f aca="false">IFERROR(IF(C266&gt;=C265,C282,((((C282)-(E264-E267))*(((C265-C266)+1)/(2*(C265-C266))))+(E264-E267))),0)</f>
        <v>424297.72</v>
      </c>
      <c r="D283" s="81"/>
      <c r="E283" s="81"/>
      <c r="F283" s="126"/>
      <c r="I283" s="127"/>
      <c r="J283" s="127"/>
    </row>
    <row r="284" customFormat="false" ht="12.8" hidden="false" customHeight="false" outlineLevel="0" collapsed="false">
      <c r="A284" s="128" t="s">
        <v>120</v>
      </c>
      <c r="B284" s="129" t="s">
        <v>27</v>
      </c>
      <c r="C284" s="129"/>
      <c r="D284" s="130" t="n">
        <f aca="false">C281*C283/12/100</f>
        <v>5126.93078333333</v>
      </c>
      <c r="E284" s="130" t="n">
        <f aca="false">D284</f>
        <v>5126.93078333333</v>
      </c>
      <c r="F284" s="126"/>
      <c r="I284" s="127"/>
      <c r="J284" s="127"/>
    </row>
    <row r="285" customFormat="false" ht="12.8" hidden="false" customHeight="false" outlineLevel="0" collapsed="false">
      <c r="A285" s="74" t="s">
        <v>121</v>
      </c>
      <c r="B285" s="75" t="s">
        <v>65</v>
      </c>
      <c r="C285" s="75" t="n">
        <f aca="false">C269</f>
        <v>1</v>
      </c>
      <c r="D285" s="77" t="n">
        <f aca="false">D269</f>
        <v>247760</v>
      </c>
      <c r="E285" s="77" t="n">
        <f aca="false">C285*D285</f>
        <v>247760</v>
      </c>
      <c r="F285" s="126"/>
      <c r="I285" s="127"/>
      <c r="J285" s="127"/>
    </row>
    <row r="286" customFormat="false" ht="12.8" hidden="false" customHeight="false" outlineLevel="0" collapsed="false">
      <c r="A286" s="78" t="s">
        <v>117</v>
      </c>
      <c r="B286" s="79" t="s">
        <v>5</v>
      </c>
      <c r="C286" s="79" t="n">
        <f aca="false">C281</f>
        <v>14.5</v>
      </c>
      <c r="D286" s="81"/>
      <c r="E286" s="81"/>
      <c r="F286" s="126"/>
      <c r="I286" s="127"/>
      <c r="J286" s="127"/>
    </row>
    <row r="287" customFormat="false" ht="12.8" hidden="false" customHeight="false" outlineLevel="0" collapsed="false">
      <c r="A287" s="78" t="s">
        <v>122</v>
      </c>
      <c r="B287" s="79" t="s">
        <v>27</v>
      </c>
      <c r="C287" s="139" t="n">
        <f aca="false">IFERROR(IF(C271&lt;=C270,E269-(C272/(100*C270)*C271)*E269,E269-E272),0)</f>
        <v>247760</v>
      </c>
      <c r="D287" s="81"/>
      <c r="E287" s="81"/>
      <c r="F287" s="126"/>
      <c r="I287" s="127"/>
      <c r="J287" s="127"/>
    </row>
    <row r="288" customFormat="false" ht="12.8" hidden="false" customHeight="false" outlineLevel="0" collapsed="false">
      <c r="A288" s="78" t="s">
        <v>123</v>
      </c>
      <c r="B288" s="79" t="s">
        <v>27</v>
      </c>
      <c r="C288" s="81" t="n">
        <f aca="false">IFERROR(IF(C271&gt;=C270,C287,((((C287)-(E269-E272))*(((C270-C271)+1)/(2*(C270-C271))))+(E269-E272))),0)</f>
        <v>192578.8928</v>
      </c>
      <c r="D288" s="81"/>
      <c r="E288" s="81"/>
      <c r="F288" s="126"/>
      <c r="I288" s="127"/>
      <c r="J288" s="127"/>
    </row>
    <row r="289" customFormat="false" ht="12.8" hidden="false" customHeight="false" outlineLevel="0" collapsed="false">
      <c r="A289" s="95" t="s">
        <v>124</v>
      </c>
      <c r="B289" s="133" t="s">
        <v>27</v>
      </c>
      <c r="C289" s="133"/>
      <c r="D289" s="96" t="n">
        <f aca="false">C286*C288/12/100</f>
        <v>2326.99495466667</v>
      </c>
      <c r="E289" s="96" t="n">
        <f aca="false">D289</f>
        <v>2326.99495466667</v>
      </c>
      <c r="F289" s="126"/>
      <c r="I289" s="127"/>
      <c r="J289" s="127"/>
    </row>
    <row r="290" customFormat="false" ht="12.8" hidden="false" customHeight="false" outlineLevel="0" collapsed="false">
      <c r="A290" s="82" t="s">
        <v>113</v>
      </c>
      <c r="B290" s="83"/>
      <c r="C290" s="83"/>
      <c r="D290" s="84"/>
      <c r="E290" s="85" t="n">
        <f aca="false">E284+E289</f>
        <v>7453.925738</v>
      </c>
      <c r="F290" s="126"/>
      <c r="I290" s="127"/>
      <c r="J290" s="127"/>
    </row>
    <row r="291" customFormat="false" ht="12.8" hidden="false" customHeight="false" outlineLevel="0" collapsed="false">
      <c r="A291" s="95" t="s">
        <v>114</v>
      </c>
      <c r="B291" s="133" t="s">
        <v>65</v>
      </c>
      <c r="C291" s="79" t="n">
        <f aca="false">C275</f>
        <v>5</v>
      </c>
      <c r="D291" s="96" t="n">
        <f aca="false">E290</f>
        <v>7453.925738</v>
      </c>
      <c r="E291" s="85" t="n">
        <f aca="false">C291*D291</f>
        <v>37269.62869</v>
      </c>
      <c r="F291" s="126"/>
      <c r="I291" s="127"/>
      <c r="J291" s="127"/>
    </row>
    <row r="292" customFormat="false" ht="12.8" hidden="false" customHeight="false" outlineLevel="0" collapsed="false">
      <c r="C292" s="140"/>
      <c r="D292" s="88" t="s">
        <v>34</v>
      </c>
      <c r="E292" s="89" t="n">
        <f aca="false">'FATOR FU_OFICIAL'!F5</f>
        <v>1</v>
      </c>
      <c r="F292" s="122" t="n">
        <f aca="false">E291*E292</f>
        <v>37269.62869</v>
      </c>
      <c r="I292" s="127"/>
      <c r="J292" s="127"/>
    </row>
    <row r="293" customFormat="false" ht="11.25" hidden="false" customHeight="true" outlineLevel="0" collapsed="false">
      <c r="I293" s="127"/>
      <c r="J293" s="127"/>
    </row>
    <row r="294" customFormat="false" ht="12.8" hidden="false" customHeight="false" outlineLevel="0" collapsed="false">
      <c r="A294" s="69" t="s">
        <v>125</v>
      </c>
      <c r="I294" s="127"/>
      <c r="J294" s="127"/>
    </row>
    <row r="295" customFormat="false" ht="12.8" hidden="false" customHeight="false" outlineLevel="0" collapsed="false">
      <c r="A295" s="70" t="s">
        <v>16</v>
      </c>
      <c r="B295" s="71" t="s">
        <v>17</v>
      </c>
      <c r="C295" s="71" t="s">
        <v>9</v>
      </c>
      <c r="D295" s="72" t="s">
        <v>18</v>
      </c>
      <c r="E295" s="72" t="s">
        <v>19</v>
      </c>
      <c r="F295" s="73" t="s">
        <v>20</v>
      </c>
      <c r="I295" s="127"/>
      <c r="J295" s="127"/>
    </row>
    <row r="296" customFormat="false" ht="12.8" hidden="false" customHeight="false" outlineLevel="0" collapsed="false">
      <c r="A296" s="74" t="s">
        <v>126</v>
      </c>
      <c r="B296" s="75" t="s">
        <v>65</v>
      </c>
      <c r="C296" s="77" t="n">
        <f aca="false">C275</f>
        <v>5</v>
      </c>
      <c r="D296" s="77" t="n">
        <f aca="false">0.01*($E$264)</f>
        <v>5458.75</v>
      </c>
      <c r="E296" s="77" t="n">
        <f aca="false">C296*D296</f>
        <v>27293.75</v>
      </c>
      <c r="I296" s="127"/>
      <c r="J296" s="127"/>
    </row>
    <row r="297" customFormat="false" ht="12.8" hidden="false" customHeight="false" outlineLevel="0" collapsed="false">
      <c r="A297" s="78" t="s">
        <v>127</v>
      </c>
      <c r="B297" s="79" t="s">
        <v>65</v>
      </c>
      <c r="C297" s="77" t="n">
        <f aca="false">C275</f>
        <v>5</v>
      </c>
      <c r="D297" s="106" t="n">
        <f aca="false">'VALORES BASE'!B59</f>
        <v>183.142</v>
      </c>
      <c r="E297" s="81" t="n">
        <f aca="false">C297*D297</f>
        <v>915.71</v>
      </c>
      <c r="I297" s="127"/>
      <c r="J297" s="127"/>
    </row>
    <row r="298" customFormat="false" ht="12.8" hidden="false" customHeight="false" outlineLevel="0" collapsed="false">
      <c r="A298" s="78" t="s">
        <v>128</v>
      </c>
      <c r="B298" s="79" t="s">
        <v>65</v>
      </c>
      <c r="C298" s="77" t="n">
        <f aca="false">C275</f>
        <v>5</v>
      </c>
      <c r="D298" s="106" t="n">
        <f aca="false">'VALORES BASE'!B41</f>
        <v>3500</v>
      </c>
      <c r="E298" s="81" t="n">
        <f aca="false">C298*D298</f>
        <v>17500</v>
      </c>
      <c r="F298" s="84"/>
      <c r="I298" s="127"/>
      <c r="J298" s="127"/>
    </row>
    <row r="299" customFormat="false" ht="12.8" hidden="false" customHeight="false" outlineLevel="0" collapsed="false">
      <c r="A299" s="95" t="s">
        <v>129</v>
      </c>
      <c r="B299" s="133" t="s">
        <v>22</v>
      </c>
      <c r="C299" s="133" t="n">
        <v>12</v>
      </c>
      <c r="D299" s="96" t="n">
        <f aca="false">SUM(E296:E298)</f>
        <v>45709.46</v>
      </c>
      <c r="E299" s="96" t="n">
        <f aca="false">D299/C299</f>
        <v>3809.12166666667</v>
      </c>
      <c r="I299" s="127"/>
      <c r="J299" s="127"/>
    </row>
    <row r="300" customFormat="false" ht="12.8" hidden="false" customHeight="false" outlineLevel="0" collapsed="false">
      <c r="D300" s="88" t="s">
        <v>34</v>
      </c>
      <c r="E300" s="89" t="n">
        <f aca="false">'FATOR FU_OFICIAL'!F5</f>
        <v>1</v>
      </c>
      <c r="F300" s="90" t="n">
        <f aca="false">E299*E300</f>
        <v>3809.12166666667</v>
      </c>
      <c r="I300" s="127"/>
      <c r="J300" s="127"/>
    </row>
    <row r="301" customFormat="false" ht="11.25" hidden="false" customHeight="true" outlineLevel="0" collapsed="false">
      <c r="I301" s="127"/>
      <c r="J301" s="127"/>
    </row>
    <row r="302" customFormat="false" ht="12.8" hidden="false" customHeight="false" outlineLevel="0" collapsed="false">
      <c r="A302" s="69" t="s">
        <v>130</v>
      </c>
      <c r="B302" s="141"/>
      <c r="I302" s="127"/>
      <c r="J302" s="127"/>
    </row>
    <row r="303" customFormat="false" ht="12.8" hidden="false" customHeight="false" outlineLevel="0" collapsed="false">
      <c r="B303" s="141"/>
      <c r="I303" s="127"/>
      <c r="J303" s="127"/>
    </row>
    <row r="304" customFormat="false" ht="12.8" hidden="false" customHeight="false" outlineLevel="0" collapsed="false">
      <c r="A304" s="95" t="s">
        <v>131</v>
      </c>
      <c r="B304" s="142" t="n">
        <f aca="false">'Roteiros Coleta_URBANO'!M10</f>
        <v>3766.8</v>
      </c>
      <c r="I304" s="127"/>
      <c r="J304" s="127"/>
    </row>
    <row r="305" customFormat="false" ht="12.8" hidden="false" customHeight="false" outlineLevel="0" collapsed="false">
      <c r="B305" s="141"/>
      <c r="I305" s="127"/>
      <c r="J305" s="127"/>
    </row>
    <row r="306" customFormat="false" ht="12.8" hidden="false" customHeight="false" outlineLevel="0" collapsed="false">
      <c r="A306" s="70" t="s">
        <v>16</v>
      </c>
      <c r="B306" s="71" t="s">
        <v>17</v>
      </c>
      <c r="C306" s="71" t="s">
        <v>132</v>
      </c>
      <c r="D306" s="72" t="s">
        <v>18</v>
      </c>
      <c r="E306" s="72" t="s">
        <v>19</v>
      </c>
      <c r="F306" s="73" t="s">
        <v>20</v>
      </c>
      <c r="I306" s="127"/>
      <c r="J306" s="127"/>
    </row>
    <row r="307" customFormat="false" ht="12.8" hidden="false" customHeight="false" outlineLevel="0" collapsed="false">
      <c r="A307" s="74" t="s">
        <v>133</v>
      </c>
      <c r="B307" s="75" t="s">
        <v>134</v>
      </c>
      <c r="C307" s="143" t="n">
        <f aca="false">'VALORES BASE'!B60</f>
        <v>2.1</v>
      </c>
      <c r="D307" s="144" t="n">
        <f aca="false">'VALORES BASE'!B38</f>
        <v>7.03</v>
      </c>
      <c r="E307" s="77"/>
      <c r="I307" s="127"/>
      <c r="J307" s="127"/>
    </row>
    <row r="308" customFormat="false" ht="12.8" hidden="false" customHeight="false" outlineLevel="0" collapsed="false">
      <c r="A308" s="78" t="s">
        <v>135</v>
      </c>
      <c r="B308" s="79" t="s">
        <v>136</v>
      </c>
      <c r="C308" s="101" t="n">
        <f aca="false">B304</f>
        <v>3766.8</v>
      </c>
      <c r="D308" s="145" t="n">
        <f aca="false">IFERROR(+D307/C307,"-")</f>
        <v>3.34761904761905</v>
      </c>
      <c r="E308" s="81" t="n">
        <f aca="false">IFERROR(C308*D308,"-")</f>
        <v>12609.8114285714</v>
      </c>
      <c r="I308" s="127"/>
      <c r="J308" s="127"/>
    </row>
    <row r="309" customFormat="false" ht="12.8" hidden="false" customHeight="false" outlineLevel="0" collapsed="false">
      <c r="A309" s="78" t="s">
        <v>137</v>
      </c>
      <c r="B309" s="79" t="s">
        <v>138</v>
      </c>
      <c r="C309" s="146" t="n">
        <v>3</v>
      </c>
      <c r="D309" s="106" t="n">
        <f aca="false">'VALORES BASE'!B42</f>
        <v>36.3</v>
      </c>
      <c r="E309" s="81"/>
      <c r="I309" s="127"/>
      <c r="J309" s="127"/>
    </row>
    <row r="310" customFormat="false" ht="12.8" hidden="false" customHeight="false" outlineLevel="0" collapsed="false">
      <c r="A310" s="78" t="s">
        <v>139</v>
      </c>
      <c r="B310" s="79" t="s">
        <v>136</v>
      </c>
      <c r="C310" s="101" t="n">
        <f aca="false">C308</f>
        <v>3766.8</v>
      </c>
      <c r="D310" s="147" t="n">
        <f aca="false">+C309*D309/1000</f>
        <v>0.1089</v>
      </c>
      <c r="E310" s="81" t="n">
        <f aca="false">C310*D310</f>
        <v>410.20452</v>
      </c>
      <c r="I310" s="127"/>
      <c r="J310" s="127"/>
    </row>
    <row r="311" customFormat="false" ht="12.8" hidden="false" customHeight="false" outlineLevel="0" collapsed="false">
      <c r="A311" s="78" t="s">
        <v>140</v>
      </c>
      <c r="B311" s="79" t="s">
        <v>138</v>
      </c>
      <c r="C311" s="146" t="n">
        <v>0.66</v>
      </c>
      <c r="D311" s="106" t="n">
        <f aca="false">'VALORES BASE'!B43</f>
        <v>54.12</v>
      </c>
      <c r="E311" s="81"/>
      <c r="I311" s="127"/>
      <c r="J311" s="127"/>
    </row>
    <row r="312" customFormat="false" ht="12.8" hidden="false" customHeight="false" outlineLevel="0" collapsed="false">
      <c r="A312" s="78" t="s">
        <v>141</v>
      </c>
      <c r="B312" s="79" t="s">
        <v>136</v>
      </c>
      <c r="C312" s="101" t="n">
        <f aca="false">C308</f>
        <v>3766.8</v>
      </c>
      <c r="D312" s="147" t="n">
        <f aca="false">+C311*D311/1000</f>
        <v>0.0357192</v>
      </c>
      <c r="E312" s="81" t="n">
        <f aca="false">C312*D312</f>
        <v>134.54708256</v>
      </c>
      <c r="I312" s="127"/>
      <c r="J312" s="127"/>
    </row>
    <row r="313" customFormat="false" ht="12.8" hidden="false" customHeight="false" outlineLevel="0" collapsed="false">
      <c r="A313" s="78" t="s">
        <v>142</v>
      </c>
      <c r="B313" s="79" t="s">
        <v>138</v>
      </c>
      <c r="C313" s="146" t="n">
        <f aca="false">'VALORES BASE'!B61</f>
        <v>16.47</v>
      </c>
      <c r="D313" s="106" t="n">
        <f aca="false">'VALORES BASE'!B44</f>
        <v>47.4</v>
      </c>
      <c r="E313" s="81"/>
      <c r="I313" s="127"/>
      <c r="J313" s="127"/>
    </row>
    <row r="314" customFormat="false" ht="12.8" hidden="false" customHeight="false" outlineLevel="0" collapsed="false">
      <c r="A314" s="78" t="s">
        <v>143</v>
      </c>
      <c r="B314" s="79" t="s">
        <v>136</v>
      </c>
      <c r="C314" s="101" t="n">
        <f aca="false">C308</f>
        <v>3766.8</v>
      </c>
      <c r="D314" s="147" t="n">
        <f aca="false">+C313*D313/1000</f>
        <v>0.780678</v>
      </c>
      <c r="E314" s="81" t="n">
        <f aca="false">C314*D314</f>
        <v>2940.6578904</v>
      </c>
      <c r="I314" s="127"/>
      <c r="J314" s="127"/>
    </row>
    <row r="315" customFormat="false" ht="12.8" hidden="false" customHeight="false" outlineLevel="0" collapsed="false">
      <c r="A315" s="78" t="s">
        <v>144</v>
      </c>
      <c r="B315" s="79" t="s">
        <v>145</v>
      </c>
      <c r="C315" s="146" t="n">
        <v>2</v>
      </c>
      <c r="D315" s="106" t="n">
        <f aca="false">'VALORES BASE'!B45</f>
        <v>36</v>
      </c>
      <c r="E315" s="81"/>
      <c r="I315" s="127"/>
      <c r="J315" s="127"/>
    </row>
    <row r="316" customFormat="false" ht="12.8" hidden="false" customHeight="false" outlineLevel="0" collapsed="false">
      <c r="A316" s="78" t="s">
        <v>146</v>
      </c>
      <c r="B316" s="79" t="s">
        <v>136</v>
      </c>
      <c r="C316" s="101" t="n">
        <f aca="false">C308</f>
        <v>3766.8</v>
      </c>
      <c r="D316" s="147" t="n">
        <f aca="false">+C315*D315/1000</f>
        <v>0.072</v>
      </c>
      <c r="E316" s="81" t="n">
        <f aca="false">C316*D316</f>
        <v>271.2096</v>
      </c>
      <c r="I316" s="127"/>
      <c r="J316" s="127"/>
    </row>
    <row r="317" customFormat="false" ht="12.8" hidden="false" customHeight="false" outlineLevel="0" collapsed="false">
      <c r="A317" s="78" t="s">
        <v>147</v>
      </c>
      <c r="B317" s="79" t="s">
        <v>148</v>
      </c>
      <c r="C317" s="101" t="n">
        <f aca="false">(B304/C307)*(5/100)</f>
        <v>89.6857142857143</v>
      </c>
      <c r="D317" s="148" t="n">
        <f aca="false">'VALORES BASE'!B31</f>
        <v>8</v>
      </c>
      <c r="E317" s="81" t="n">
        <f aca="false">C317*D317</f>
        <v>717.485714285714</v>
      </c>
      <c r="I317" s="127"/>
      <c r="J317" s="127"/>
    </row>
    <row r="318" customFormat="false" ht="12.8" hidden="false" customHeight="false" outlineLevel="0" collapsed="false">
      <c r="A318" s="95" t="s">
        <v>149</v>
      </c>
      <c r="B318" s="133" t="s">
        <v>150</v>
      </c>
      <c r="C318" s="149"/>
      <c r="D318" s="150" t="n">
        <f aca="false">IFERROR(D308+D310+D312+D314+D316,0)</f>
        <v>4.34491624761905</v>
      </c>
      <c r="E318" s="81"/>
      <c r="I318" s="127"/>
      <c r="J318" s="127"/>
    </row>
    <row r="319" customFormat="false" ht="12.8" hidden="false" customHeight="false" outlineLevel="0" collapsed="false">
      <c r="F319" s="122" t="n">
        <f aca="false">SUM(E307:E317)</f>
        <v>17083.9162358171</v>
      </c>
      <c r="I319" s="127"/>
      <c r="J319" s="127"/>
    </row>
    <row r="320" customFormat="false" ht="11.25" hidden="false" customHeight="true" outlineLevel="0" collapsed="false">
      <c r="I320" s="127"/>
      <c r="J320" s="127"/>
    </row>
    <row r="321" customFormat="false" ht="12.8" hidden="false" customHeight="false" outlineLevel="0" collapsed="false">
      <c r="A321" s="69" t="s">
        <v>151</v>
      </c>
      <c r="I321" s="127"/>
      <c r="J321" s="127"/>
    </row>
    <row r="322" customFormat="false" ht="12.8" hidden="false" customHeight="false" outlineLevel="0" collapsed="false">
      <c r="A322" s="70" t="s">
        <v>16</v>
      </c>
      <c r="B322" s="71" t="s">
        <v>17</v>
      </c>
      <c r="C322" s="71" t="s">
        <v>9</v>
      </c>
      <c r="D322" s="72" t="s">
        <v>18</v>
      </c>
      <c r="E322" s="72" t="s">
        <v>19</v>
      </c>
      <c r="F322" s="73" t="s">
        <v>20</v>
      </c>
      <c r="I322" s="127"/>
      <c r="J322" s="127"/>
    </row>
    <row r="323" customFormat="false" ht="12.8" hidden="false" customHeight="false" outlineLevel="0" collapsed="false">
      <c r="A323" s="74" t="s">
        <v>152</v>
      </c>
      <c r="B323" s="75" t="s">
        <v>150</v>
      </c>
      <c r="C323" s="101" t="n">
        <f aca="false">C308</f>
        <v>3766.8</v>
      </c>
      <c r="D323" s="76" t="n">
        <f aca="false">'VALORES BASE'!B46</f>
        <v>1.32</v>
      </c>
      <c r="E323" s="77" t="n">
        <f aca="false">C323*D323</f>
        <v>4972.176</v>
      </c>
      <c r="I323" s="127"/>
      <c r="J323" s="127"/>
    </row>
    <row r="324" customFormat="false" ht="12.8" hidden="false" customHeight="false" outlineLevel="0" collapsed="false">
      <c r="F324" s="122" t="n">
        <f aca="false">E323</f>
        <v>4972.176</v>
      </c>
      <c r="I324" s="127"/>
      <c r="J324" s="127"/>
    </row>
    <row r="325" customFormat="false" ht="11.25" hidden="false" customHeight="true" outlineLevel="0" collapsed="false">
      <c r="I325" s="127"/>
      <c r="J325" s="127"/>
    </row>
    <row r="326" customFormat="false" ht="12.8" hidden="false" customHeight="false" outlineLevel="0" collapsed="false">
      <c r="A326" s="69" t="s">
        <v>153</v>
      </c>
      <c r="I326" s="127"/>
      <c r="J326" s="127"/>
    </row>
    <row r="327" customFormat="false" ht="12.8" hidden="false" customHeight="false" outlineLevel="0" collapsed="false">
      <c r="A327" s="70" t="s">
        <v>16</v>
      </c>
      <c r="B327" s="71" t="s">
        <v>17</v>
      </c>
      <c r="C327" s="71" t="s">
        <v>9</v>
      </c>
      <c r="D327" s="72" t="s">
        <v>18</v>
      </c>
      <c r="E327" s="72" t="s">
        <v>19</v>
      </c>
      <c r="F327" s="73" t="s">
        <v>20</v>
      </c>
      <c r="I327" s="127"/>
      <c r="J327" s="127"/>
    </row>
    <row r="328" customFormat="false" ht="12.8" hidden="false" customHeight="false" outlineLevel="0" collapsed="false">
      <c r="A328" s="74" t="s">
        <v>154</v>
      </c>
      <c r="B328" s="75" t="s">
        <v>65</v>
      </c>
      <c r="C328" s="151" t="n">
        <v>6</v>
      </c>
      <c r="D328" s="76" t="n">
        <f aca="false">'VALORES BASE'!B16</f>
        <v>1823.73</v>
      </c>
      <c r="E328" s="77" t="n">
        <f aca="false">C328*D328</f>
        <v>10942.38</v>
      </c>
      <c r="I328" s="127"/>
      <c r="J328" s="127"/>
    </row>
    <row r="329" customFormat="false" ht="12.8" hidden="false" customHeight="false" outlineLevel="0" collapsed="false">
      <c r="A329" s="74" t="s">
        <v>155</v>
      </c>
      <c r="B329" s="75" t="s">
        <v>65</v>
      </c>
      <c r="C329" s="151" t="n">
        <v>3</v>
      </c>
      <c r="D329" s="77"/>
      <c r="E329" s="77"/>
      <c r="I329" s="127"/>
      <c r="J329" s="127"/>
    </row>
    <row r="330" customFormat="false" ht="12.8" hidden="false" customHeight="false" outlineLevel="0" collapsed="false">
      <c r="A330" s="74" t="s">
        <v>156</v>
      </c>
      <c r="B330" s="75" t="s">
        <v>65</v>
      </c>
      <c r="C330" s="77" t="n">
        <f aca="false">C328*C329</f>
        <v>18</v>
      </c>
      <c r="D330" s="76" t="n">
        <f aca="false">0.35*D328</f>
        <v>638.3055</v>
      </c>
      <c r="E330" s="77" t="n">
        <f aca="false">C330*D330</f>
        <v>11489.499</v>
      </c>
      <c r="I330" s="127"/>
      <c r="J330" s="127"/>
    </row>
    <row r="331" customFormat="false" ht="12.8" hidden="false" customHeight="false" outlineLevel="0" collapsed="false">
      <c r="A331" s="152" t="s">
        <v>157</v>
      </c>
      <c r="B331" s="79" t="s">
        <v>158</v>
      </c>
      <c r="C331" s="153" t="n">
        <f aca="false">'VALORES BASE'!B63</f>
        <v>65000</v>
      </c>
      <c r="D331" s="81" t="n">
        <f aca="false">E328+E330</f>
        <v>22431.879</v>
      </c>
      <c r="E331" s="81" t="n">
        <f aca="false">IFERROR(D331/C331,"-")</f>
        <v>0.345105830769231</v>
      </c>
      <c r="I331" s="127"/>
      <c r="J331" s="127"/>
    </row>
    <row r="332" customFormat="false" ht="12.8" hidden="false" customHeight="false" outlineLevel="0" collapsed="false">
      <c r="A332" s="78" t="s">
        <v>159</v>
      </c>
      <c r="B332" s="79" t="s">
        <v>136</v>
      </c>
      <c r="C332" s="101" t="n">
        <f aca="false">B304</f>
        <v>3766.8</v>
      </c>
      <c r="D332" s="81" t="n">
        <f aca="false">E331</f>
        <v>0.345105830769231</v>
      </c>
      <c r="E332" s="81" t="n">
        <f aca="false">IFERROR(C332*D332,0)</f>
        <v>1299.94464334154</v>
      </c>
      <c r="I332" s="127"/>
      <c r="J332" s="127"/>
    </row>
    <row r="333" customFormat="false" ht="12.8" hidden="false" customHeight="false" outlineLevel="0" collapsed="false">
      <c r="F333" s="122" t="n">
        <f aca="false">E332</f>
        <v>1299.94464334154</v>
      </c>
      <c r="I333" s="127"/>
      <c r="J333" s="127"/>
    </row>
    <row r="334" customFormat="false" ht="12.8" hidden="false" customHeight="false" outlineLevel="0" collapsed="false">
      <c r="A334" s="69" t="s">
        <v>160</v>
      </c>
      <c r="I334" s="127"/>
      <c r="J334" s="127"/>
    </row>
    <row r="335" customFormat="false" ht="12.8" hidden="false" customHeight="false" outlineLevel="0" collapsed="false">
      <c r="A335" s="70" t="s">
        <v>16</v>
      </c>
      <c r="B335" s="71" t="s">
        <v>17</v>
      </c>
      <c r="C335" s="71" t="s">
        <v>9</v>
      </c>
      <c r="D335" s="72" t="s">
        <v>18</v>
      </c>
      <c r="E335" s="72" t="s">
        <v>19</v>
      </c>
      <c r="F335" s="73" t="s">
        <v>20</v>
      </c>
      <c r="I335" s="127"/>
      <c r="J335" s="127"/>
    </row>
    <row r="336" customFormat="false" ht="12.8" hidden="false" customHeight="false" outlineLevel="0" collapsed="false">
      <c r="A336" s="74" t="s">
        <v>161</v>
      </c>
      <c r="B336" s="75" t="s">
        <v>65</v>
      </c>
      <c r="C336" s="151" t="n">
        <v>1</v>
      </c>
      <c r="D336" s="76" t="n">
        <f aca="false">'VALORES BASE'!B17</f>
        <v>647</v>
      </c>
      <c r="E336" s="77" t="n">
        <f aca="false">C336*D336</f>
        <v>647</v>
      </c>
      <c r="I336" s="127"/>
      <c r="J336" s="127"/>
    </row>
    <row r="337" customFormat="false" ht="12.8" hidden="false" customHeight="false" outlineLevel="0" collapsed="false">
      <c r="A337" s="74" t="s">
        <v>114</v>
      </c>
      <c r="B337" s="75" t="s">
        <v>65</v>
      </c>
      <c r="C337" s="75" t="n">
        <f aca="false">E40</f>
        <v>5</v>
      </c>
      <c r="D337" s="77"/>
      <c r="E337" s="77" t="n">
        <f aca="false">PRODUCT(C337,E336)/60</f>
        <v>53.9166666666667</v>
      </c>
      <c r="I337" s="127"/>
      <c r="J337" s="127"/>
    </row>
    <row r="338" customFormat="false" ht="12.8" hidden="false" customHeight="false" outlineLevel="0" collapsed="false">
      <c r="A338" s="74" t="s">
        <v>162</v>
      </c>
      <c r="B338" s="75" t="s">
        <v>27</v>
      </c>
      <c r="C338" s="75"/>
      <c r="D338" s="75"/>
      <c r="E338" s="77" t="n">
        <f aca="false">E337</f>
        <v>53.9166666666667</v>
      </c>
      <c r="I338" s="127"/>
      <c r="J338" s="127"/>
    </row>
    <row r="339" customFormat="false" ht="12.8" hidden="false" customHeight="false" outlineLevel="0" collapsed="false">
      <c r="F339" s="122" t="n">
        <f aca="false">E338</f>
        <v>53.9166666666667</v>
      </c>
      <c r="I339" s="127"/>
      <c r="J339" s="127"/>
    </row>
    <row r="340" customFormat="false" ht="11.25" hidden="false" customHeight="true" outlineLevel="0" collapsed="false">
      <c r="I340" s="127"/>
      <c r="J340" s="127"/>
    </row>
    <row r="341" customFormat="false" ht="18.4" hidden="false" customHeight="true" outlineLevel="0" collapsed="false">
      <c r="A341" s="69" t="s">
        <v>163</v>
      </c>
      <c r="I341" s="127"/>
      <c r="J341" s="127"/>
    </row>
    <row r="342" customFormat="false" ht="11.25" hidden="false" customHeight="true" outlineLevel="0" collapsed="false">
      <c r="A342" s="70" t="s">
        <v>16</v>
      </c>
      <c r="B342" s="71" t="s">
        <v>17</v>
      </c>
      <c r="C342" s="71" t="s">
        <v>9</v>
      </c>
      <c r="D342" s="72" t="s">
        <v>18</v>
      </c>
      <c r="E342" s="72" t="s">
        <v>19</v>
      </c>
      <c r="F342" s="73" t="s">
        <v>20</v>
      </c>
      <c r="I342" s="127"/>
      <c r="J342" s="127"/>
    </row>
    <row r="343" customFormat="false" ht="11.25" hidden="false" customHeight="true" outlineLevel="0" collapsed="false">
      <c r="A343" s="74" t="s">
        <v>161</v>
      </c>
      <c r="B343" s="75" t="s">
        <v>65</v>
      </c>
      <c r="C343" s="154" t="n">
        <f aca="false">E40</f>
        <v>5</v>
      </c>
      <c r="D343" s="76" t="n">
        <f aca="false">'VALORES BASE'!B47</f>
        <v>650</v>
      </c>
      <c r="E343" s="77" t="n">
        <f aca="false">(C343*D343)/60</f>
        <v>54.1666666666667</v>
      </c>
      <c r="I343" s="127"/>
      <c r="J343" s="127"/>
    </row>
    <row r="344" customFormat="false" ht="11.25" hidden="false" customHeight="true" outlineLevel="0" collapsed="false">
      <c r="A344" s="74" t="s">
        <v>164</v>
      </c>
      <c r="B344" s="75" t="s">
        <v>65</v>
      </c>
      <c r="C344" s="99" t="n">
        <f aca="false">C343</f>
        <v>5</v>
      </c>
      <c r="D344" s="76" t="n">
        <f aca="false">'VALORES BASE'!B48</f>
        <v>159.9</v>
      </c>
      <c r="E344" s="77" t="n">
        <f aca="false">C344*D344</f>
        <v>799.5</v>
      </c>
      <c r="I344" s="127"/>
      <c r="J344" s="127"/>
    </row>
    <row r="345" customFormat="false" ht="11.25" hidden="false" customHeight="true" outlineLevel="0" collapsed="false">
      <c r="A345" s="74" t="s">
        <v>162</v>
      </c>
      <c r="B345" s="75" t="s">
        <v>27</v>
      </c>
      <c r="C345" s="75"/>
      <c r="D345" s="75"/>
      <c r="E345" s="77" t="n">
        <f aca="false">E344+E343/12</f>
        <v>804.013888888889</v>
      </c>
      <c r="I345" s="127"/>
      <c r="J345" s="127"/>
    </row>
    <row r="346" customFormat="false" ht="11.25" hidden="false" customHeight="true" outlineLevel="0" collapsed="false">
      <c r="F346" s="122" t="n">
        <f aca="false">E345</f>
        <v>804.013888888889</v>
      </c>
      <c r="I346" s="127"/>
      <c r="J346" s="127"/>
    </row>
    <row r="347" customFormat="false" ht="11.25" hidden="false" customHeight="true" outlineLevel="0" collapsed="false">
      <c r="A347" s="155" t="s">
        <v>165</v>
      </c>
      <c r="I347" s="127"/>
      <c r="J347" s="127"/>
    </row>
    <row r="348" customFormat="false" ht="11.25" hidden="false" customHeight="true" outlineLevel="0" collapsed="false">
      <c r="I348" s="127"/>
      <c r="J348" s="127"/>
    </row>
    <row r="349" customFormat="false" ht="11.25" hidden="false" customHeight="true" outlineLevel="0" collapsed="false">
      <c r="A349" s="156" t="s">
        <v>166</v>
      </c>
      <c r="I349" s="127"/>
      <c r="J349" s="127"/>
    </row>
    <row r="350" customFormat="false" ht="11.25" hidden="false" customHeight="true" outlineLevel="0" collapsed="false">
      <c r="A350" s="70" t="s">
        <v>16</v>
      </c>
      <c r="B350" s="71" t="s">
        <v>17</v>
      </c>
      <c r="C350" s="71" t="s">
        <v>9</v>
      </c>
      <c r="D350" s="72" t="s">
        <v>18</v>
      </c>
      <c r="E350" s="72" t="s">
        <v>19</v>
      </c>
      <c r="F350" s="73" t="s">
        <v>20</v>
      </c>
      <c r="I350" s="127"/>
      <c r="J350" s="127"/>
    </row>
    <row r="351" customFormat="false" ht="11.25" hidden="false" customHeight="true" outlineLevel="0" collapsed="false">
      <c r="A351" s="74" t="s">
        <v>167</v>
      </c>
      <c r="B351" s="75" t="s">
        <v>65</v>
      </c>
      <c r="C351" s="75" t="n">
        <v>1</v>
      </c>
      <c r="D351" s="76" t="n">
        <f aca="false">'VALORES BASE'!B4</f>
        <v>110623</v>
      </c>
      <c r="E351" s="77" t="n">
        <f aca="false">C351*D351</f>
        <v>110623</v>
      </c>
      <c r="I351" s="127"/>
      <c r="J351" s="127"/>
    </row>
    <row r="352" customFormat="false" ht="11.25" hidden="false" customHeight="true" outlineLevel="0" collapsed="false">
      <c r="A352" s="78" t="s">
        <v>168</v>
      </c>
      <c r="B352" s="79" t="s">
        <v>104</v>
      </c>
      <c r="C352" s="92" t="n">
        <v>10</v>
      </c>
      <c r="D352" s="81"/>
      <c r="E352" s="81"/>
      <c r="I352" s="127"/>
      <c r="J352" s="127"/>
    </row>
    <row r="353" customFormat="false" ht="11.25" hidden="false" customHeight="true" outlineLevel="0" collapsed="false">
      <c r="A353" s="78" t="s">
        <v>105</v>
      </c>
      <c r="B353" s="79" t="s">
        <v>104</v>
      </c>
      <c r="C353" s="92" t="n">
        <v>0</v>
      </c>
      <c r="D353" s="81"/>
      <c r="E353" s="81"/>
      <c r="F353" s="126"/>
      <c r="I353" s="127"/>
      <c r="J353" s="127"/>
    </row>
    <row r="354" customFormat="false" ht="11.25" hidden="false" customHeight="true" outlineLevel="0" collapsed="false">
      <c r="A354" s="78" t="s">
        <v>169</v>
      </c>
      <c r="B354" s="79" t="s">
        <v>5</v>
      </c>
      <c r="C354" s="86" t="n">
        <f aca="false">IFERROR(VLOOKUP(C352,'5. Depreciação'!A3:B17,2,0),0)</f>
        <v>65.18</v>
      </c>
      <c r="D354" s="81" t="n">
        <f aca="false">E351</f>
        <v>110623</v>
      </c>
      <c r="E354" s="81" t="n">
        <f aca="false">C354*D354/100</f>
        <v>72104.0714</v>
      </c>
      <c r="I354" s="127"/>
      <c r="J354" s="127"/>
    </row>
    <row r="355" customFormat="false" ht="11.25" hidden="false" customHeight="true" outlineLevel="0" collapsed="false">
      <c r="A355" s="128" t="s">
        <v>107</v>
      </c>
      <c r="B355" s="129" t="s">
        <v>22</v>
      </c>
      <c r="C355" s="129" t="n">
        <f aca="false">C352*12</f>
        <v>120</v>
      </c>
      <c r="D355" s="130" t="n">
        <f aca="false">IF(C353&lt;=C352,E354,0)</f>
        <v>72104.0714</v>
      </c>
      <c r="E355" s="130" t="n">
        <f aca="false">IFERROR(D355/C355,0)</f>
        <v>600.867261666667</v>
      </c>
      <c r="I355" s="127"/>
      <c r="J355" s="127"/>
    </row>
    <row r="356" customFormat="false" ht="11.25" hidden="false" customHeight="true" outlineLevel="0" collapsed="false">
      <c r="A356" s="128" t="s">
        <v>170</v>
      </c>
      <c r="B356" s="129" t="s">
        <v>22</v>
      </c>
      <c r="C356" s="129" t="n">
        <v>1</v>
      </c>
      <c r="D356" s="130"/>
      <c r="E356" s="130" t="n">
        <f aca="false">0.1*E355</f>
        <v>60.0867261666667</v>
      </c>
      <c r="I356" s="127"/>
      <c r="J356" s="127"/>
    </row>
    <row r="357" customFormat="false" ht="11.25" hidden="false" customHeight="true" outlineLevel="0" collapsed="false">
      <c r="A357" s="82" t="s">
        <v>113</v>
      </c>
      <c r="B357" s="83"/>
      <c r="C357" s="83"/>
      <c r="D357" s="84"/>
      <c r="E357" s="85" t="n">
        <f aca="false">E355+E356</f>
        <v>660.953987833333</v>
      </c>
      <c r="I357" s="127"/>
      <c r="J357" s="127"/>
    </row>
    <row r="358" customFormat="false" ht="11.25" hidden="false" customHeight="true" outlineLevel="0" collapsed="false">
      <c r="A358" s="95" t="s">
        <v>114</v>
      </c>
      <c r="B358" s="133" t="s">
        <v>65</v>
      </c>
      <c r="C358" s="87" t="n">
        <f aca="false">E41</f>
        <v>1</v>
      </c>
      <c r="D358" s="96" t="n">
        <f aca="false">E357</f>
        <v>660.953987833333</v>
      </c>
      <c r="E358" s="85" t="n">
        <f aca="false">C358*D358</f>
        <v>660.953987833333</v>
      </c>
      <c r="I358" s="127"/>
      <c r="J358" s="127"/>
    </row>
    <row r="359" customFormat="false" ht="11.25" hidden="false" customHeight="true" outlineLevel="0" collapsed="false">
      <c r="A359" s="135"/>
      <c r="B359" s="135"/>
      <c r="C359" s="135"/>
      <c r="D359" s="88" t="s">
        <v>34</v>
      </c>
      <c r="E359" s="89" t="n">
        <f aca="false">'FATOR FU_OFICIAL'!F9</f>
        <v>1</v>
      </c>
      <c r="F359" s="122" t="n">
        <f aca="false">E358*E359</f>
        <v>660.953987833333</v>
      </c>
      <c r="I359" s="127"/>
      <c r="J359" s="127"/>
    </row>
    <row r="360" customFormat="false" ht="11.25" hidden="false" customHeight="true" outlineLevel="0" collapsed="false">
      <c r="I360" s="127"/>
      <c r="J360" s="127"/>
    </row>
    <row r="361" customFormat="false" ht="11.25" hidden="false" customHeight="true" outlineLevel="0" collapsed="false">
      <c r="A361" s="125" t="s">
        <v>171</v>
      </c>
      <c r="I361" s="127"/>
      <c r="J361" s="127"/>
    </row>
    <row r="362" customFormat="false" ht="11.25" hidden="false" customHeight="true" outlineLevel="0" collapsed="false">
      <c r="A362" s="136" t="s">
        <v>16</v>
      </c>
      <c r="B362" s="137" t="s">
        <v>17</v>
      </c>
      <c r="C362" s="137" t="s">
        <v>9</v>
      </c>
      <c r="D362" s="72" t="s">
        <v>18</v>
      </c>
      <c r="E362" s="138" t="s">
        <v>19</v>
      </c>
      <c r="F362" s="73" t="s">
        <v>20</v>
      </c>
      <c r="I362" s="127"/>
      <c r="J362" s="127"/>
    </row>
    <row r="363" customFormat="false" ht="11.25" hidden="false" customHeight="true" outlineLevel="0" collapsed="false">
      <c r="A363" s="78" t="s">
        <v>116</v>
      </c>
      <c r="B363" s="79" t="s">
        <v>65</v>
      </c>
      <c r="C363" s="75" t="n">
        <f aca="false">C351</f>
        <v>1</v>
      </c>
      <c r="D363" s="81" t="n">
        <f aca="false">D351</f>
        <v>110623</v>
      </c>
      <c r="E363" s="81" t="n">
        <f aca="false">C363*D363</f>
        <v>110623</v>
      </c>
      <c r="F363" s="126"/>
      <c r="I363" s="127"/>
      <c r="J363" s="127"/>
    </row>
    <row r="364" customFormat="false" ht="11.25" hidden="false" customHeight="true" outlineLevel="0" collapsed="false">
      <c r="A364" s="78" t="s">
        <v>117</v>
      </c>
      <c r="B364" s="79" t="s">
        <v>5</v>
      </c>
      <c r="C364" s="92" t="n">
        <f aca="false">'VALORES BASE'!B32</f>
        <v>14.5</v>
      </c>
      <c r="D364" s="81"/>
      <c r="E364" s="81"/>
      <c r="F364" s="126"/>
      <c r="I364" s="127"/>
      <c r="J364" s="127"/>
    </row>
    <row r="365" customFormat="false" ht="11.25" hidden="false" customHeight="true" outlineLevel="0" collapsed="false">
      <c r="A365" s="78" t="s">
        <v>118</v>
      </c>
      <c r="B365" s="79" t="s">
        <v>27</v>
      </c>
      <c r="C365" s="139" t="n">
        <f aca="false">IFERROR(IF(C353&lt;=C352,E351-(C354/(100*C352)*C353)*E351,E351-E354),0)</f>
        <v>110623</v>
      </c>
      <c r="D365" s="81"/>
      <c r="E365" s="81"/>
      <c r="F365" s="126"/>
      <c r="I365" s="127"/>
      <c r="J365" s="127"/>
    </row>
    <row r="366" customFormat="false" ht="11.25" hidden="false" customHeight="true" outlineLevel="0" collapsed="false">
      <c r="A366" s="78" t="s">
        <v>172</v>
      </c>
      <c r="B366" s="79" t="s">
        <v>27</v>
      </c>
      <c r="C366" s="81" t="n">
        <f aca="false">IFERROR(IF(C353&gt;=C352,C365,((((C365)-(E351-E354))*(((C352-C353)+1)/(2*(C352-C353))))+(E351-E354))),0)</f>
        <v>78176.16787</v>
      </c>
      <c r="D366" s="81"/>
      <c r="E366" s="81"/>
      <c r="F366" s="126"/>
      <c r="I366" s="127"/>
      <c r="J366" s="127"/>
    </row>
    <row r="367" customFormat="false" ht="11.25" hidden="false" customHeight="true" outlineLevel="0" collapsed="false">
      <c r="A367" s="128" t="s">
        <v>120</v>
      </c>
      <c r="B367" s="129" t="s">
        <v>27</v>
      </c>
      <c r="C367" s="129"/>
      <c r="D367" s="130" t="n">
        <f aca="false">C364*C366/12/100</f>
        <v>944.628695095833</v>
      </c>
      <c r="E367" s="130" t="n">
        <f aca="false">D367</f>
        <v>944.628695095833</v>
      </c>
      <c r="F367" s="126"/>
      <c r="I367" s="127"/>
      <c r="J367" s="127"/>
    </row>
    <row r="368" customFormat="false" ht="11.25" hidden="false" customHeight="true" outlineLevel="0" collapsed="false">
      <c r="A368" s="128" t="s">
        <v>170</v>
      </c>
      <c r="B368" s="129" t="s">
        <v>22</v>
      </c>
      <c r="C368" s="129" t="n">
        <v>1</v>
      </c>
      <c r="D368" s="130"/>
      <c r="E368" s="130" t="n">
        <f aca="false">0.1*E367</f>
        <v>94.4628695095833</v>
      </c>
      <c r="F368" s="126"/>
      <c r="I368" s="127"/>
      <c r="J368" s="127"/>
    </row>
    <row r="369" customFormat="false" ht="11.25" hidden="false" customHeight="true" outlineLevel="0" collapsed="false">
      <c r="A369" s="82" t="s">
        <v>113</v>
      </c>
      <c r="B369" s="83"/>
      <c r="C369" s="83"/>
      <c r="D369" s="84"/>
      <c r="E369" s="85" t="n">
        <f aca="false">E367+E368</f>
        <v>1039.09156460542</v>
      </c>
      <c r="F369" s="126"/>
      <c r="I369" s="127"/>
      <c r="J369" s="127"/>
    </row>
    <row r="370" customFormat="false" ht="11.25" hidden="false" customHeight="true" outlineLevel="0" collapsed="false">
      <c r="A370" s="95" t="s">
        <v>114</v>
      </c>
      <c r="B370" s="133" t="s">
        <v>65</v>
      </c>
      <c r="C370" s="79" t="n">
        <f aca="false">C358</f>
        <v>1</v>
      </c>
      <c r="D370" s="96" t="n">
        <f aca="false">E369</f>
        <v>1039.09156460542</v>
      </c>
      <c r="E370" s="85" t="n">
        <f aca="false">C370*D370</f>
        <v>1039.09156460542</v>
      </c>
      <c r="F370" s="126"/>
      <c r="I370" s="127"/>
      <c r="J370" s="127"/>
    </row>
    <row r="371" customFormat="false" ht="11.25" hidden="false" customHeight="true" outlineLevel="0" collapsed="false">
      <c r="C371" s="140"/>
      <c r="D371" s="88" t="s">
        <v>34</v>
      </c>
      <c r="E371" s="89" t="n">
        <f aca="false">'FATOR FU_OFICIAL'!F9</f>
        <v>1</v>
      </c>
      <c r="F371" s="122" t="n">
        <f aca="false">E370*E371</f>
        <v>1039.09156460542</v>
      </c>
      <c r="I371" s="127"/>
      <c r="J371" s="127"/>
    </row>
    <row r="372" customFormat="false" ht="11.25" hidden="false" customHeight="true" outlineLevel="0" collapsed="false">
      <c r="I372" s="127"/>
      <c r="J372" s="127"/>
    </row>
    <row r="373" customFormat="false" ht="11.25" hidden="false" customHeight="true" outlineLevel="0" collapsed="false">
      <c r="A373" s="69" t="s">
        <v>173</v>
      </c>
      <c r="I373" s="127"/>
      <c r="J373" s="127"/>
    </row>
    <row r="374" customFormat="false" ht="11.25" hidden="false" customHeight="true" outlineLevel="0" collapsed="false">
      <c r="A374" s="70" t="s">
        <v>16</v>
      </c>
      <c r="B374" s="71" t="s">
        <v>17</v>
      </c>
      <c r="C374" s="71" t="s">
        <v>9</v>
      </c>
      <c r="D374" s="72" t="s">
        <v>18</v>
      </c>
      <c r="E374" s="72" t="s">
        <v>19</v>
      </c>
      <c r="F374" s="73" t="s">
        <v>20</v>
      </c>
      <c r="I374" s="127"/>
      <c r="J374" s="127"/>
    </row>
    <row r="375" customFormat="false" ht="11.25" hidden="false" customHeight="true" outlineLevel="0" collapsed="false">
      <c r="A375" s="74" t="s">
        <v>126</v>
      </c>
      <c r="B375" s="75" t="s">
        <v>65</v>
      </c>
      <c r="C375" s="77" t="n">
        <f aca="false">C358</f>
        <v>1</v>
      </c>
      <c r="D375" s="76" t="n">
        <f aca="false">0.03*($E$363)</f>
        <v>3318.69</v>
      </c>
      <c r="E375" s="77" t="n">
        <f aca="false">C375*D375</f>
        <v>3318.69</v>
      </c>
      <c r="I375" s="127"/>
      <c r="J375" s="127"/>
    </row>
    <row r="376" customFormat="false" ht="11.25" hidden="false" customHeight="true" outlineLevel="0" collapsed="false">
      <c r="A376" s="78" t="s">
        <v>127</v>
      </c>
      <c r="B376" s="79" t="s">
        <v>65</v>
      </c>
      <c r="C376" s="77" t="n">
        <f aca="false">C358</f>
        <v>1</v>
      </c>
      <c r="D376" s="106" t="n">
        <f aca="false">'VALORES BASE'!B59</f>
        <v>183.142</v>
      </c>
      <c r="E376" s="81" t="n">
        <f aca="false">C376*D376</f>
        <v>183.142</v>
      </c>
      <c r="I376" s="127"/>
      <c r="J376" s="127"/>
    </row>
    <row r="377" customFormat="false" ht="11.25" hidden="false" customHeight="true" outlineLevel="0" collapsed="false">
      <c r="A377" s="78" t="s">
        <v>128</v>
      </c>
      <c r="B377" s="79" t="s">
        <v>65</v>
      </c>
      <c r="C377" s="77" t="n">
        <f aca="false">C358</f>
        <v>1</v>
      </c>
      <c r="D377" s="106" t="n">
        <v>2194</v>
      </c>
      <c r="E377" s="81" t="n">
        <f aca="false">C377*D377</f>
        <v>2194</v>
      </c>
      <c r="F377" s="84"/>
      <c r="I377" s="127"/>
      <c r="J377" s="127"/>
    </row>
    <row r="378" customFormat="false" ht="11.25" hidden="false" customHeight="true" outlineLevel="0" collapsed="false">
      <c r="A378" s="95" t="s">
        <v>129</v>
      </c>
      <c r="B378" s="133" t="s">
        <v>22</v>
      </c>
      <c r="C378" s="133" t="n">
        <v>12</v>
      </c>
      <c r="D378" s="96" t="n">
        <f aca="false">SUM(E375:E377)</f>
        <v>5695.832</v>
      </c>
      <c r="E378" s="96" t="n">
        <f aca="false">D378/C378</f>
        <v>474.652666666667</v>
      </c>
      <c r="I378" s="127"/>
      <c r="J378" s="127"/>
    </row>
    <row r="379" customFormat="false" ht="11.25" hidden="false" customHeight="true" outlineLevel="0" collapsed="false">
      <c r="D379" s="88" t="s">
        <v>34</v>
      </c>
      <c r="E379" s="89" t="n">
        <f aca="false">'FATOR FU_OFICIAL'!F9</f>
        <v>1</v>
      </c>
      <c r="F379" s="90" t="n">
        <f aca="false">E378*E379</f>
        <v>474.652666666667</v>
      </c>
      <c r="I379" s="127"/>
      <c r="J379" s="127"/>
    </row>
    <row r="380" customFormat="false" ht="11.25" hidden="false" customHeight="true" outlineLevel="0" collapsed="false">
      <c r="I380" s="127"/>
      <c r="J380" s="127"/>
    </row>
    <row r="381" customFormat="false" ht="11.25" hidden="false" customHeight="true" outlineLevel="0" collapsed="false">
      <c r="A381" s="1" t="s">
        <v>174</v>
      </c>
      <c r="B381" s="141"/>
      <c r="I381" s="127"/>
      <c r="J381" s="127"/>
    </row>
    <row r="382" customFormat="false" ht="11.25" hidden="false" customHeight="true" outlineLevel="0" collapsed="false">
      <c r="B382" s="141"/>
      <c r="I382" s="127"/>
      <c r="J382" s="127"/>
    </row>
    <row r="383" customFormat="false" ht="11.25" hidden="false" customHeight="true" outlineLevel="0" collapsed="false">
      <c r="A383" s="95" t="s">
        <v>131</v>
      </c>
      <c r="B383" s="142" t="n">
        <f aca="false">0.2*B304</f>
        <v>753.36</v>
      </c>
      <c r="I383" s="127"/>
      <c r="J383" s="127"/>
    </row>
    <row r="384" customFormat="false" ht="11.25" hidden="false" customHeight="true" outlineLevel="0" collapsed="false">
      <c r="B384" s="141"/>
      <c r="I384" s="127"/>
      <c r="J384" s="127"/>
    </row>
    <row r="385" customFormat="false" ht="11.25" hidden="false" customHeight="true" outlineLevel="0" collapsed="false">
      <c r="A385" s="70" t="s">
        <v>16</v>
      </c>
      <c r="B385" s="71" t="s">
        <v>17</v>
      </c>
      <c r="C385" s="71" t="s">
        <v>132</v>
      </c>
      <c r="D385" s="72" t="s">
        <v>18</v>
      </c>
      <c r="E385" s="72" t="s">
        <v>19</v>
      </c>
      <c r="F385" s="73" t="s">
        <v>20</v>
      </c>
      <c r="I385" s="127"/>
      <c r="J385" s="127"/>
    </row>
    <row r="386" customFormat="false" ht="11.25" hidden="false" customHeight="true" outlineLevel="0" collapsed="false">
      <c r="A386" s="74" t="s">
        <v>175</v>
      </c>
      <c r="B386" s="75" t="s">
        <v>134</v>
      </c>
      <c r="C386" s="143" t="n">
        <v>10</v>
      </c>
      <c r="D386" s="144" t="n">
        <f aca="false">'VALORES BASE'!B37</f>
        <v>6.44</v>
      </c>
      <c r="E386" s="77"/>
      <c r="I386" s="127"/>
      <c r="J386" s="127"/>
    </row>
    <row r="387" customFormat="false" ht="11.25" hidden="false" customHeight="true" outlineLevel="0" collapsed="false">
      <c r="A387" s="78" t="s">
        <v>176</v>
      </c>
      <c r="B387" s="79" t="s">
        <v>136</v>
      </c>
      <c r="C387" s="101" t="n">
        <f aca="false">B383</f>
        <v>753.36</v>
      </c>
      <c r="D387" s="145" t="n">
        <f aca="false">IFERROR(+D386/C386,"-")</f>
        <v>0.644</v>
      </c>
      <c r="E387" s="81" t="n">
        <f aca="false">IFERROR(C387*D387,"-")</f>
        <v>485.16384</v>
      </c>
      <c r="I387" s="127"/>
      <c r="J387" s="127"/>
    </row>
    <row r="388" customFormat="false" ht="11.25" hidden="false" customHeight="true" outlineLevel="0" collapsed="false">
      <c r="A388" s="78" t="s">
        <v>137</v>
      </c>
      <c r="B388" s="79" t="s">
        <v>138</v>
      </c>
      <c r="C388" s="146" t="n">
        <v>0.5</v>
      </c>
      <c r="D388" s="106" t="n">
        <f aca="false">'VALORES BASE'!B42</f>
        <v>36.3</v>
      </c>
      <c r="E388" s="81"/>
      <c r="I388" s="127"/>
      <c r="J388" s="127"/>
    </row>
    <row r="389" customFormat="false" ht="11.25" hidden="false" customHeight="true" outlineLevel="0" collapsed="false">
      <c r="A389" s="78" t="s">
        <v>139</v>
      </c>
      <c r="B389" s="79" t="s">
        <v>136</v>
      </c>
      <c r="C389" s="101" t="n">
        <f aca="false">C387</f>
        <v>753.36</v>
      </c>
      <c r="D389" s="147" t="n">
        <f aca="false">+C388*D388/1000</f>
        <v>0.01815</v>
      </c>
      <c r="E389" s="81" t="n">
        <f aca="false">C389*D389</f>
        <v>13.673484</v>
      </c>
      <c r="I389" s="127"/>
      <c r="J389" s="127"/>
    </row>
    <row r="390" customFormat="false" ht="11.25" hidden="false" customHeight="true" outlineLevel="0" collapsed="false">
      <c r="A390" s="95" t="s">
        <v>149</v>
      </c>
      <c r="B390" s="133" t="s">
        <v>150</v>
      </c>
      <c r="C390" s="149"/>
      <c r="D390" s="150" t="n">
        <f aca="false">IFERROR(D387+D389,0)</f>
        <v>0.66215</v>
      </c>
      <c r="E390" s="81"/>
      <c r="I390" s="127"/>
      <c r="J390" s="127"/>
    </row>
    <row r="391" customFormat="false" ht="11.25" hidden="false" customHeight="true" outlineLevel="0" collapsed="false">
      <c r="F391" s="122" t="n">
        <f aca="false">SUM(E386:E389)</f>
        <v>498.837324</v>
      </c>
      <c r="I391" s="127"/>
      <c r="J391" s="127"/>
    </row>
    <row r="392" customFormat="false" ht="11.25" hidden="false" customHeight="true" outlineLevel="0" collapsed="false">
      <c r="I392" s="127"/>
      <c r="J392" s="127"/>
    </row>
    <row r="393" customFormat="false" ht="11.25" hidden="false" customHeight="true" outlineLevel="0" collapsed="false">
      <c r="A393" s="69" t="s">
        <v>177</v>
      </c>
      <c r="I393" s="127"/>
      <c r="J393" s="127"/>
    </row>
    <row r="394" customFormat="false" ht="11.25" hidden="false" customHeight="true" outlineLevel="0" collapsed="false">
      <c r="A394" s="70" t="s">
        <v>16</v>
      </c>
      <c r="B394" s="71" t="s">
        <v>17</v>
      </c>
      <c r="C394" s="71" t="s">
        <v>9</v>
      </c>
      <c r="D394" s="72" t="s">
        <v>18</v>
      </c>
      <c r="E394" s="72" t="s">
        <v>19</v>
      </c>
      <c r="F394" s="73" t="s">
        <v>20</v>
      </c>
      <c r="I394" s="127"/>
      <c r="J394" s="127"/>
    </row>
    <row r="395" customFormat="false" ht="11.25" hidden="false" customHeight="true" outlineLevel="0" collapsed="false">
      <c r="A395" s="74" t="s">
        <v>152</v>
      </c>
      <c r="B395" s="75" t="s">
        <v>150</v>
      </c>
      <c r="C395" s="101" t="n">
        <f aca="false">C387</f>
        <v>753.36</v>
      </c>
      <c r="D395" s="118" t="n">
        <f aca="false">0.33*D323</f>
        <v>0.4356</v>
      </c>
      <c r="E395" s="77" t="n">
        <f aca="false">C395*D395</f>
        <v>328.163616</v>
      </c>
      <c r="I395" s="127"/>
      <c r="J395" s="127"/>
    </row>
    <row r="396" customFormat="false" ht="11.25" hidden="false" customHeight="true" outlineLevel="0" collapsed="false">
      <c r="D396" s="2" t="s">
        <v>178</v>
      </c>
      <c r="F396" s="122" t="n">
        <f aca="false">E395</f>
        <v>328.163616</v>
      </c>
      <c r="I396" s="127"/>
      <c r="J396" s="127"/>
    </row>
    <row r="397" customFormat="false" ht="11.25" hidden="false" customHeight="true" outlineLevel="0" collapsed="false">
      <c r="I397" s="127"/>
      <c r="J397" s="127"/>
    </row>
    <row r="398" customFormat="false" ht="11.25" hidden="false" customHeight="true" outlineLevel="0" collapsed="false">
      <c r="A398" s="69" t="s">
        <v>179</v>
      </c>
      <c r="I398" s="127"/>
      <c r="J398" s="127"/>
    </row>
    <row r="399" customFormat="false" ht="11.25" hidden="false" customHeight="true" outlineLevel="0" collapsed="false">
      <c r="A399" s="70" t="s">
        <v>16</v>
      </c>
      <c r="B399" s="71" t="s">
        <v>17</v>
      </c>
      <c r="C399" s="71" t="s">
        <v>9</v>
      </c>
      <c r="D399" s="72" t="s">
        <v>18</v>
      </c>
      <c r="E399" s="72" t="s">
        <v>19</v>
      </c>
      <c r="F399" s="73" t="s">
        <v>20</v>
      </c>
      <c r="I399" s="127"/>
      <c r="J399" s="127"/>
    </row>
    <row r="400" customFormat="false" ht="11.25" hidden="false" customHeight="true" outlineLevel="0" collapsed="false">
      <c r="A400" s="74" t="s">
        <v>180</v>
      </c>
      <c r="B400" s="75" t="s">
        <v>65</v>
      </c>
      <c r="C400" s="151" t="n">
        <f aca="false">E41*4</f>
        <v>4</v>
      </c>
      <c r="D400" s="76" t="n">
        <f aca="false">'VALORES BASE'!B50</f>
        <v>349.9</v>
      </c>
      <c r="E400" s="77" t="n">
        <f aca="false">C400*D400</f>
        <v>1399.6</v>
      </c>
      <c r="I400" s="127"/>
      <c r="J400" s="127"/>
    </row>
    <row r="401" customFormat="false" ht="11.25" hidden="false" customHeight="true" outlineLevel="0" collapsed="false">
      <c r="A401" s="74" t="s">
        <v>155</v>
      </c>
      <c r="B401" s="75" t="s">
        <v>65</v>
      </c>
      <c r="C401" s="151" t="n">
        <v>2</v>
      </c>
      <c r="D401" s="77"/>
      <c r="E401" s="77"/>
      <c r="I401" s="127"/>
      <c r="J401" s="127"/>
    </row>
    <row r="402" customFormat="false" ht="11.25" hidden="false" customHeight="true" outlineLevel="0" collapsed="false">
      <c r="A402" s="74" t="s">
        <v>156</v>
      </c>
      <c r="B402" s="75" t="s">
        <v>65</v>
      </c>
      <c r="C402" s="77" t="n">
        <f aca="false">C401*C400</f>
        <v>8</v>
      </c>
      <c r="D402" s="76" t="n">
        <f aca="false">0.35*D400</f>
        <v>122.465</v>
      </c>
      <c r="E402" s="77" t="n">
        <f aca="false">C402*D402</f>
        <v>979.72</v>
      </c>
      <c r="I402" s="127"/>
      <c r="J402" s="127"/>
    </row>
    <row r="403" customFormat="false" ht="11.25" hidden="false" customHeight="true" outlineLevel="0" collapsed="false">
      <c r="A403" s="152" t="s">
        <v>181</v>
      </c>
      <c r="B403" s="79" t="s">
        <v>158</v>
      </c>
      <c r="C403" s="153" t="n">
        <v>40000</v>
      </c>
      <c r="D403" s="81" t="n">
        <f aca="false">E400+E402</f>
        <v>2379.32</v>
      </c>
      <c r="E403" s="81" t="n">
        <f aca="false">IFERROR(D403/C403,"-")</f>
        <v>0.059483</v>
      </c>
      <c r="I403" s="127"/>
      <c r="J403" s="127"/>
    </row>
    <row r="404" customFormat="false" ht="11.25" hidden="false" customHeight="true" outlineLevel="0" collapsed="false">
      <c r="A404" s="78" t="s">
        <v>159</v>
      </c>
      <c r="B404" s="79" t="s">
        <v>136</v>
      </c>
      <c r="C404" s="101" t="n">
        <f aca="false">B383</f>
        <v>753.36</v>
      </c>
      <c r="D404" s="81" t="n">
        <f aca="false">E403</f>
        <v>0.059483</v>
      </c>
      <c r="E404" s="81" t="n">
        <f aca="false">IFERROR(C404*D404,0)</f>
        <v>44.81211288</v>
      </c>
      <c r="I404" s="127"/>
      <c r="J404" s="127"/>
    </row>
    <row r="405" customFormat="false" ht="11.25" hidden="false" customHeight="true" outlineLevel="0" collapsed="false">
      <c r="F405" s="122" t="n">
        <f aca="false">E404</f>
        <v>44.81211288</v>
      </c>
      <c r="I405" s="127"/>
      <c r="J405" s="127"/>
    </row>
    <row r="406" customFormat="false" ht="11.25" hidden="false" customHeight="true" outlineLevel="0" collapsed="false">
      <c r="I406" s="127"/>
      <c r="J406" s="127"/>
    </row>
    <row r="407" customFormat="false" ht="11.25" hidden="false" customHeight="true" outlineLevel="0" collapsed="false">
      <c r="I407" s="127"/>
      <c r="J407" s="127"/>
    </row>
    <row r="408" customFormat="false" ht="11.25" hidden="false" customHeight="true" outlineLevel="0" collapsed="false">
      <c r="A408" s="157" t="s">
        <v>182</v>
      </c>
      <c r="I408" s="127"/>
      <c r="J408" s="127"/>
    </row>
    <row r="409" customFormat="false" ht="11.25" hidden="false" customHeight="true" outlineLevel="0" collapsed="false">
      <c r="I409" s="127"/>
      <c r="J409" s="127"/>
    </row>
    <row r="410" customFormat="false" ht="11.25" hidden="false" customHeight="true" outlineLevel="0" collapsed="false">
      <c r="A410" s="125" t="s">
        <v>183</v>
      </c>
      <c r="I410" s="127"/>
      <c r="J410" s="127"/>
    </row>
    <row r="411" customFormat="false" ht="11.25" hidden="false" customHeight="true" outlineLevel="0" collapsed="false">
      <c r="A411" s="70" t="s">
        <v>16</v>
      </c>
      <c r="B411" s="71" t="s">
        <v>17</v>
      </c>
      <c r="C411" s="71" t="s">
        <v>9</v>
      </c>
      <c r="D411" s="72" t="s">
        <v>18</v>
      </c>
      <c r="E411" s="72" t="s">
        <v>19</v>
      </c>
      <c r="F411" s="73" t="s">
        <v>20</v>
      </c>
      <c r="I411" s="127"/>
      <c r="J411" s="127"/>
    </row>
    <row r="412" customFormat="false" ht="11.25" hidden="false" customHeight="true" outlineLevel="0" collapsed="false">
      <c r="A412" s="74" t="s">
        <v>102</v>
      </c>
      <c r="B412" s="75" t="s">
        <v>65</v>
      </c>
      <c r="C412" s="75" t="n">
        <v>1</v>
      </c>
      <c r="D412" s="76" t="n">
        <f aca="false">'VALORES BASE'!B55</f>
        <v>256579</v>
      </c>
      <c r="E412" s="77" t="n">
        <f aca="false">C412*D412</f>
        <v>256579</v>
      </c>
      <c r="I412" s="127"/>
      <c r="J412" s="127"/>
    </row>
    <row r="413" customFormat="false" ht="11.25" hidden="false" customHeight="true" outlineLevel="0" collapsed="false">
      <c r="A413" s="78" t="s">
        <v>103</v>
      </c>
      <c r="B413" s="79" t="s">
        <v>104</v>
      </c>
      <c r="C413" s="92" t="n">
        <v>10</v>
      </c>
      <c r="D413" s="81"/>
      <c r="E413" s="81"/>
      <c r="I413" s="127"/>
      <c r="J413" s="127"/>
    </row>
    <row r="414" customFormat="false" ht="11.25" hidden="false" customHeight="true" outlineLevel="0" collapsed="false">
      <c r="A414" s="78" t="s">
        <v>105</v>
      </c>
      <c r="B414" s="79" t="s">
        <v>104</v>
      </c>
      <c r="C414" s="92" t="n">
        <v>0</v>
      </c>
      <c r="D414" s="81"/>
      <c r="E414" s="81"/>
      <c r="F414" s="126"/>
      <c r="I414" s="127"/>
      <c r="J414" s="127"/>
    </row>
    <row r="415" customFormat="false" ht="11.25" hidden="false" customHeight="true" outlineLevel="0" collapsed="false">
      <c r="A415" s="78" t="s">
        <v>106</v>
      </c>
      <c r="B415" s="79" t="s">
        <v>5</v>
      </c>
      <c r="C415" s="86" t="n">
        <f aca="false">IFERROR(VLOOKUP(C413,'5. Depreciação'!$A$3:$B$17,2,0),0)</f>
        <v>65.18</v>
      </c>
      <c r="D415" s="81" t="n">
        <f aca="false">E412</f>
        <v>256579</v>
      </c>
      <c r="E415" s="81" t="n">
        <f aca="false">C415*D415/100</f>
        <v>167238.1922</v>
      </c>
      <c r="I415" s="127"/>
      <c r="J415" s="127"/>
    </row>
    <row r="416" customFormat="false" ht="11.25" hidden="false" customHeight="true" outlineLevel="0" collapsed="false">
      <c r="A416" s="128" t="s">
        <v>107</v>
      </c>
      <c r="B416" s="129" t="s">
        <v>22</v>
      </c>
      <c r="C416" s="129" t="n">
        <f aca="false">C413*12</f>
        <v>120</v>
      </c>
      <c r="D416" s="130" t="n">
        <f aca="false">IF(C414&lt;=C413,E415,0)</f>
        <v>167238.1922</v>
      </c>
      <c r="E416" s="130" t="n">
        <f aca="false">IFERROR(D416/C416,0)</f>
        <v>1393.65160166667</v>
      </c>
      <c r="I416" s="127"/>
      <c r="J416" s="127"/>
    </row>
    <row r="417" customFormat="false" ht="11.25" hidden="false" customHeight="true" outlineLevel="0" collapsed="false">
      <c r="A417" s="74" t="s">
        <v>184</v>
      </c>
      <c r="B417" s="75" t="s">
        <v>65</v>
      </c>
      <c r="C417" s="75" t="n">
        <f aca="false">C412</f>
        <v>1</v>
      </c>
      <c r="D417" s="76" t="n">
        <f aca="false">'VALORES BASE'!B56</f>
        <v>10000</v>
      </c>
      <c r="E417" s="77" t="n">
        <f aca="false">C417*D417</f>
        <v>10000</v>
      </c>
      <c r="I417" s="127"/>
      <c r="J417" s="127"/>
    </row>
    <row r="418" customFormat="false" ht="11.25" hidden="false" customHeight="true" outlineLevel="0" collapsed="false">
      <c r="A418" s="78" t="s">
        <v>109</v>
      </c>
      <c r="B418" s="79" t="s">
        <v>104</v>
      </c>
      <c r="C418" s="92" t="n">
        <v>10</v>
      </c>
      <c r="D418" s="81"/>
      <c r="E418" s="81"/>
      <c r="I418" s="127"/>
      <c r="J418" s="127"/>
    </row>
    <row r="419" customFormat="false" ht="11.25" hidden="false" customHeight="true" outlineLevel="0" collapsed="false">
      <c r="A419" s="78" t="s">
        <v>110</v>
      </c>
      <c r="B419" s="79" t="s">
        <v>104</v>
      </c>
      <c r="C419" s="92" t="n">
        <v>0</v>
      </c>
      <c r="D419" s="81"/>
      <c r="E419" s="81"/>
      <c r="F419" s="126"/>
      <c r="I419" s="127"/>
      <c r="J419" s="127"/>
    </row>
    <row r="420" customFormat="false" ht="11.25" hidden="false" customHeight="true" outlineLevel="0" collapsed="false">
      <c r="A420" s="78" t="s">
        <v>185</v>
      </c>
      <c r="B420" s="79" t="s">
        <v>5</v>
      </c>
      <c r="C420" s="132" t="n">
        <f aca="false">IFERROR(VLOOKUP(C418,'5. Depreciação'!$A$3:$B$17,2,0),0)</f>
        <v>65.18</v>
      </c>
      <c r="D420" s="81" t="n">
        <f aca="false">E417</f>
        <v>10000</v>
      </c>
      <c r="E420" s="81" t="n">
        <f aca="false">C420*D420/100</f>
        <v>6518</v>
      </c>
      <c r="I420" s="127"/>
      <c r="J420" s="127"/>
    </row>
    <row r="421" customFormat="false" ht="11.25" hidden="false" customHeight="true" outlineLevel="0" collapsed="false">
      <c r="A421" s="95" t="s">
        <v>112</v>
      </c>
      <c r="B421" s="133" t="s">
        <v>22</v>
      </c>
      <c r="C421" s="133" t="n">
        <f aca="false">C418*12</f>
        <v>120</v>
      </c>
      <c r="D421" s="96" t="n">
        <f aca="false">IF(C419&lt;=C418,E420,0)</f>
        <v>6518</v>
      </c>
      <c r="E421" s="96" t="n">
        <f aca="false">IFERROR(D421/C421,0)</f>
        <v>54.3166666666667</v>
      </c>
      <c r="I421" s="127"/>
      <c r="J421" s="127"/>
    </row>
    <row r="422" customFormat="false" ht="11.25" hidden="false" customHeight="true" outlineLevel="0" collapsed="false">
      <c r="A422" s="128" t="s">
        <v>170</v>
      </c>
      <c r="B422" s="129" t="s">
        <v>22</v>
      </c>
      <c r="C422" s="129" t="n">
        <v>1</v>
      </c>
      <c r="D422" s="130"/>
      <c r="E422" s="130" t="n">
        <f aca="false">0.1*(E421+E416)</f>
        <v>144.796826833333</v>
      </c>
      <c r="I422" s="127"/>
      <c r="J422" s="127"/>
    </row>
    <row r="423" customFormat="false" ht="11.25" hidden="false" customHeight="true" outlineLevel="0" collapsed="false">
      <c r="A423" s="82" t="s">
        <v>113</v>
      </c>
      <c r="B423" s="83"/>
      <c r="C423" s="83"/>
      <c r="D423" s="84"/>
      <c r="E423" s="85" t="n">
        <f aca="false">E416+E421+E422</f>
        <v>1592.76509516667</v>
      </c>
      <c r="I423" s="127"/>
      <c r="J423" s="127"/>
    </row>
    <row r="424" customFormat="false" ht="11.25" hidden="false" customHeight="true" outlineLevel="0" collapsed="false">
      <c r="A424" s="95" t="s">
        <v>114</v>
      </c>
      <c r="B424" s="133" t="s">
        <v>65</v>
      </c>
      <c r="C424" s="87" t="n">
        <f aca="false">E42</f>
        <v>2</v>
      </c>
      <c r="D424" s="96" t="n">
        <f aca="false">E423</f>
        <v>1592.76509516667</v>
      </c>
      <c r="E424" s="85" t="n">
        <f aca="false">C424*D424</f>
        <v>3185.53019033333</v>
      </c>
      <c r="I424" s="127"/>
      <c r="J424" s="127"/>
    </row>
    <row r="425" customFormat="false" ht="11.25" hidden="false" customHeight="true" outlineLevel="0" collapsed="false">
      <c r="A425" s="135"/>
      <c r="B425" s="135"/>
      <c r="C425" s="135"/>
      <c r="D425" s="88" t="s">
        <v>34</v>
      </c>
      <c r="E425" s="89" t="n">
        <f aca="false">'FATOR FU_OFICIAL'!F23</f>
        <v>1</v>
      </c>
      <c r="F425" s="122" t="n">
        <f aca="false">E424*E425</f>
        <v>3185.53019033333</v>
      </c>
      <c r="I425" s="127"/>
      <c r="J425" s="127"/>
    </row>
    <row r="426" customFormat="false" ht="11.25" hidden="false" customHeight="true" outlineLevel="0" collapsed="false">
      <c r="I426" s="127"/>
      <c r="J426" s="127"/>
    </row>
    <row r="427" customFormat="false" ht="11.25" hidden="false" customHeight="true" outlineLevel="0" collapsed="false">
      <c r="A427" s="125" t="s">
        <v>186</v>
      </c>
      <c r="I427" s="127"/>
      <c r="J427" s="127"/>
    </row>
    <row r="428" customFormat="false" ht="11.25" hidden="false" customHeight="true" outlineLevel="0" collapsed="false">
      <c r="A428" s="136" t="s">
        <v>16</v>
      </c>
      <c r="B428" s="137" t="s">
        <v>17</v>
      </c>
      <c r="C428" s="137" t="s">
        <v>9</v>
      </c>
      <c r="D428" s="72" t="s">
        <v>18</v>
      </c>
      <c r="E428" s="138" t="s">
        <v>19</v>
      </c>
      <c r="F428" s="73" t="s">
        <v>20</v>
      </c>
      <c r="I428" s="127"/>
      <c r="J428" s="127"/>
    </row>
    <row r="429" customFormat="false" ht="11.25" hidden="false" customHeight="true" outlineLevel="0" collapsed="false">
      <c r="A429" s="78" t="s">
        <v>116</v>
      </c>
      <c r="B429" s="79" t="s">
        <v>65</v>
      </c>
      <c r="C429" s="75" t="n">
        <v>1</v>
      </c>
      <c r="D429" s="81" t="n">
        <f aca="false">D412</f>
        <v>256579</v>
      </c>
      <c r="E429" s="81" t="n">
        <f aca="false">C429*D429</f>
        <v>256579</v>
      </c>
      <c r="F429" s="126"/>
      <c r="I429" s="127"/>
      <c r="J429" s="127"/>
    </row>
    <row r="430" customFormat="false" ht="11.25" hidden="false" customHeight="true" outlineLevel="0" collapsed="false">
      <c r="A430" s="78" t="s">
        <v>117</v>
      </c>
      <c r="B430" s="79" t="s">
        <v>5</v>
      </c>
      <c r="C430" s="92" t="n">
        <f aca="false">'VALORES BASE'!B32</f>
        <v>14.5</v>
      </c>
      <c r="D430" s="81"/>
      <c r="E430" s="81"/>
      <c r="F430" s="126"/>
      <c r="I430" s="127"/>
      <c r="J430" s="127"/>
    </row>
    <row r="431" customFormat="false" ht="11.25" hidden="false" customHeight="true" outlineLevel="0" collapsed="false">
      <c r="A431" s="78" t="s">
        <v>118</v>
      </c>
      <c r="B431" s="79" t="s">
        <v>27</v>
      </c>
      <c r="C431" s="139" t="n">
        <f aca="false">IFERROR(IF(C414&lt;=C413,E412-(C415/(100*C413)*C414)*E412,E412-E415),0)</f>
        <v>256579</v>
      </c>
      <c r="D431" s="81"/>
      <c r="E431" s="81"/>
      <c r="F431" s="126"/>
      <c r="I431" s="127"/>
      <c r="J431" s="127"/>
    </row>
    <row r="432" customFormat="false" ht="11.25" hidden="false" customHeight="true" outlineLevel="0" collapsed="false">
      <c r="A432" s="78" t="s">
        <v>119</v>
      </c>
      <c r="B432" s="79" t="s">
        <v>27</v>
      </c>
      <c r="C432" s="81" t="n">
        <f aca="false">IFERROR(IF(C414&gt;=C413,C431,((((C431)-(E412-E415))*(((C413-C414)+1)/(2*(C413-C414))))+(E412-E415))),0)</f>
        <v>181321.81351</v>
      </c>
      <c r="D432" s="81"/>
      <c r="E432" s="81"/>
      <c r="F432" s="126"/>
      <c r="I432" s="127"/>
      <c r="J432" s="127"/>
    </row>
    <row r="433" customFormat="false" ht="11.25" hidden="false" customHeight="true" outlineLevel="0" collapsed="false">
      <c r="A433" s="128" t="s">
        <v>120</v>
      </c>
      <c r="B433" s="129" t="s">
        <v>27</v>
      </c>
      <c r="C433" s="129"/>
      <c r="D433" s="130" t="n">
        <f aca="false">C430*C432/12/100</f>
        <v>2190.97191324583</v>
      </c>
      <c r="E433" s="130" t="n">
        <f aca="false">D433</f>
        <v>2190.97191324583</v>
      </c>
      <c r="F433" s="126"/>
      <c r="I433" s="127"/>
      <c r="J433" s="127"/>
    </row>
    <row r="434" customFormat="false" ht="11.25" hidden="false" customHeight="true" outlineLevel="0" collapsed="false">
      <c r="A434" s="74" t="str">
        <f aca="false">A417</f>
        <v>Custo de aquisição do baú</v>
      </c>
      <c r="B434" s="75" t="s">
        <v>65</v>
      </c>
      <c r="C434" s="75" t="n">
        <f aca="false">C417</f>
        <v>1</v>
      </c>
      <c r="D434" s="77" t="n">
        <f aca="false">D417</f>
        <v>10000</v>
      </c>
      <c r="E434" s="77" t="n">
        <f aca="false">C434*D434</f>
        <v>10000</v>
      </c>
      <c r="F434" s="126"/>
      <c r="I434" s="127"/>
      <c r="J434" s="127"/>
    </row>
    <row r="435" customFormat="false" ht="11.25" hidden="false" customHeight="true" outlineLevel="0" collapsed="false">
      <c r="A435" s="78" t="s">
        <v>117</v>
      </c>
      <c r="B435" s="79" t="s">
        <v>5</v>
      </c>
      <c r="C435" s="79" t="n">
        <f aca="false">C430</f>
        <v>14.5</v>
      </c>
      <c r="D435" s="81"/>
      <c r="E435" s="81"/>
      <c r="F435" s="126"/>
      <c r="I435" s="127"/>
      <c r="J435" s="127"/>
    </row>
    <row r="436" customFormat="false" ht="11.25" hidden="false" customHeight="true" outlineLevel="0" collapsed="false">
      <c r="A436" s="78" t="s">
        <v>122</v>
      </c>
      <c r="B436" s="79" t="s">
        <v>27</v>
      </c>
      <c r="C436" s="139" t="n">
        <f aca="false">IFERROR(IF(C419&lt;=C418,E417-(C420/(100*C418)*C419)*E417,E417-E420),0)</f>
        <v>10000</v>
      </c>
      <c r="D436" s="81"/>
      <c r="E436" s="81"/>
      <c r="F436" s="126"/>
      <c r="I436" s="127"/>
      <c r="J436" s="127"/>
    </row>
    <row r="437" customFormat="false" ht="11.25" hidden="false" customHeight="true" outlineLevel="0" collapsed="false">
      <c r="A437" s="78" t="s">
        <v>123</v>
      </c>
      <c r="B437" s="79" t="s">
        <v>27</v>
      </c>
      <c r="C437" s="81" t="n">
        <f aca="false">IFERROR(IF(C419&gt;=C418,C436,((((C436)-(E417-E420))*(((C418-C419)+1)/(2*(C418-C419))))+(E417-E420))),0)</f>
        <v>7066.9</v>
      </c>
      <c r="D437" s="81"/>
      <c r="E437" s="81"/>
      <c r="F437" s="126"/>
      <c r="I437" s="127"/>
      <c r="J437" s="127"/>
    </row>
    <row r="438" customFormat="false" ht="11.25" hidden="false" customHeight="true" outlineLevel="0" collapsed="false">
      <c r="A438" s="95" t="s">
        <v>187</v>
      </c>
      <c r="B438" s="133" t="s">
        <v>27</v>
      </c>
      <c r="C438" s="133"/>
      <c r="D438" s="96" t="n">
        <f aca="false">C435*C437/12/100</f>
        <v>85.3917083333333</v>
      </c>
      <c r="E438" s="96" t="n">
        <f aca="false">D438</f>
        <v>85.3917083333333</v>
      </c>
      <c r="F438" s="126"/>
      <c r="I438" s="127"/>
      <c r="J438" s="127"/>
    </row>
    <row r="439" customFormat="false" ht="11.25" hidden="false" customHeight="true" outlineLevel="0" collapsed="false">
      <c r="A439" s="128" t="s">
        <v>170</v>
      </c>
      <c r="B439" s="129" t="s">
        <v>22</v>
      </c>
      <c r="C439" s="129" t="n">
        <v>1</v>
      </c>
      <c r="D439" s="130"/>
      <c r="E439" s="130" t="n">
        <f aca="false">0.1*(E438+E433)</f>
        <v>227.636362157917</v>
      </c>
      <c r="F439" s="126"/>
      <c r="I439" s="127"/>
      <c r="J439" s="127"/>
    </row>
    <row r="440" customFormat="false" ht="11.25" hidden="false" customHeight="true" outlineLevel="0" collapsed="false">
      <c r="A440" s="82" t="s">
        <v>113</v>
      </c>
      <c r="B440" s="83"/>
      <c r="C440" s="83"/>
      <c r="D440" s="84"/>
      <c r="E440" s="85" t="n">
        <f aca="false">E433+E438+E439</f>
        <v>2503.99998373708</v>
      </c>
      <c r="F440" s="126"/>
      <c r="I440" s="127"/>
      <c r="J440" s="127"/>
    </row>
    <row r="441" customFormat="false" ht="11.25" hidden="false" customHeight="true" outlineLevel="0" collapsed="false">
      <c r="A441" s="95" t="s">
        <v>114</v>
      </c>
      <c r="B441" s="133" t="s">
        <v>65</v>
      </c>
      <c r="C441" s="79" t="n">
        <f aca="false">C424</f>
        <v>2</v>
      </c>
      <c r="D441" s="96" t="n">
        <f aca="false">E440</f>
        <v>2503.99998373708</v>
      </c>
      <c r="E441" s="85" t="n">
        <f aca="false">C441*D441</f>
        <v>5007.99996747417</v>
      </c>
      <c r="F441" s="126"/>
      <c r="I441" s="127"/>
      <c r="J441" s="127"/>
    </row>
    <row r="442" customFormat="false" ht="11.25" hidden="false" customHeight="true" outlineLevel="0" collapsed="false">
      <c r="C442" s="140"/>
      <c r="D442" s="88" t="s">
        <v>34</v>
      </c>
      <c r="E442" s="89" t="n">
        <f aca="false">E425</f>
        <v>1</v>
      </c>
      <c r="F442" s="122" t="n">
        <f aca="false">E441*E442</f>
        <v>5007.99996747417</v>
      </c>
      <c r="I442" s="127"/>
      <c r="J442" s="127"/>
    </row>
    <row r="443" customFormat="false" ht="11.25" hidden="false" customHeight="true" outlineLevel="0" collapsed="false">
      <c r="I443" s="127"/>
      <c r="J443" s="127"/>
    </row>
    <row r="444" customFormat="false" ht="11.25" hidden="false" customHeight="true" outlineLevel="0" collapsed="false">
      <c r="A444" s="69" t="s">
        <v>188</v>
      </c>
      <c r="I444" s="127"/>
      <c r="J444" s="127"/>
    </row>
    <row r="445" customFormat="false" ht="11.25" hidden="false" customHeight="true" outlineLevel="0" collapsed="false">
      <c r="A445" s="70" t="s">
        <v>16</v>
      </c>
      <c r="B445" s="71" t="s">
        <v>17</v>
      </c>
      <c r="C445" s="71" t="s">
        <v>9</v>
      </c>
      <c r="D445" s="72" t="s">
        <v>18</v>
      </c>
      <c r="E445" s="72" t="s">
        <v>19</v>
      </c>
      <c r="F445" s="73" t="s">
        <v>20</v>
      </c>
      <c r="I445" s="127"/>
      <c r="J445" s="127"/>
    </row>
    <row r="446" customFormat="false" ht="11.25" hidden="false" customHeight="true" outlineLevel="0" collapsed="false">
      <c r="A446" s="74" t="s">
        <v>126</v>
      </c>
      <c r="B446" s="75" t="s">
        <v>65</v>
      </c>
      <c r="C446" s="77" t="n">
        <f aca="false">C424</f>
        <v>2</v>
      </c>
      <c r="D446" s="77" t="n">
        <f aca="false">0.03*D412</f>
        <v>7697.37</v>
      </c>
      <c r="E446" s="77" t="n">
        <f aca="false">C446*D446</f>
        <v>15394.74</v>
      </c>
      <c r="I446" s="127"/>
      <c r="J446" s="127"/>
    </row>
    <row r="447" customFormat="false" ht="11.25" hidden="false" customHeight="true" outlineLevel="0" collapsed="false">
      <c r="A447" s="78" t="s">
        <v>127</v>
      </c>
      <c r="B447" s="79" t="s">
        <v>65</v>
      </c>
      <c r="C447" s="77" t="n">
        <f aca="false">C424</f>
        <v>2</v>
      </c>
      <c r="D447" s="106" t="n">
        <f aca="false">'VALORES BASE'!B59</f>
        <v>183.142</v>
      </c>
      <c r="E447" s="81" t="n">
        <f aca="false">C447*D447</f>
        <v>366.284</v>
      </c>
      <c r="I447" s="127"/>
      <c r="J447" s="127"/>
    </row>
    <row r="448" customFormat="false" ht="11.25" hidden="false" customHeight="true" outlineLevel="0" collapsed="false">
      <c r="A448" s="78" t="s">
        <v>128</v>
      </c>
      <c r="B448" s="79" t="s">
        <v>65</v>
      </c>
      <c r="C448" s="77" t="n">
        <f aca="false">C424</f>
        <v>2</v>
      </c>
      <c r="D448" s="106" t="n">
        <f aca="false">'VALORES BASE'!B41</f>
        <v>3500</v>
      </c>
      <c r="E448" s="81" t="n">
        <f aca="false">C448*D448</f>
        <v>7000</v>
      </c>
      <c r="F448" s="84"/>
      <c r="I448" s="127"/>
      <c r="J448" s="127"/>
    </row>
    <row r="449" customFormat="false" ht="11.25" hidden="false" customHeight="true" outlineLevel="0" collapsed="false">
      <c r="A449" s="95" t="s">
        <v>129</v>
      </c>
      <c r="B449" s="133" t="s">
        <v>22</v>
      </c>
      <c r="C449" s="133" t="n">
        <v>12</v>
      </c>
      <c r="D449" s="96" t="n">
        <f aca="false">SUM(E446:E448)</f>
        <v>22761.024</v>
      </c>
      <c r="E449" s="96" t="n">
        <f aca="false">D449/C449</f>
        <v>1896.752</v>
      </c>
      <c r="I449" s="127"/>
      <c r="J449" s="127"/>
    </row>
    <row r="450" customFormat="false" ht="11.25" hidden="false" customHeight="true" outlineLevel="0" collapsed="false">
      <c r="D450" s="88" t="s">
        <v>34</v>
      </c>
      <c r="E450" s="89" t="n">
        <f aca="false">E442</f>
        <v>1</v>
      </c>
      <c r="F450" s="90" t="n">
        <f aca="false">E449*E450</f>
        <v>1896.752</v>
      </c>
      <c r="I450" s="127"/>
      <c r="J450" s="127"/>
    </row>
    <row r="451" customFormat="false" ht="11.25" hidden="false" customHeight="true" outlineLevel="0" collapsed="false">
      <c r="I451" s="127"/>
      <c r="J451" s="127"/>
    </row>
    <row r="452" customFormat="false" ht="11.25" hidden="false" customHeight="true" outlineLevel="0" collapsed="false">
      <c r="A452" s="69" t="s">
        <v>189</v>
      </c>
      <c r="B452" s="141"/>
      <c r="I452" s="127"/>
      <c r="J452" s="127"/>
    </row>
    <row r="453" customFormat="false" ht="11.25" hidden="false" customHeight="true" outlineLevel="0" collapsed="false">
      <c r="B453" s="141"/>
      <c r="I453" s="127"/>
      <c r="J453" s="127"/>
    </row>
    <row r="454" customFormat="false" ht="11.25" hidden="false" customHeight="true" outlineLevel="0" collapsed="false">
      <c r="A454" s="95" t="s">
        <v>131</v>
      </c>
      <c r="B454" s="142" t="n">
        <f aca="false">'COLETAS BECOS'!E10+'COLETAS BECOS'!F10+'Roteiros Coleta_RURAL'!E6</f>
        <v>1331.58166666667</v>
      </c>
      <c r="C454" s="1" t="s">
        <v>190</v>
      </c>
      <c r="I454" s="127"/>
      <c r="J454" s="127"/>
    </row>
    <row r="455" customFormat="false" ht="11.25" hidden="false" customHeight="true" outlineLevel="0" collapsed="false">
      <c r="B455" s="141"/>
      <c r="I455" s="127"/>
      <c r="J455" s="127"/>
    </row>
    <row r="456" customFormat="false" ht="11.25" hidden="false" customHeight="true" outlineLevel="0" collapsed="false">
      <c r="A456" s="70" t="s">
        <v>16</v>
      </c>
      <c r="B456" s="71" t="s">
        <v>17</v>
      </c>
      <c r="C456" s="71" t="s">
        <v>132</v>
      </c>
      <c r="D456" s="72" t="s">
        <v>18</v>
      </c>
      <c r="E456" s="72" t="s">
        <v>19</v>
      </c>
      <c r="F456" s="73" t="s">
        <v>20</v>
      </c>
      <c r="I456" s="127"/>
      <c r="J456" s="127"/>
    </row>
    <row r="457" customFormat="false" ht="11.25" hidden="false" customHeight="true" outlineLevel="0" collapsed="false">
      <c r="A457" s="74" t="s">
        <v>133</v>
      </c>
      <c r="B457" s="75" t="s">
        <v>134</v>
      </c>
      <c r="C457" s="143" t="n">
        <v>8</v>
      </c>
      <c r="D457" s="144" t="n">
        <f aca="false">'VALORES BASE'!B38</f>
        <v>7.03</v>
      </c>
      <c r="E457" s="77"/>
      <c r="I457" s="127"/>
      <c r="J457" s="127"/>
    </row>
    <row r="458" customFormat="false" ht="11.25" hidden="false" customHeight="true" outlineLevel="0" collapsed="false">
      <c r="A458" s="78" t="s">
        <v>135</v>
      </c>
      <c r="B458" s="79" t="s">
        <v>136</v>
      </c>
      <c r="C458" s="101" t="n">
        <f aca="false">B454</f>
        <v>1331.58166666667</v>
      </c>
      <c r="D458" s="145" t="n">
        <f aca="false">IFERROR(+D457/C457,"-")</f>
        <v>0.87875</v>
      </c>
      <c r="E458" s="81" t="n">
        <f aca="false">IFERROR(C458*D458,"-")</f>
        <v>1170.12738958333</v>
      </c>
      <c r="I458" s="127"/>
      <c r="J458" s="127"/>
    </row>
    <row r="459" customFormat="false" ht="11.25" hidden="false" customHeight="true" outlineLevel="0" collapsed="false">
      <c r="A459" s="78" t="s">
        <v>137</v>
      </c>
      <c r="B459" s="79" t="s">
        <v>138</v>
      </c>
      <c r="C459" s="146" t="n">
        <v>3</v>
      </c>
      <c r="D459" s="106" t="n">
        <f aca="false">'VALORES BASE'!B42</f>
        <v>36.3</v>
      </c>
      <c r="E459" s="81"/>
      <c r="I459" s="127"/>
      <c r="J459" s="127"/>
    </row>
    <row r="460" customFormat="false" ht="11.25" hidden="false" customHeight="true" outlineLevel="0" collapsed="false">
      <c r="A460" s="78" t="s">
        <v>139</v>
      </c>
      <c r="B460" s="79" t="s">
        <v>136</v>
      </c>
      <c r="C460" s="101" t="n">
        <f aca="false">C458</f>
        <v>1331.58166666667</v>
      </c>
      <c r="D460" s="147" t="n">
        <f aca="false">+C459*D459/1000</f>
        <v>0.1089</v>
      </c>
      <c r="E460" s="81" t="n">
        <f aca="false">C460*D460</f>
        <v>145.0092435</v>
      </c>
      <c r="I460" s="127"/>
      <c r="J460" s="127"/>
    </row>
    <row r="461" customFormat="false" ht="11.25" hidden="false" customHeight="true" outlineLevel="0" collapsed="false">
      <c r="A461" s="78" t="s">
        <v>140</v>
      </c>
      <c r="B461" s="79" t="s">
        <v>138</v>
      </c>
      <c r="C461" s="146" t="n">
        <v>0.66</v>
      </c>
      <c r="D461" s="106" t="n">
        <f aca="false">'VALORES BASE'!B43</f>
        <v>54.12</v>
      </c>
      <c r="E461" s="81"/>
      <c r="I461" s="127"/>
      <c r="J461" s="127"/>
    </row>
    <row r="462" customFormat="false" ht="11.25" hidden="false" customHeight="true" outlineLevel="0" collapsed="false">
      <c r="A462" s="78" t="s">
        <v>141</v>
      </c>
      <c r="B462" s="79" t="s">
        <v>136</v>
      </c>
      <c r="C462" s="101" t="n">
        <f aca="false">C458</f>
        <v>1331.58166666667</v>
      </c>
      <c r="D462" s="147" t="n">
        <f aca="false">+C461*D461/1000</f>
        <v>0.0357192</v>
      </c>
      <c r="E462" s="81" t="n">
        <f aca="false">C462*D462</f>
        <v>47.563031868</v>
      </c>
      <c r="I462" s="127"/>
      <c r="J462" s="127"/>
    </row>
    <row r="463" customFormat="false" ht="11.25" hidden="false" customHeight="true" outlineLevel="0" collapsed="false">
      <c r="A463" s="78" t="s">
        <v>142</v>
      </c>
      <c r="B463" s="79" t="s">
        <v>138</v>
      </c>
      <c r="C463" s="146" t="n">
        <v>3.48</v>
      </c>
      <c r="D463" s="106" t="n">
        <f aca="false">'VALORES BASE'!B44</f>
        <v>47.4</v>
      </c>
      <c r="E463" s="81"/>
      <c r="I463" s="127"/>
      <c r="J463" s="127"/>
    </row>
    <row r="464" customFormat="false" ht="11.25" hidden="false" customHeight="true" outlineLevel="0" collapsed="false">
      <c r="A464" s="78" t="s">
        <v>143</v>
      </c>
      <c r="B464" s="79" t="s">
        <v>136</v>
      </c>
      <c r="C464" s="101" t="n">
        <f aca="false">C458</f>
        <v>1331.58166666667</v>
      </c>
      <c r="D464" s="147" t="n">
        <f aca="false">+C463*D463/1000</f>
        <v>0.164952</v>
      </c>
      <c r="E464" s="81" t="n">
        <f aca="false">C464*D464</f>
        <v>219.64705908</v>
      </c>
      <c r="I464" s="127"/>
      <c r="J464" s="127"/>
    </row>
    <row r="465" customFormat="false" ht="11.25" hidden="false" customHeight="true" outlineLevel="0" collapsed="false">
      <c r="A465" s="78" t="s">
        <v>144</v>
      </c>
      <c r="B465" s="79" t="s">
        <v>145</v>
      </c>
      <c r="C465" s="146" t="n">
        <v>2</v>
      </c>
      <c r="D465" s="106" t="n">
        <f aca="false">'VALORES BASE'!B45</f>
        <v>36</v>
      </c>
      <c r="E465" s="81"/>
      <c r="I465" s="127"/>
      <c r="J465" s="127"/>
    </row>
    <row r="466" customFormat="false" ht="11.25" hidden="false" customHeight="true" outlineLevel="0" collapsed="false">
      <c r="A466" s="78" t="s">
        <v>146</v>
      </c>
      <c r="B466" s="79" t="s">
        <v>136</v>
      </c>
      <c r="C466" s="101" t="n">
        <f aca="false">C458</f>
        <v>1331.58166666667</v>
      </c>
      <c r="D466" s="147" t="n">
        <f aca="false">+C465*D465/1000</f>
        <v>0.072</v>
      </c>
      <c r="E466" s="81" t="n">
        <f aca="false">C466*D466</f>
        <v>95.87388</v>
      </c>
      <c r="I466" s="127"/>
      <c r="J466" s="127"/>
    </row>
    <row r="467" customFormat="false" ht="11.25" hidden="false" customHeight="true" outlineLevel="0" collapsed="false">
      <c r="A467" s="78" t="s">
        <v>147</v>
      </c>
      <c r="B467" s="79" t="s">
        <v>148</v>
      </c>
      <c r="C467" s="101" t="n">
        <f aca="false">(B454/C457)*(5/100)</f>
        <v>8.32238541666667</v>
      </c>
      <c r="D467" s="158" t="n">
        <f aca="false">'VALORES BASE'!B31</f>
        <v>8</v>
      </c>
      <c r="E467" s="81" t="n">
        <f aca="false">C467*D467</f>
        <v>66.5790833333333</v>
      </c>
      <c r="I467" s="127"/>
      <c r="J467" s="127"/>
    </row>
    <row r="468" customFormat="false" ht="11.25" hidden="false" customHeight="true" outlineLevel="0" collapsed="false">
      <c r="A468" s="95" t="s">
        <v>149</v>
      </c>
      <c r="B468" s="133" t="s">
        <v>150</v>
      </c>
      <c r="C468" s="149"/>
      <c r="D468" s="150" t="n">
        <f aca="false">IFERROR(D458+D460+D462+D464+D466,0)</f>
        <v>1.2603212</v>
      </c>
      <c r="E468" s="81"/>
      <c r="I468" s="127"/>
      <c r="J468" s="127"/>
    </row>
    <row r="469" customFormat="false" ht="11.25" hidden="false" customHeight="true" outlineLevel="0" collapsed="false">
      <c r="F469" s="122" t="n">
        <f aca="false">SUM(E457:E467)</f>
        <v>1744.79968736467</v>
      </c>
      <c r="I469" s="127"/>
      <c r="J469" s="127"/>
    </row>
    <row r="470" customFormat="false" ht="11.25" hidden="false" customHeight="true" outlineLevel="0" collapsed="false">
      <c r="I470" s="127"/>
      <c r="J470" s="127"/>
    </row>
    <row r="471" customFormat="false" ht="11.25" hidden="false" customHeight="true" outlineLevel="0" collapsed="false">
      <c r="A471" s="69" t="s">
        <v>191</v>
      </c>
      <c r="I471" s="127"/>
      <c r="J471" s="127"/>
    </row>
    <row r="472" customFormat="false" ht="11.25" hidden="false" customHeight="true" outlineLevel="0" collapsed="false">
      <c r="A472" s="70" t="s">
        <v>16</v>
      </c>
      <c r="B472" s="71" t="s">
        <v>17</v>
      </c>
      <c r="C472" s="71" t="s">
        <v>9</v>
      </c>
      <c r="D472" s="72" t="s">
        <v>18</v>
      </c>
      <c r="E472" s="72" t="s">
        <v>19</v>
      </c>
      <c r="F472" s="73" t="s">
        <v>20</v>
      </c>
      <c r="I472" s="127"/>
      <c r="J472" s="127"/>
    </row>
    <row r="473" customFormat="false" ht="11.25" hidden="false" customHeight="true" outlineLevel="0" collapsed="false">
      <c r="A473" s="74" t="s">
        <v>152</v>
      </c>
      <c r="B473" s="75" t="s">
        <v>150</v>
      </c>
      <c r="C473" s="101" t="n">
        <f aca="false">C458</f>
        <v>1331.58166666667</v>
      </c>
      <c r="D473" s="76" t="n">
        <f aca="false">'VALORES BASE'!B46</f>
        <v>1.32</v>
      </c>
      <c r="E473" s="77" t="n">
        <f aca="false">C473*D473</f>
        <v>1757.6878</v>
      </c>
      <c r="I473" s="127"/>
      <c r="J473" s="127"/>
    </row>
    <row r="474" customFormat="false" ht="11.25" hidden="false" customHeight="true" outlineLevel="0" collapsed="false">
      <c r="F474" s="122" t="n">
        <f aca="false">E473</f>
        <v>1757.6878</v>
      </c>
      <c r="I474" s="127"/>
      <c r="J474" s="127"/>
    </row>
    <row r="475" customFormat="false" ht="11.25" hidden="false" customHeight="true" outlineLevel="0" collapsed="false">
      <c r="I475" s="127"/>
      <c r="J475" s="127"/>
    </row>
    <row r="476" customFormat="false" ht="11.25" hidden="false" customHeight="true" outlineLevel="0" collapsed="false">
      <c r="A476" s="69" t="s">
        <v>192</v>
      </c>
      <c r="I476" s="127"/>
      <c r="J476" s="127"/>
    </row>
    <row r="477" customFormat="false" ht="11.25" hidden="false" customHeight="true" outlineLevel="0" collapsed="false">
      <c r="A477" s="70" t="s">
        <v>16</v>
      </c>
      <c r="B477" s="71" t="s">
        <v>17</v>
      </c>
      <c r="C477" s="71" t="s">
        <v>9</v>
      </c>
      <c r="D477" s="72" t="s">
        <v>18</v>
      </c>
      <c r="E477" s="72" t="s">
        <v>19</v>
      </c>
      <c r="F477" s="73" t="s">
        <v>20</v>
      </c>
      <c r="I477" s="127"/>
      <c r="J477" s="127"/>
    </row>
    <row r="478" customFormat="false" ht="11.25" hidden="false" customHeight="true" outlineLevel="0" collapsed="false">
      <c r="A478" s="74" t="s">
        <v>193</v>
      </c>
      <c r="B478" s="75" t="s">
        <v>65</v>
      </c>
      <c r="C478" s="151" t="n">
        <v>4</v>
      </c>
      <c r="D478" s="76" t="n">
        <f aca="false">'VALORES BASE'!B54</f>
        <v>2229</v>
      </c>
      <c r="E478" s="77" t="n">
        <f aca="false">C478*D478</f>
        <v>8916</v>
      </c>
      <c r="I478" s="127"/>
      <c r="J478" s="127"/>
    </row>
    <row r="479" customFormat="false" ht="11.25" hidden="false" customHeight="true" outlineLevel="0" collapsed="false">
      <c r="A479" s="74" t="s">
        <v>155</v>
      </c>
      <c r="B479" s="75" t="s">
        <v>65</v>
      </c>
      <c r="C479" s="151" t="n">
        <v>3</v>
      </c>
      <c r="D479" s="77"/>
      <c r="E479" s="77"/>
      <c r="I479" s="127"/>
      <c r="J479" s="127"/>
    </row>
    <row r="480" customFormat="false" ht="11.25" hidden="false" customHeight="true" outlineLevel="0" collapsed="false">
      <c r="A480" s="74" t="s">
        <v>156</v>
      </c>
      <c r="B480" s="75" t="s">
        <v>65</v>
      </c>
      <c r="C480" s="77" t="n">
        <f aca="false">C478*C479</f>
        <v>12</v>
      </c>
      <c r="D480" s="76" t="n">
        <f aca="false">0.35*D478</f>
        <v>780.15</v>
      </c>
      <c r="E480" s="77" t="n">
        <f aca="false">C480*D480</f>
        <v>9361.8</v>
      </c>
      <c r="I480" s="127"/>
      <c r="J480" s="127"/>
    </row>
    <row r="481" customFormat="false" ht="11.25" hidden="false" customHeight="true" outlineLevel="0" collapsed="false">
      <c r="A481" s="152" t="s">
        <v>181</v>
      </c>
      <c r="B481" s="79" t="s">
        <v>158</v>
      </c>
      <c r="C481" s="153" t="n">
        <v>80000</v>
      </c>
      <c r="D481" s="81" t="n">
        <f aca="false">E478+E480</f>
        <v>18277.8</v>
      </c>
      <c r="E481" s="81" t="n">
        <f aca="false">IFERROR(D481/C481,"-")</f>
        <v>0.2284725</v>
      </c>
      <c r="I481" s="127"/>
      <c r="J481" s="127"/>
    </row>
    <row r="482" customFormat="false" ht="11.25" hidden="false" customHeight="true" outlineLevel="0" collapsed="false">
      <c r="A482" s="78" t="s">
        <v>159</v>
      </c>
      <c r="B482" s="79" t="s">
        <v>136</v>
      </c>
      <c r="C482" s="101" t="n">
        <f aca="false">B454</f>
        <v>1331.58166666667</v>
      </c>
      <c r="D482" s="81" t="n">
        <f aca="false">E481</f>
        <v>0.2284725</v>
      </c>
      <c r="E482" s="81" t="n">
        <f aca="false">IFERROR(C482*D482,0)</f>
        <v>304.2297923375</v>
      </c>
      <c r="I482" s="127"/>
      <c r="J482" s="127"/>
    </row>
    <row r="483" customFormat="false" ht="11.25" hidden="false" customHeight="true" outlineLevel="0" collapsed="false">
      <c r="F483" s="122" t="n">
        <f aca="false">E482</f>
        <v>304.2297923375</v>
      </c>
      <c r="I483" s="127"/>
      <c r="J483" s="127"/>
    </row>
    <row r="484" customFormat="false" ht="15.6" hidden="false" customHeight="true" outlineLevel="0" collapsed="false">
      <c r="I484" s="127"/>
      <c r="J484" s="127"/>
    </row>
    <row r="485" customFormat="false" ht="12.8" hidden="false" customHeight="false" outlineLevel="0" collapsed="false">
      <c r="G485" s="1"/>
    </row>
    <row r="486" customFormat="false" ht="12.8" hidden="false" customHeight="true" outlineLevel="0" collapsed="false">
      <c r="A486" s="108" t="s">
        <v>194</v>
      </c>
      <c r="B486" s="109"/>
      <c r="C486" s="109"/>
      <c r="D486" s="38"/>
      <c r="E486" s="110"/>
      <c r="F486" s="122" t="n">
        <f aca="false">+SUM(F264:F484)</f>
        <v>119060.892500876</v>
      </c>
      <c r="G486" s="1"/>
    </row>
    <row r="487" customFormat="false" ht="12.8" hidden="false" customHeight="false" outlineLevel="0" collapsed="false">
      <c r="G487" s="1"/>
    </row>
    <row r="488" customFormat="false" ht="12.8" hidden="false" customHeight="false" outlineLevel="0" collapsed="false">
      <c r="A488" s="159" t="s">
        <v>195</v>
      </c>
      <c r="B488" s="65"/>
      <c r="C488" s="65"/>
      <c r="D488" s="25"/>
      <c r="E488" s="25"/>
      <c r="F488" s="84"/>
      <c r="G488" s="1"/>
    </row>
    <row r="489" customFormat="false" ht="12.8" hidden="false" customHeight="false" outlineLevel="0" collapsed="false">
      <c r="G489" s="1"/>
    </row>
    <row r="490" customFormat="false" ht="12.8" hidden="false" customHeight="false" outlineLevel="0" collapsed="false">
      <c r="A490" s="70" t="s">
        <v>16</v>
      </c>
      <c r="B490" s="71" t="s">
        <v>17</v>
      </c>
      <c r="C490" s="71" t="s">
        <v>9</v>
      </c>
      <c r="D490" s="72" t="s">
        <v>18</v>
      </c>
      <c r="E490" s="72" t="s">
        <v>19</v>
      </c>
      <c r="F490" s="73" t="s">
        <v>20</v>
      </c>
      <c r="G490" s="1"/>
    </row>
    <row r="491" customFormat="false" ht="12.8" hidden="false" customHeight="false" outlineLevel="0" collapsed="false">
      <c r="A491" s="78" t="s">
        <v>196</v>
      </c>
      <c r="B491" s="79" t="s">
        <v>65</v>
      </c>
      <c r="C491" s="112" t="n">
        <v>0.5</v>
      </c>
      <c r="D491" s="76" t="n">
        <f aca="false">'VALORES BASE'!B23</f>
        <v>41.22</v>
      </c>
      <c r="E491" s="81" t="n">
        <f aca="false">C491*D491</f>
        <v>20.61</v>
      </c>
      <c r="F491" s="126"/>
      <c r="G491" s="1"/>
    </row>
    <row r="492" customFormat="false" ht="12.8" hidden="false" customHeight="false" outlineLevel="0" collapsed="false">
      <c r="A492" s="78" t="s">
        <v>197</v>
      </c>
      <c r="B492" s="79" t="s">
        <v>65</v>
      </c>
      <c r="C492" s="112" t="n">
        <v>0.5</v>
      </c>
      <c r="D492" s="76" t="n">
        <f aca="false">'VALORES BASE'!B24</f>
        <v>45.9</v>
      </c>
      <c r="E492" s="81" t="n">
        <f aca="false">C492*D492</f>
        <v>22.95</v>
      </c>
      <c r="F492" s="126"/>
      <c r="G492" s="1"/>
    </row>
    <row r="493" customFormat="false" ht="12.8" hidden="false" customHeight="false" outlineLevel="0" collapsed="false">
      <c r="A493" s="78" t="s">
        <v>198</v>
      </c>
      <c r="B493" s="79" t="s">
        <v>65</v>
      </c>
      <c r="C493" s="112" t="n">
        <f aca="false">1/2</f>
        <v>0.5</v>
      </c>
      <c r="D493" s="76" t="n">
        <f aca="false">'VALORES BASE'!B25</f>
        <v>51.29</v>
      </c>
      <c r="E493" s="81" t="n">
        <f aca="false">C493*D493</f>
        <v>25.645</v>
      </c>
      <c r="F493" s="126"/>
      <c r="G493" s="1"/>
    </row>
    <row r="494" customFormat="false" ht="12.8" hidden="false" customHeight="false" outlineLevel="0" collapsed="false">
      <c r="A494" s="78" t="s">
        <v>199</v>
      </c>
      <c r="B494" s="79" t="s">
        <v>200</v>
      </c>
      <c r="C494" s="112" t="n">
        <v>0.166666666666667</v>
      </c>
      <c r="D494" s="76" t="n">
        <f aca="false">'VALORES BASE'!B26</f>
        <v>20</v>
      </c>
      <c r="E494" s="81" t="n">
        <f aca="false">C494*D494</f>
        <v>3.33333333333334</v>
      </c>
      <c r="F494" s="126"/>
      <c r="G494" s="1"/>
    </row>
    <row r="495" customFormat="false" ht="12.8" hidden="false" customHeight="false" outlineLevel="0" collapsed="false">
      <c r="A495" s="78" t="s">
        <v>201</v>
      </c>
      <c r="B495" s="79" t="s">
        <v>200</v>
      </c>
      <c r="C495" s="112" t="n">
        <v>0.166666666666667</v>
      </c>
      <c r="D495" s="76" t="n">
        <f aca="false">'VALORES BASE'!B27</f>
        <v>260</v>
      </c>
      <c r="E495" s="81" t="n">
        <f aca="false">C495*D495</f>
        <v>43.3333333333334</v>
      </c>
      <c r="F495" s="126"/>
      <c r="G495" s="1"/>
    </row>
    <row r="496" customFormat="false" ht="13.8" hidden="false" customHeight="false" outlineLevel="0" collapsed="false">
      <c r="A496" s="160" t="s">
        <v>202</v>
      </c>
      <c r="B496" s="79" t="s">
        <v>203</v>
      </c>
      <c r="C496" s="153" t="n">
        <v>1</v>
      </c>
      <c r="D496" s="76" t="n">
        <v>1500</v>
      </c>
      <c r="E496" s="81" t="n">
        <f aca="false">(C496*D496)</f>
        <v>1500</v>
      </c>
      <c r="F496" s="126"/>
      <c r="G496" s="1"/>
    </row>
    <row r="497" customFormat="false" ht="12.8" hidden="false" customHeight="false" outlineLevel="0" collapsed="false">
      <c r="A497" s="65"/>
      <c r="B497" s="65"/>
      <c r="C497" s="65"/>
      <c r="D497" s="65"/>
      <c r="E497" s="25"/>
      <c r="F497" s="122" t="n">
        <f aca="false">SUM(E491:E496)</f>
        <v>1615.87166666667</v>
      </c>
      <c r="G497" s="1"/>
    </row>
    <row r="498" customFormat="false" ht="12.8" hidden="false" customHeight="false" outlineLevel="0" collapsed="false">
      <c r="G498" s="1"/>
    </row>
    <row r="499" customFormat="false" ht="12.8" hidden="false" customHeight="false" outlineLevel="0" collapsed="false">
      <c r="A499" s="108" t="s">
        <v>204</v>
      </c>
      <c r="B499" s="109"/>
      <c r="C499" s="109"/>
      <c r="D499" s="38"/>
      <c r="E499" s="110"/>
      <c r="F499" s="122" t="n">
        <f aca="false">+F497</f>
        <v>1615.87166666667</v>
      </c>
      <c r="G499" s="1"/>
    </row>
    <row r="500" customFormat="false" ht="12.8" hidden="false" customHeight="false" outlineLevel="0" collapsed="false">
      <c r="G500" s="1"/>
    </row>
    <row r="501" customFormat="false" ht="12.8" hidden="false" customHeight="false" outlineLevel="0" collapsed="false">
      <c r="A501" s="159" t="s">
        <v>205</v>
      </c>
      <c r="B501" s="65"/>
      <c r="C501" s="65"/>
      <c r="D501" s="25"/>
      <c r="E501" s="25"/>
      <c r="F501" s="84"/>
    </row>
    <row r="503" customFormat="false" ht="12.8" hidden="false" customHeight="true" outlineLevel="0" collapsed="false">
      <c r="A503" s="70" t="s">
        <v>16</v>
      </c>
      <c r="B503" s="71" t="s">
        <v>17</v>
      </c>
      <c r="C503" s="71" t="s">
        <v>9</v>
      </c>
      <c r="D503" s="72" t="s">
        <v>18</v>
      </c>
      <c r="E503" s="72" t="s">
        <v>19</v>
      </c>
      <c r="F503" s="73" t="s">
        <v>20</v>
      </c>
    </row>
    <row r="504" customFormat="false" ht="12.8" hidden="false" customHeight="false" outlineLevel="0" collapsed="false">
      <c r="A504" s="78" t="s">
        <v>206</v>
      </c>
      <c r="B504" s="161" t="s">
        <v>200</v>
      </c>
      <c r="C504" s="117" t="n">
        <f aca="false">C264</f>
        <v>1</v>
      </c>
      <c r="D504" s="106" t="n">
        <f aca="false">'VALORES BASE'!B52</f>
        <v>5000</v>
      </c>
      <c r="E504" s="81" t="n">
        <f aca="false">+D504*C504</f>
        <v>5000</v>
      </c>
      <c r="F504" s="126"/>
    </row>
    <row r="505" customFormat="false" ht="12.8" hidden="false" customHeight="false" outlineLevel="0" collapsed="false">
      <c r="A505" s="78" t="s">
        <v>207</v>
      </c>
      <c r="B505" s="161" t="s">
        <v>22</v>
      </c>
      <c r="C505" s="79" t="n">
        <v>60</v>
      </c>
      <c r="D505" s="162" t="n">
        <f aca="false">SUM(E504)</f>
        <v>5000</v>
      </c>
      <c r="E505" s="162" t="n">
        <f aca="false">+D505/C505</f>
        <v>83.3333333333333</v>
      </c>
      <c r="F505" s="126"/>
    </row>
    <row r="506" customFormat="false" ht="12.8" hidden="false" customHeight="false" outlineLevel="0" collapsed="false">
      <c r="A506" s="78" t="s">
        <v>208</v>
      </c>
      <c r="B506" s="79" t="s">
        <v>65</v>
      </c>
      <c r="C506" s="163" t="n">
        <f aca="false">SUM(E40:E42)</f>
        <v>8</v>
      </c>
      <c r="D506" s="106" t="n">
        <f aca="false">'VALORES BASE'!B53</f>
        <v>150</v>
      </c>
      <c r="E506" s="81" t="n">
        <f aca="false">C506*D506</f>
        <v>1200</v>
      </c>
      <c r="F506" s="126"/>
    </row>
    <row r="507" customFormat="false" ht="12.8" hidden="false" customHeight="false" outlineLevel="0" collapsed="false">
      <c r="A507" s="78" t="s">
        <v>209</v>
      </c>
      <c r="B507" s="161" t="s">
        <v>22</v>
      </c>
      <c r="C507" s="79" t="n">
        <v>1</v>
      </c>
      <c r="D507" s="162" t="n">
        <f aca="false">+E506</f>
        <v>1200</v>
      </c>
      <c r="E507" s="162" t="n">
        <f aca="false">+D507/C507</f>
        <v>1200</v>
      </c>
      <c r="F507" s="126"/>
    </row>
    <row r="508" customFormat="false" ht="12.8" hidden="false" customHeight="false" outlineLevel="0" collapsed="false">
      <c r="A508" s="164"/>
      <c r="B508" s="164"/>
      <c r="C508" s="164"/>
      <c r="D508" s="88" t="s">
        <v>34</v>
      </c>
      <c r="E508" s="89" t="n">
        <f aca="false">'FATOR FU_OFICIAL'!F9</f>
        <v>1</v>
      </c>
      <c r="F508" s="122" t="n">
        <f aca="false">(E505+E507)*E508</f>
        <v>1283.33333333333</v>
      </c>
    </row>
    <row r="509" customFormat="false" ht="12.8" hidden="false" customHeight="false" outlineLevel="0" collapsed="false">
      <c r="G509" s="165"/>
      <c r="H509" s="166"/>
      <c r="I509" s="166"/>
      <c r="J509" s="166"/>
      <c r="K509" s="166"/>
      <c r="L509" s="166"/>
      <c r="M509" s="166"/>
      <c r="N509" s="166"/>
      <c r="O509" s="166"/>
      <c r="P509" s="166"/>
      <c r="Q509" s="166"/>
      <c r="R509" s="166"/>
      <c r="S509" s="166"/>
      <c r="T509" s="166"/>
      <c r="U509" s="166"/>
      <c r="V509" s="166"/>
      <c r="W509" s="166"/>
      <c r="X509" s="166"/>
      <c r="Y509" s="166"/>
      <c r="Z509" s="166"/>
      <c r="AA509" s="166"/>
      <c r="AB509" s="166"/>
      <c r="AC509" s="166"/>
      <c r="AD509" s="166"/>
      <c r="AE509" s="166"/>
      <c r="AF509" s="166"/>
      <c r="AG509" s="166"/>
      <c r="AH509" s="166"/>
      <c r="AI509" s="166"/>
      <c r="AJ509" s="166"/>
      <c r="AK509" s="166"/>
      <c r="AL509" s="166"/>
      <c r="AM509" s="166"/>
      <c r="AN509" s="166"/>
      <c r="AO509" s="166"/>
      <c r="AP509" s="166"/>
      <c r="AQ509" s="166"/>
      <c r="AR509" s="166"/>
      <c r="AS509" s="166"/>
      <c r="AT509" s="166"/>
      <c r="AU509" s="166"/>
      <c r="AV509" s="166"/>
      <c r="AW509" s="166"/>
      <c r="AX509" s="166"/>
      <c r="AY509" s="166"/>
      <c r="AZ509" s="166"/>
      <c r="BA509" s="166"/>
      <c r="BB509" s="166"/>
      <c r="BC509" s="166"/>
      <c r="BD509" s="166"/>
      <c r="BE509" s="166"/>
      <c r="BF509" s="166"/>
      <c r="BG509" s="166"/>
      <c r="BH509" s="166"/>
      <c r="BI509" s="166"/>
      <c r="BJ509" s="166"/>
      <c r="BK509" s="166"/>
      <c r="BL509" s="166"/>
      <c r="BM509" s="166"/>
      <c r="BN509" s="166"/>
      <c r="BO509" s="166"/>
      <c r="BP509" s="166"/>
      <c r="BQ509" s="166"/>
      <c r="BR509" s="166"/>
      <c r="BS509" s="166"/>
      <c r="BT509" s="166"/>
      <c r="BU509" s="166"/>
      <c r="BV509" s="166"/>
      <c r="BW509" s="166"/>
      <c r="BX509" s="166"/>
      <c r="BY509" s="166"/>
      <c r="BZ509" s="166"/>
      <c r="CA509" s="166"/>
      <c r="CB509" s="166"/>
      <c r="CC509" s="166"/>
      <c r="CD509" s="166"/>
      <c r="CE509" s="166"/>
      <c r="CF509" s="166"/>
      <c r="CG509" s="166"/>
      <c r="CH509" s="166"/>
      <c r="CI509" s="166"/>
      <c r="CJ509" s="166"/>
      <c r="CK509" s="166"/>
      <c r="CL509" s="166"/>
      <c r="CM509" s="166"/>
      <c r="CN509" s="166"/>
      <c r="CO509" s="166"/>
      <c r="CP509" s="166"/>
      <c r="CQ509" s="166"/>
      <c r="CR509" s="166"/>
      <c r="CS509" s="166"/>
      <c r="CT509" s="166"/>
      <c r="CU509" s="166"/>
      <c r="CV509" s="166"/>
      <c r="CW509" s="166"/>
      <c r="CX509" s="166"/>
      <c r="CY509" s="166"/>
      <c r="CZ509" s="166"/>
      <c r="DA509" s="166"/>
      <c r="DB509" s="166"/>
      <c r="DC509" s="166"/>
      <c r="DD509" s="166"/>
      <c r="DE509" s="166"/>
      <c r="DF509" s="166"/>
      <c r="DG509" s="166"/>
      <c r="DH509" s="166"/>
      <c r="DI509" s="166"/>
      <c r="DJ509" s="166"/>
      <c r="DK509" s="166"/>
      <c r="DL509" s="166"/>
      <c r="DM509" s="166"/>
      <c r="DN509" s="166"/>
      <c r="DO509" s="166"/>
      <c r="DP509" s="166"/>
      <c r="DQ509" s="166"/>
      <c r="DR509" s="166"/>
      <c r="DS509" s="166"/>
      <c r="DT509" s="166"/>
      <c r="DU509" s="166"/>
      <c r="DV509" s="166"/>
      <c r="DW509" s="166"/>
      <c r="DX509" s="166"/>
      <c r="DY509" s="166"/>
      <c r="DZ509" s="166"/>
      <c r="EA509" s="166"/>
      <c r="EB509" s="166"/>
      <c r="EC509" s="166"/>
      <c r="ED509" s="166"/>
      <c r="EE509" s="166"/>
      <c r="EF509" s="166"/>
      <c r="EG509" s="166"/>
      <c r="EH509" s="166"/>
      <c r="EI509" s="166"/>
      <c r="EJ509" s="166"/>
      <c r="EK509" s="166"/>
      <c r="EL509" s="166"/>
      <c r="EM509" s="166"/>
      <c r="EN509" s="166"/>
      <c r="EO509" s="166"/>
      <c r="EP509" s="166"/>
      <c r="EQ509" s="166"/>
      <c r="ER509" s="166"/>
      <c r="ES509" s="166"/>
      <c r="ET509" s="166"/>
      <c r="EU509" s="166"/>
      <c r="EV509" s="166"/>
      <c r="EW509" s="166"/>
      <c r="EX509" s="166"/>
      <c r="EY509" s="166"/>
      <c r="EZ509" s="166"/>
      <c r="FA509" s="166"/>
      <c r="FB509" s="166"/>
      <c r="FC509" s="166"/>
      <c r="FD509" s="166"/>
      <c r="FE509" s="166"/>
      <c r="FF509" s="166"/>
      <c r="FG509" s="166"/>
      <c r="FH509" s="166"/>
      <c r="FI509" s="166"/>
      <c r="FJ509" s="166"/>
      <c r="FK509" s="166"/>
      <c r="FL509" s="166"/>
      <c r="FM509" s="166"/>
      <c r="FN509" s="166"/>
      <c r="FO509" s="166"/>
      <c r="FP509" s="166"/>
      <c r="FQ509" s="166"/>
      <c r="FR509" s="166"/>
      <c r="FS509" s="166"/>
      <c r="FT509" s="166"/>
      <c r="FU509" s="166"/>
      <c r="FV509" s="166"/>
      <c r="FW509" s="166"/>
      <c r="FX509" s="166"/>
      <c r="FY509" s="166"/>
      <c r="FZ509" s="166"/>
      <c r="GA509" s="166"/>
      <c r="GB509" s="166"/>
      <c r="GC509" s="166"/>
      <c r="GD509" s="166"/>
      <c r="GE509" s="166"/>
      <c r="GF509" s="166"/>
      <c r="GG509" s="166"/>
      <c r="GH509" s="166"/>
      <c r="GI509" s="166"/>
      <c r="GJ509" s="166"/>
      <c r="GK509" s="166"/>
      <c r="GL509" s="166"/>
      <c r="GM509" s="166"/>
      <c r="GN509" s="166"/>
      <c r="GO509" s="166"/>
      <c r="GP509" s="166"/>
      <c r="GQ509" s="166"/>
      <c r="GR509" s="166"/>
      <c r="GS509" s="166"/>
      <c r="GT509" s="166"/>
      <c r="GU509" s="166"/>
      <c r="GV509" s="166"/>
      <c r="GW509" s="166"/>
      <c r="GX509" s="166"/>
      <c r="GY509" s="166"/>
      <c r="GZ509" s="166"/>
      <c r="HA509" s="166"/>
      <c r="HB509" s="166"/>
      <c r="HC509" s="166"/>
      <c r="HD509" s="166"/>
      <c r="HE509" s="166"/>
      <c r="HF509" s="166"/>
      <c r="HG509" s="166"/>
      <c r="HH509" s="166"/>
      <c r="HI509" s="166"/>
      <c r="HJ509" s="166"/>
      <c r="HK509" s="166"/>
      <c r="HL509" s="166"/>
      <c r="HM509" s="166"/>
      <c r="HN509" s="166"/>
      <c r="HO509" s="166"/>
      <c r="HP509" s="166"/>
      <c r="HQ509" s="166"/>
      <c r="HR509" s="166"/>
      <c r="HS509" s="166"/>
      <c r="HT509" s="166"/>
      <c r="HU509" s="166"/>
      <c r="HV509" s="166"/>
      <c r="HW509" s="166"/>
      <c r="HX509" s="166"/>
      <c r="HY509" s="166"/>
      <c r="HZ509" s="166"/>
      <c r="IA509" s="166"/>
      <c r="IB509" s="166"/>
      <c r="IC509" s="166"/>
      <c r="ID509" s="166"/>
      <c r="IE509" s="166"/>
      <c r="IF509" s="166"/>
      <c r="IG509" s="166"/>
      <c r="IH509" s="166"/>
      <c r="II509" s="166"/>
      <c r="IJ509" s="166"/>
      <c r="IK509" s="166"/>
      <c r="IL509" s="166"/>
      <c r="IM509" s="166"/>
      <c r="IN509" s="166"/>
      <c r="IO509" s="166"/>
      <c r="IP509" s="166"/>
      <c r="IQ509" s="166"/>
      <c r="IR509" s="166"/>
      <c r="IS509" s="166"/>
      <c r="IT509" s="166"/>
      <c r="IU509" s="166"/>
      <c r="IV509" s="166"/>
      <c r="IW509" s="166"/>
      <c r="IX509" s="166"/>
      <c r="IY509" s="166"/>
      <c r="IZ509" s="166"/>
      <c r="JA509" s="166"/>
      <c r="JB509" s="166"/>
      <c r="JC509" s="166"/>
      <c r="JD509" s="166"/>
      <c r="JE509" s="166"/>
      <c r="JF509" s="166"/>
      <c r="JG509" s="166"/>
      <c r="JH509" s="166"/>
      <c r="JI509" s="166"/>
      <c r="JJ509" s="166"/>
      <c r="JK509" s="166"/>
      <c r="JL509" s="166"/>
      <c r="JM509" s="166"/>
      <c r="JN509" s="166"/>
      <c r="JO509" s="166"/>
      <c r="JP509" s="166"/>
      <c r="JQ509" s="166"/>
      <c r="JR509" s="166"/>
      <c r="JS509" s="166"/>
      <c r="JT509" s="166"/>
      <c r="JU509" s="166"/>
      <c r="JV509" s="166"/>
      <c r="JW509" s="166"/>
      <c r="JX509" s="166"/>
      <c r="JY509" s="166"/>
      <c r="JZ509" s="166"/>
      <c r="KA509" s="166"/>
      <c r="KB509" s="166"/>
      <c r="KC509" s="166"/>
      <c r="KD509" s="166"/>
      <c r="KE509" s="166"/>
      <c r="KF509" s="166"/>
      <c r="KG509" s="166"/>
      <c r="KH509" s="166"/>
      <c r="KI509" s="166"/>
      <c r="KJ509" s="166"/>
      <c r="KK509" s="166"/>
      <c r="KL509" s="166"/>
      <c r="KM509" s="166"/>
      <c r="KN509" s="166"/>
      <c r="KO509" s="166"/>
      <c r="KP509" s="166"/>
      <c r="KQ509" s="166"/>
      <c r="KR509" s="166"/>
      <c r="KS509" s="166"/>
      <c r="KT509" s="166"/>
      <c r="KU509" s="166"/>
      <c r="KV509" s="166"/>
      <c r="KW509" s="166"/>
      <c r="KX509" s="166"/>
      <c r="KY509" s="166"/>
      <c r="KZ509" s="166"/>
      <c r="LA509" s="166"/>
      <c r="LB509" s="166"/>
      <c r="LC509" s="166"/>
      <c r="LD509" s="166"/>
      <c r="LE509" s="166"/>
      <c r="LF509" s="166"/>
      <c r="LG509" s="166"/>
      <c r="LH509" s="166"/>
      <c r="LI509" s="166"/>
      <c r="LJ509" s="166"/>
      <c r="LK509" s="166"/>
      <c r="LL509" s="166"/>
      <c r="LM509" s="166"/>
      <c r="LN509" s="166"/>
      <c r="LO509" s="166"/>
      <c r="LP509" s="166"/>
      <c r="LQ509" s="166"/>
      <c r="LR509" s="166"/>
      <c r="LS509" s="166"/>
      <c r="LT509" s="166"/>
      <c r="LU509" s="166"/>
      <c r="LV509" s="166"/>
      <c r="LW509" s="166"/>
      <c r="LX509" s="166"/>
      <c r="LY509" s="166"/>
      <c r="LZ509" s="166"/>
      <c r="MA509" s="166"/>
      <c r="MB509" s="166"/>
      <c r="MC509" s="166"/>
      <c r="MD509" s="166"/>
      <c r="ME509" s="166"/>
      <c r="MF509" s="166"/>
      <c r="MG509" s="166"/>
      <c r="MH509" s="166"/>
      <c r="MI509" s="166"/>
      <c r="MJ509" s="166"/>
      <c r="MK509" s="166"/>
      <c r="ML509" s="166"/>
      <c r="MM509" s="166"/>
      <c r="MN509" s="166"/>
      <c r="MO509" s="166"/>
      <c r="MP509" s="166"/>
      <c r="MQ509" s="166"/>
      <c r="MR509" s="166"/>
      <c r="MS509" s="166"/>
      <c r="MT509" s="166"/>
      <c r="MU509" s="166"/>
      <c r="MV509" s="166"/>
      <c r="MW509" s="166"/>
      <c r="MX509" s="166"/>
      <c r="MY509" s="166"/>
      <c r="MZ509" s="166"/>
      <c r="NA509" s="166"/>
      <c r="NB509" s="166"/>
      <c r="NC509" s="166"/>
      <c r="ND509" s="166"/>
      <c r="NE509" s="166"/>
      <c r="NF509" s="166"/>
      <c r="NG509" s="166"/>
      <c r="NH509" s="166"/>
      <c r="NI509" s="166"/>
      <c r="NJ509" s="166"/>
      <c r="NK509" s="166"/>
      <c r="NL509" s="166"/>
      <c r="NM509" s="166"/>
      <c r="NN509" s="166"/>
      <c r="NO509" s="166"/>
      <c r="NP509" s="166"/>
      <c r="NQ509" s="166"/>
      <c r="NR509" s="166"/>
      <c r="NS509" s="166"/>
      <c r="NT509" s="166"/>
      <c r="NU509" s="166"/>
      <c r="NV509" s="166"/>
      <c r="NW509" s="166"/>
      <c r="NX509" s="166"/>
      <c r="NY509" s="166"/>
      <c r="NZ509" s="166"/>
      <c r="OA509" s="166"/>
      <c r="OB509" s="166"/>
      <c r="OC509" s="166"/>
      <c r="OD509" s="166"/>
      <c r="OE509" s="166"/>
      <c r="OF509" s="166"/>
      <c r="OG509" s="166"/>
      <c r="OH509" s="166"/>
      <c r="OI509" s="166"/>
      <c r="OJ509" s="166"/>
      <c r="OK509" s="166"/>
      <c r="OL509" s="166"/>
      <c r="OM509" s="166"/>
      <c r="ON509" s="166"/>
      <c r="OO509" s="166"/>
      <c r="OP509" s="166"/>
      <c r="OQ509" s="166"/>
      <c r="OR509" s="166"/>
      <c r="OS509" s="166"/>
      <c r="OT509" s="166"/>
      <c r="OU509" s="166"/>
      <c r="OV509" s="166"/>
      <c r="OW509" s="166"/>
      <c r="OX509" s="166"/>
      <c r="OY509" s="166"/>
      <c r="OZ509" s="166"/>
      <c r="PA509" s="166"/>
      <c r="PB509" s="166"/>
      <c r="PC509" s="166"/>
      <c r="PD509" s="166"/>
      <c r="PE509" s="166"/>
      <c r="PF509" s="166"/>
      <c r="PG509" s="166"/>
      <c r="PH509" s="166"/>
      <c r="PI509" s="166"/>
      <c r="PJ509" s="166"/>
      <c r="PK509" s="166"/>
      <c r="PL509" s="166"/>
      <c r="PM509" s="166"/>
      <c r="PN509" s="166"/>
      <c r="PO509" s="166"/>
      <c r="PP509" s="166"/>
      <c r="PQ509" s="166"/>
      <c r="PR509" s="166"/>
      <c r="PS509" s="166"/>
      <c r="PT509" s="166"/>
      <c r="PU509" s="166"/>
      <c r="PV509" s="166"/>
      <c r="PW509" s="166"/>
      <c r="PX509" s="166"/>
      <c r="PY509" s="166"/>
      <c r="PZ509" s="166"/>
      <c r="QA509" s="166"/>
      <c r="QB509" s="166"/>
      <c r="QC509" s="166"/>
      <c r="QD509" s="166"/>
      <c r="QE509" s="166"/>
      <c r="QF509" s="166"/>
      <c r="QG509" s="166"/>
      <c r="QH509" s="166"/>
      <c r="QI509" s="166"/>
      <c r="QJ509" s="166"/>
      <c r="QK509" s="166"/>
      <c r="QL509" s="166"/>
      <c r="QM509" s="166"/>
      <c r="QN509" s="166"/>
      <c r="QO509" s="166"/>
      <c r="QP509" s="166"/>
      <c r="QQ509" s="166"/>
      <c r="QR509" s="166"/>
      <c r="QS509" s="166"/>
      <c r="QT509" s="166"/>
      <c r="QU509" s="166"/>
      <c r="QV509" s="166"/>
      <c r="QW509" s="166"/>
      <c r="QX509" s="166"/>
      <c r="QY509" s="166"/>
      <c r="QZ509" s="166"/>
      <c r="RA509" s="166"/>
      <c r="RB509" s="166"/>
      <c r="RC509" s="166"/>
      <c r="RD509" s="166"/>
      <c r="RE509" s="166"/>
      <c r="RF509" s="166"/>
      <c r="RG509" s="166"/>
      <c r="RH509" s="166"/>
      <c r="RI509" s="166"/>
      <c r="RJ509" s="166"/>
      <c r="RK509" s="166"/>
      <c r="RL509" s="166"/>
      <c r="RM509" s="166"/>
      <c r="RN509" s="166"/>
      <c r="RO509" s="166"/>
      <c r="RP509" s="166"/>
      <c r="RQ509" s="166"/>
      <c r="RR509" s="166"/>
      <c r="RS509" s="166"/>
      <c r="RT509" s="166"/>
      <c r="RU509" s="166"/>
      <c r="RV509" s="166"/>
      <c r="RW509" s="166"/>
      <c r="RX509" s="166"/>
      <c r="RY509" s="166"/>
      <c r="RZ509" s="166"/>
      <c r="SA509" s="166"/>
      <c r="SB509" s="166"/>
      <c r="SC509" s="166"/>
      <c r="SD509" s="166"/>
      <c r="SE509" s="166"/>
      <c r="SF509" s="166"/>
      <c r="SG509" s="166"/>
      <c r="SH509" s="166"/>
      <c r="SI509" s="166"/>
      <c r="SJ509" s="166"/>
      <c r="SK509" s="166"/>
      <c r="SL509" s="166"/>
      <c r="SM509" s="166"/>
      <c r="SN509" s="166"/>
      <c r="SO509" s="166"/>
      <c r="SP509" s="166"/>
      <c r="SQ509" s="166"/>
      <c r="SR509" s="166"/>
      <c r="SS509" s="166"/>
      <c r="ST509" s="166"/>
      <c r="SU509" s="166"/>
      <c r="SV509" s="166"/>
      <c r="SW509" s="166"/>
      <c r="SX509" s="166"/>
      <c r="SY509" s="166"/>
      <c r="SZ509" s="166"/>
      <c r="TA509" s="166"/>
      <c r="TB509" s="166"/>
      <c r="TC509" s="166"/>
      <c r="TD509" s="166"/>
      <c r="TE509" s="166"/>
      <c r="TF509" s="166"/>
      <c r="TG509" s="166"/>
      <c r="TH509" s="166"/>
      <c r="TI509" s="166"/>
      <c r="TJ509" s="166"/>
      <c r="TK509" s="166"/>
      <c r="TL509" s="166"/>
      <c r="TM509" s="166"/>
      <c r="TN509" s="166"/>
      <c r="TO509" s="166"/>
      <c r="TP509" s="166"/>
      <c r="TQ509" s="166"/>
      <c r="TR509" s="166"/>
      <c r="TS509" s="166"/>
      <c r="TT509" s="166"/>
      <c r="TU509" s="166"/>
      <c r="TV509" s="166"/>
      <c r="TW509" s="166"/>
      <c r="TX509" s="166"/>
      <c r="TY509" s="166"/>
      <c r="TZ509" s="166"/>
      <c r="UA509" s="166"/>
      <c r="UB509" s="166"/>
      <c r="UC509" s="166"/>
      <c r="UD509" s="166"/>
      <c r="UE509" s="166"/>
      <c r="UF509" s="166"/>
      <c r="UG509" s="166"/>
      <c r="UH509" s="166"/>
      <c r="UI509" s="166"/>
      <c r="UJ509" s="166"/>
      <c r="UK509" s="166"/>
      <c r="UL509" s="166"/>
      <c r="UM509" s="166"/>
      <c r="UN509" s="166"/>
      <c r="UO509" s="166"/>
      <c r="UP509" s="166"/>
      <c r="UQ509" s="166"/>
      <c r="UR509" s="166"/>
      <c r="US509" s="166"/>
      <c r="UT509" s="166"/>
      <c r="UU509" s="166"/>
      <c r="UV509" s="166"/>
      <c r="UW509" s="166"/>
      <c r="UX509" s="166"/>
      <c r="UY509" s="166"/>
      <c r="UZ509" s="166"/>
      <c r="VA509" s="166"/>
      <c r="VB509" s="166"/>
      <c r="VC509" s="166"/>
      <c r="VD509" s="166"/>
      <c r="VE509" s="166"/>
      <c r="VF509" s="166"/>
      <c r="VG509" s="166"/>
      <c r="VH509" s="166"/>
      <c r="VI509" s="166"/>
      <c r="VJ509" s="166"/>
      <c r="VK509" s="166"/>
      <c r="VL509" s="166"/>
      <c r="VM509" s="166"/>
      <c r="VN509" s="166"/>
      <c r="VO509" s="166"/>
      <c r="VP509" s="166"/>
      <c r="VQ509" s="166"/>
      <c r="VR509" s="166"/>
      <c r="VS509" s="166"/>
      <c r="VT509" s="166"/>
      <c r="VU509" s="166"/>
      <c r="VV509" s="166"/>
      <c r="VW509" s="166"/>
      <c r="VX509" s="166"/>
      <c r="VY509" s="166"/>
      <c r="VZ509" s="166"/>
      <c r="WA509" s="166"/>
      <c r="WB509" s="166"/>
      <c r="WC509" s="166"/>
      <c r="WD509" s="166"/>
      <c r="WE509" s="166"/>
      <c r="WF509" s="166"/>
      <c r="WG509" s="166"/>
      <c r="WH509" s="166"/>
      <c r="WI509" s="166"/>
      <c r="WJ509" s="166"/>
      <c r="WK509" s="166"/>
      <c r="WL509" s="166"/>
      <c r="WM509" s="166"/>
      <c r="WN509" s="166"/>
      <c r="WO509" s="166"/>
      <c r="WP509" s="166"/>
      <c r="WQ509" s="166"/>
      <c r="WR509" s="166"/>
      <c r="WS509" s="166"/>
      <c r="WT509" s="166"/>
      <c r="WU509" s="166"/>
      <c r="WV509" s="166"/>
      <c r="WW509" s="166"/>
      <c r="WX509" s="166"/>
      <c r="WY509" s="166"/>
      <c r="WZ509" s="166"/>
      <c r="XA509" s="166"/>
      <c r="XB509" s="166"/>
      <c r="XC509" s="166"/>
      <c r="XD509" s="166"/>
      <c r="XE509" s="166"/>
      <c r="XF509" s="166"/>
      <c r="XG509" s="166"/>
      <c r="XH509" s="166"/>
      <c r="XI509" s="166"/>
      <c r="XJ509" s="166"/>
      <c r="XK509" s="166"/>
      <c r="XL509" s="166"/>
      <c r="XM509" s="166"/>
      <c r="XN509" s="166"/>
      <c r="XO509" s="166"/>
      <c r="XP509" s="166"/>
      <c r="XQ509" s="166"/>
      <c r="XR509" s="166"/>
      <c r="XS509" s="166"/>
      <c r="XT509" s="166"/>
      <c r="XU509" s="166"/>
      <c r="XV509" s="166"/>
      <c r="XW509" s="166"/>
      <c r="XX509" s="166"/>
      <c r="XY509" s="166"/>
      <c r="XZ509" s="166"/>
      <c r="YA509" s="166"/>
      <c r="YB509" s="166"/>
      <c r="YC509" s="166"/>
      <c r="YD509" s="166"/>
      <c r="YE509" s="166"/>
      <c r="YF509" s="166"/>
      <c r="YG509" s="166"/>
      <c r="YH509" s="166"/>
      <c r="YI509" s="166"/>
      <c r="YJ509" s="166"/>
      <c r="YK509" s="166"/>
      <c r="YL509" s="166"/>
      <c r="YM509" s="166"/>
      <c r="YN509" s="166"/>
      <c r="YO509" s="166"/>
      <c r="YP509" s="166"/>
      <c r="YQ509" s="166"/>
      <c r="YR509" s="166"/>
      <c r="YS509" s="166"/>
      <c r="YT509" s="166"/>
      <c r="YU509" s="166"/>
      <c r="YV509" s="166"/>
      <c r="YW509" s="166"/>
      <c r="YX509" s="166"/>
      <c r="YY509" s="166"/>
      <c r="YZ509" s="166"/>
      <c r="ZA509" s="166"/>
      <c r="ZB509" s="166"/>
      <c r="ZC509" s="166"/>
      <c r="ZD509" s="166"/>
      <c r="ZE509" s="166"/>
      <c r="ZF509" s="166"/>
      <c r="ZG509" s="166"/>
      <c r="ZH509" s="166"/>
      <c r="ZI509" s="166"/>
      <c r="ZJ509" s="166"/>
      <c r="ZK509" s="166"/>
      <c r="ZL509" s="166"/>
      <c r="ZM509" s="166"/>
      <c r="ZN509" s="166"/>
      <c r="ZO509" s="166"/>
      <c r="ZP509" s="166"/>
      <c r="ZQ509" s="166"/>
      <c r="ZR509" s="166"/>
      <c r="ZS509" s="166"/>
      <c r="ZT509" s="166"/>
      <c r="ZU509" s="166"/>
      <c r="ZV509" s="166"/>
      <c r="ZW509" s="166"/>
      <c r="ZX509" s="166"/>
      <c r="ZY509" s="166"/>
      <c r="ZZ509" s="166"/>
      <c r="AAA509" s="166"/>
      <c r="AAB509" s="166"/>
      <c r="AAC509" s="166"/>
      <c r="AAD509" s="166"/>
      <c r="AAE509" s="166"/>
      <c r="AAF509" s="166"/>
      <c r="AAG509" s="166"/>
      <c r="AAH509" s="166"/>
      <c r="AAI509" s="166"/>
      <c r="AAJ509" s="166"/>
      <c r="AAK509" s="166"/>
      <c r="AAL509" s="166"/>
      <c r="AAM509" s="166"/>
      <c r="AAN509" s="166"/>
      <c r="AAO509" s="166"/>
      <c r="AAP509" s="166"/>
      <c r="AAQ509" s="166"/>
      <c r="AAR509" s="166"/>
      <c r="AAS509" s="166"/>
      <c r="AAT509" s="166"/>
      <c r="AAU509" s="166"/>
      <c r="AAV509" s="166"/>
      <c r="AAW509" s="166"/>
      <c r="AAX509" s="166"/>
      <c r="AAY509" s="166"/>
      <c r="AAZ509" s="166"/>
      <c r="ABA509" s="166"/>
      <c r="ABB509" s="166"/>
      <c r="ABC509" s="166"/>
      <c r="ABD509" s="166"/>
      <c r="ABE509" s="166"/>
      <c r="ABF509" s="166"/>
      <c r="ABG509" s="166"/>
      <c r="ABH509" s="166"/>
      <c r="ABI509" s="166"/>
      <c r="ABJ509" s="166"/>
      <c r="ABK509" s="166"/>
      <c r="ABL509" s="166"/>
      <c r="ABM509" s="166"/>
      <c r="ABN509" s="166"/>
      <c r="ABO509" s="166"/>
      <c r="ABP509" s="166"/>
      <c r="ABQ509" s="166"/>
      <c r="ABR509" s="166"/>
      <c r="ABS509" s="166"/>
      <c r="ABT509" s="166"/>
      <c r="ABU509" s="166"/>
      <c r="ABV509" s="166"/>
      <c r="ABW509" s="166"/>
      <c r="ABX509" s="166"/>
      <c r="ABY509" s="166"/>
      <c r="ABZ509" s="166"/>
      <c r="ACA509" s="166"/>
      <c r="ACB509" s="166"/>
      <c r="ACC509" s="166"/>
      <c r="ACD509" s="166"/>
      <c r="ACE509" s="166"/>
      <c r="ACF509" s="166"/>
      <c r="ACG509" s="166"/>
      <c r="ACH509" s="166"/>
      <c r="ACI509" s="166"/>
      <c r="ACJ509" s="166"/>
      <c r="ACK509" s="166"/>
      <c r="ACL509" s="166"/>
      <c r="ACM509" s="166"/>
      <c r="ACN509" s="166"/>
      <c r="ACO509" s="166"/>
      <c r="ACP509" s="166"/>
      <c r="ACQ509" s="166"/>
      <c r="ACR509" s="166"/>
      <c r="ACS509" s="166"/>
      <c r="ACT509" s="166"/>
      <c r="ACU509" s="166"/>
      <c r="ACV509" s="166"/>
      <c r="ACW509" s="166"/>
      <c r="ACX509" s="166"/>
      <c r="ACY509" s="166"/>
      <c r="ACZ509" s="166"/>
      <c r="ADA509" s="166"/>
      <c r="ADB509" s="166"/>
      <c r="ADC509" s="166"/>
      <c r="ADD509" s="166"/>
      <c r="ADE509" s="166"/>
      <c r="ADF509" s="166"/>
      <c r="ADG509" s="166"/>
      <c r="ADH509" s="166"/>
      <c r="ADI509" s="166"/>
      <c r="ADJ509" s="166"/>
      <c r="ADK509" s="166"/>
      <c r="ADL509" s="166"/>
      <c r="ADM509" s="166"/>
      <c r="ADN509" s="166"/>
      <c r="ADO509" s="166"/>
      <c r="ADP509" s="166"/>
      <c r="ADQ509" s="166"/>
      <c r="ADR509" s="166"/>
      <c r="ADS509" s="166"/>
      <c r="ADT509" s="166"/>
      <c r="ADU509" s="166"/>
      <c r="ADV509" s="166"/>
      <c r="ADW509" s="166"/>
      <c r="ADX509" s="166"/>
      <c r="ADY509" s="166"/>
      <c r="ADZ509" s="166"/>
      <c r="AEA509" s="166"/>
      <c r="AEB509" s="166"/>
      <c r="AEC509" s="166"/>
      <c r="AED509" s="166"/>
      <c r="AEE509" s="166"/>
      <c r="AEF509" s="166"/>
      <c r="AEG509" s="166"/>
      <c r="AEH509" s="166"/>
      <c r="AEI509" s="166"/>
      <c r="AEJ509" s="166"/>
      <c r="AEK509" s="166"/>
      <c r="AEL509" s="166"/>
      <c r="AEM509" s="166"/>
      <c r="AEN509" s="166"/>
      <c r="AEO509" s="166"/>
      <c r="AEP509" s="166"/>
      <c r="AEQ509" s="166"/>
      <c r="AER509" s="166"/>
      <c r="AES509" s="166"/>
      <c r="AET509" s="166"/>
      <c r="AEU509" s="166"/>
      <c r="AEV509" s="166"/>
      <c r="AEW509" s="166"/>
      <c r="AEX509" s="166"/>
      <c r="AEY509" s="166"/>
      <c r="AEZ509" s="166"/>
      <c r="AFA509" s="166"/>
      <c r="AFB509" s="166"/>
      <c r="AFC509" s="166"/>
      <c r="AFD509" s="166"/>
      <c r="AFE509" s="166"/>
      <c r="AFF509" s="166"/>
      <c r="AFG509" s="166"/>
      <c r="AFH509" s="166"/>
      <c r="AFI509" s="166"/>
      <c r="AFJ509" s="166"/>
      <c r="AFK509" s="166"/>
      <c r="AFL509" s="166"/>
      <c r="AFM509" s="166"/>
      <c r="AFN509" s="166"/>
      <c r="AFO509" s="166"/>
      <c r="AFP509" s="166"/>
      <c r="AFQ509" s="166"/>
      <c r="AFR509" s="166"/>
      <c r="AFS509" s="166"/>
      <c r="AFT509" s="166"/>
      <c r="AFU509" s="166"/>
      <c r="AFV509" s="166"/>
      <c r="AFW509" s="166"/>
      <c r="AFX509" s="166"/>
      <c r="AFY509" s="166"/>
      <c r="AFZ509" s="166"/>
      <c r="AGA509" s="166"/>
      <c r="AGB509" s="166"/>
      <c r="AGC509" s="166"/>
      <c r="AGD509" s="166"/>
      <c r="AGE509" s="166"/>
      <c r="AGF509" s="166"/>
      <c r="AGG509" s="166"/>
      <c r="AGH509" s="166"/>
      <c r="AGI509" s="166"/>
      <c r="AGJ509" s="166"/>
      <c r="AGK509" s="166"/>
      <c r="AGL509" s="166"/>
      <c r="AGM509" s="166"/>
      <c r="AGN509" s="166"/>
      <c r="AGO509" s="166"/>
      <c r="AGP509" s="166"/>
      <c r="AGQ509" s="166"/>
      <c r="AGR509" s="166"/>
      <c r="AGS509" s="166"/>
      <c r="AGT509" s="166"/>
      <c r="AGU509" s="166"/>
      <c r="AGV509" s="166"/>
      <c r="AGW509" s="166"/>
      <c r="AGX509" s="166"/>
      <c r="AGY509" s="166"/>
      <c r="AGZ509" s="166"/>
      <c r="AHA509" s="166"/>
      <c r="AHB509" s="166"/>
      <c r="AHC509" s="166"/>
      <c r="AHD509" s="166"/>
      <c r="AHE509" s="166"/>
      <c r="AHF509" s="166"/>
      <c r="AHG509" s="166"/>
      <c r="AHH509" s="166"/>
      <c r="AHI509" s="166"/>
      <c r="AHJ509" s="166"/>
      <c r="AHK509" s="166"/>
      <c r="AHL509" s="166"/>
      <c r="AHM509" s="166"/>
      <c r="AHN509" s="166"/>
      <c r="AHO509" s="166"/>
      <c r="AHP509" s="166"/>
      <c r="AHQ509" s="166"/>
      <c r="AHR509" s="166"/>
      <c r="AHS509" s="166"/>
      <c r="AHT509" s="166"/>
      <c r="AHU509" s="166"/>
      <c r="AHV509" s="166"/>
      <c r="AHW509" s="166"/>
      <c r="AHX509" s="166"/>
      <c r="AHY509" s="166"/>
      <c r="AHZ509" s="166"/>
      <c r="AIA509" s="166"/>
      <c r="AIB509" s="166"/>
      <c r="AIC509" s="166"/>
      <c r="AID509" s="166"/>
      <c r="AIE509" s="166"/>
      <c r="AIF509" s="166"/>
      <c r="AIG509" s="166"/>
      <c r="AIH509" s="166"/>
      <c r="AII509" s="166"/>
      <c r="AIJ509" s="166"/>
      <c r="AIK509" s="166"/>
      <c r="AIL509" s="166"/>
      <c r="AIM509" s="166"/>
      <c r="AIN509" s="166"/>
      <c r="AIO509" s="166"/>
      <c r="AIP509" s="166"/>
      <c r="AIQ509" s="166"/>
      <c r="AIR509" s="166"/>
      <c r="AIS509" s="166"/>
      <c r="AIT509" s="166"/>
      <c r="AIU509" s="166"/>
      <c r="AIV509" s="166"/>
      <c r="AIW509" s="166"/>
      <c r="AIX509" s="166"/>
      <c r="AIY509" s="166"/>
      <c r="AIZ509" s="166"/>
      <c r="AJA509" s="166"/>
      <c r="AJB509" s="166"/>
      <c r="AJC509" s="166"/>
      <c r="AJD509" s="166"/>
      <c r="AJE509" s="166"/>
      <c r="AJF509" s="166"/>
      <c r="AJG509" s="166"/>
      <c r="AJH509" s="166"/>
      <c r="AJI509" s="166"/>
      <c r="AJJ509" s="166"/>
      <c r="AJK509" s="166"/>
      <c r="AJL509" s="166"/>
      <c r="AJM509" s="166"/>
      <c r="AJN509" s="166"/>
      <c r="AJO509" s="166"/>
      <c r="AJP509" s="166"/>
      <c r="AJQ509" s="166"/>
      <c r="AJR509" s="166"/>
      <c r="AJS509" s="166"/>
      <c r="AJT509" s="166"/>
      <c r="AJU509" s="166"/>
      <c r="AJV509" s="166"/>
      <c r="AJW509" s="166"/>
      <c r="AJX509" s="166"/>
      <c r="AJY509" s="166"/>
      <c r="AJZ509" s="166"/>
      <c r="AKA509" s="166"/>
      <c r="AKB509" s="166"/>
      <c r="AKC509" s="166"/>
      <c r="AKD509" s="166"/>
      <c r="AKE509" s="166"/>
      <c r="AKF509" s="166"/>
      <c r="AKG509" s="166"/>
      <c r="AKH509" s="166"/>
      <c r="AKI509" s="166"/>
      <c r="AKJ509" s="166"/>
      <c r="AKK509" s="166"/>
      <c r="AKL509" s="166"/>
      <c r="AKM509" s="166"/>
      <c r="AKN509" s="166"/>
      <c r="AKO509" s="166"/>
      <c r="AKP509" s="166"/>
      <c r="AKQ509" s="166"/>
      <c r="AKR509" s="166"/>
      <c r="AKS509" s="166"/>
      <c r="AKT509" s="166"/>
      <c r="AKU509" s="166"/>
      <c r="AKV509" s="166"/>
      <c r="AKW509" s="166"/>
      <c r="AKX509" s="166"/>
      <c r="AKY509" s="166"/>
      <c r="AKZ509" s="166"/>
      <c r="ALA509" s="166"/>
      <c r="ALB509" s="166"/>
      <c r="ALC509" s="166"/>
      <c r="ALD509" s="166"/>
      <c r="ALE509" s="166"/>
      <c r="ALF509" s="166"/>
      <c r="ALG509" s="166"/>
      <c r="ALH509" s="166"/>
      <c r="ALI509" s="166"/>
      <c r="ALJ509" s="166"/>
      <c r="ALK509" s="166"/>
      <c r="ALL509" s="166"/>
      <c r="ALM509" s="166"/>
      <c r="ALN509" s="166"/>
      <c r="ALO509" s="166"/>
      <c r="ALP509" s="166"/>
      <c r="ALQ509" s="166"/>
      <c r="ALR509" s="166"/>
      <c r="ALS509" s="166"/>
      <c r="ALT509" s="166"/>
      <c r="ALU509" s="166"/>
      <c r="ALV509" s="166"/>
      <c r="ALW509" s="166"/>
      <c r="ALX509" s="166"/>
      <c r="ALY509" s="166"/>
      <c r="ALZ509" s="166"/>
      <c r="AMA509" s="166"/>
      <c r="AMB509" s="166"/>
      <c r="AMC509" s="166"/>
      <c r="AMD509" s="166"/>
      <c r="AME509" s="166"/>
      <c r="AMF509" s="166"/>
      <c r="AMG509" s="166"/>
      <c r="AMH509" s="166"/>
      <c r="AMI509" s="166"/>
      <c r="AMJ509" s="166"/>
    </row>
    <row r="510" customFormat="false" ht="12.8" hidden="false" customHeight="false" outlineLevel="0" collapsed="false">
      <c r="A510" s="108" t="s">
        <v>210</v>
      </c>
      <c r="B510" s="109"/>
      <c r="C510" s="109"/>
      <c r="D510" s="38"/>
      <c r="E510" s="110"/>
      <c r="F510" s="122" t="n">
        <f aca="false">+F508</f>
        <v>1283.33333333333</v>
      </c>
    </row>
    <row r="512" customFormat="false" ht="12.8" hidden="false" customHeight="false" outlineLevel="0" collapsed="false">
      <c r="A512" s="159" t="s">
        <v>211</v>
      </c>
      <c r="B512" s="65"/>
      <c r="C512" s="65"/>
      <c r="D512" s="25"/>
      <c r="E512" s="25"/>
      <c r="F512" s="84"/>
    </row>
    <row r="514" customFormat="false" ht="12.8" hidden="false" customHeight="false" outlineLevel="0" collapsed="false">
      <c r="A514" s="70" t="s">
        <v>16</v>
      </c>
      <c r="B514" s="71" t="s">
        <v>17</v>
      </c>
      <c r="C514" s="71" t="s">
        <v>9</v>
      </c>
      <c r="D514" s="72" t="s">
        <v>18</v>
      </c>
      <c r="E514" s="72" t="s">
        <v>19</v>
      </c>
      <c r="F514" s="73" t="s">
        <v>20</v>
      </c>
    </row>
    <row r="515" customFormat="false" ht="12.8" hidden="false" customHeight="false" outlineLevel="0" collapsed="false">
      <c r="A515" s="78" t="s">
        <v>212</v>
      </c>
      <c r="B515" s="161" t="s">
        <v>65</v>
      </c>
      <c r="C515" s="117" t="n">
        <f aca="false">'Estimativa Pesagem Ticket'!C3</f>
        <v>127</v>
      </c>
      <c r="D515" s="106" t="n">
        <f aca="false">'VALORES BASE'!B36</f>
        <v>30</v>
      </c>
      <c r="E515" s="81" t="n">
        <f aca="false">+D515*C515</f>
        <v>3810</v>
      </c>
      <c r="F515" s="126"/>
    </row>
    <row r="516" customFormat="false" ht="12.8" hidden="false" customHeight="false" outlineLevel="0" collapsed="false">
      <c r="A516" s="164"/>
      <c r="B516" s="164"/>
      <c r="C516" s="164"/>
      <c r="D516" s="88"/>
      <c r="E516" s="88"/>
      <c r="F516" s="122" t="n">
        <f aca="false">E515</f>
        <v>3810</v>
      </c>
    </row>
    <row r="518" customFormat="false" ht="12.8" hidden="false" customHeight="false" outlineLevel="0" collapsed="false">
      <c r="A518" s="108" t="s">
        <v>213</v>
      </c>
      <c r="B518" s="109"/>
      <c r="C518" s="109"/>
      <c r="D518" s="38"/>
      <c r="E518" s="110"/>
      <c r="F518" s="122" t="n">
        <f aca="false">+F516</f>
        <v>3810</v>
      </c>
    </row>
    <row r="522" customFormat="false" ht="12.8" hidden="false" customHeight="false" outlineLevel="0" collapsed="false">
      <c r="A522" s="108" t="s">
        <v>214</v>
      </c>
      <c r="B522" s="119"/>
      <c r="C522" s="119"/>
      <c r="D522" s="120"/>
      <c r="E522" s="121"/>
      <c r="F522" s="105" t="n">
        <f aca="false">+F206+F256+F486+F499+F510+F518</f>
        <v>290100.163876412</v>
      </c>
    </row>
    <row r="524" customFormat="false" ht="12.8" hidden="false" customHeight="false" outlineLevel="0" collapsed="false">
      <c r="A524" s="26" t="s">
        <v>215</v>
      </c>
    </row>
    <row r="526" customFormat="false" ht="12.8" hidden="false" customHeight="false" outlineLevel="0" collapsed="false">
      <c r="A526" s="70" t="s">
        <v>16</v>
      </c>
      <c r="B526" s="71" t="s">
        <v>17</v>
      </c>
      <c r="C526" s="71" t="s">
        <v>9</v>
      </c>
      <c r="D526" s="72" t="s">
        <v>18</v>
      </c>
      <c r="E526" s="72" t="s">
        <v>19</v>
      </c>
      <c r="F526" s="73" t="s">
        <v>20</v>
      </c>
    </row>
    <row r="527" customFormat="false" ht="12.8" hidden="false" customHeight="false" outlineLevel="0" collapsed="false">
      <c r="A527" s="74" t="s">
        <v>216</v>
      </c>
      <c r="B527" s="75" t="s">
        <v>5</v>
      </c>
      <c r="C527" s="86" t="n">
        <f aca="false">'4.BDI'!C13*100</f>
        <v>27.14</v>
      </c>
      <c r="D527" s="77" t="n">
        <f aca="false">+F522</f>
        <v>290100.163876412</v>
      </c>
      <c r="E527" s="77" t="n">
        <f aca="false">C527*D527/100</f>
        <v>78733.1844760582</v>
      </c>
    </row>
    <row r="528" customFormat="false" ht="12.8" hidden="false" customHeight="false" outlineLevel="0" collapsed="false">
      <c r="F528" s="122" t="n">
        <f aca="false">+E527</f>
        <v>78733.1844760582</v>
      </c>
    </row>
    <row r="529" customFormat="false" ht="11.25" hidden="false" customHeight="true" outlineLevel="0" collapsed="false"/>
    <row r="530" customFormat="false" ht="12.8" hidden="false" customHeight="false" outlineLevel="0" collapsed="false">
      <c r="A530" s="108" t="s">
        <v>217</v>
      </c>
      <c r="B530" s="119"/>
      <c r="C530" s="119"/>
      <c r="D530" s="120"/>
      <c r="E530" s="121"/>
      <c r="F530" s="105" t="n">
        <f aca="false">F528</f>
        <v>78733.1844760582</v>
      </c>
    </row>
    <row r="531" customFormat="false" ht="12.8" hidden="false" customHeight="false" outlineLevel="0" collapsed="false">
      <c r="A531" s="65"/>
      <c r="B531" s="65"/>
      <c r="C531" s="65"/>
      <c r="D531" s="25"/>
      <c r="E531" s="25"/>
      <c r="F531" s="84"/>
    </row>
    <row r="533" customFormat="false" ht="12.8" hidden="false" customHeight="false" outlineLevel="0" collapsed="false">
      <c r="A533" s="108" t="s">
        <v>218</v>
      </c>
      <c r="B533" s="119"/>
      <c r="C533" s="119"/>
      <c r="D533" s="120"/>
      <c r="E533" s="121"/>
      <c r="F533" s="167" t="n">
        <f aca="false">F522+F530</f>
        <v>368833.34835247</v>
      </c>
    </row>
    <row r="534" customFormat="false" ht="15" hidden="false" customHeight="false" outlineLevel="0" collapsed="false">
      <c r="A534" s="168"/>
      <c r="B534" s="168"/>
      <c r="C534" s="168"/>
      <c r="D534" s="169"/>
      <c r="E534" s="169"/>
      <c r="F534" s="169"/>
    </row>
    <row r="535" customFormat="false" ht="12.8" hidden="false" customHeight="false" outlineLevel="0" collapsed="false">
      <c r="A535" s="170" t="s">
        <v>219</v>
      </c>
      <c r="B535" s="171"/>
      <c r="C535" s="171"/>
      <c r="D535" s="172" t="n">
        <f aca="false">'SERIE HISTORICA'!C14</f>
        <v>640.915833333333</v>
      </c>
      <c r="E535" s="173" t="s">
        <v>220</v>
      </c>
    </row>
    <row r="537" customFormat="false" ht="12.8" hidden="false" customHeight="false" outlineLevel="0" collapsed="false">
      <c r="A537" s="108" t="s">
        <v>221</v>
      </c>
      <c r="B537" s="109"/>
      <c r="C537" s="109"/>
      <c r="D537" s="38"/>
      <c r="E537" s="174" t="s">
        <v>222</v>
      </c>
      <c r="F537" s="175" t="n">
        <f aca="false">IFERROR(F533/D535,"-")</f>
        <v>575.478602914533</v>
      </c>
    </row>
    <row r="547" customFormat="false" ht="12.8" hidden="false" customHeight="true" outlineLevel="0" collapsed="false"/>
    <row r="552" customFormat="false" ht="12.8" hidden="false" customHeight="true" outlineLevel="0" collapsed="false"/>
    <row r="564" customFormat="false" ht="9" hidden="false" customHeight="true" outlineLevel="0" collapsed="false"/>
  </sheetData>
  <mergeCells count="7">
    <mergeCell ref="A2:F2"/>
    <mergeCell ref="A3:F3"/>
    <mergeCell ref="A5:F5"/>
    <mergeCell ref="A20:C20"/>
    <mergeCell ref="A29:E29"/>
    <mergeCell ref="A30:D30"/>
    <mergeCell ref="A39:D39"/>
  </mergeCells>
  <hyperlinks>
    <hyperlink ref="A262" location="AbaDeprec" display="3.1.1. Depreciação"/>
    <hyperlink ref="A278" location="AbaRemun" display="3.1.2. Remuneração do Capital"/>
  </hyperlink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4" manualBreakCount="4">
    <brk id="44" man="true" max="16383" min="0"/>
    <brk id="159" man="true" max="16383" min="0"/>
    <brk id="257" man="true" max="16383" min="0"/>
    <brk id="325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J470"/>
  <sheetViews>
    <sheetView showFormulas="false" showGridLines="true" showRowColHeaders="true" showZeros="true" rightToLeft="false" tabSelected="false" showOutlineSymbols="true" defaultGridColor="true" view="pageBreakPreview" topLeftCell="A418" colorId="64" zoomScale="100" zoomScaleNormal="100" zoomScalePageLayoutView="100" workbookViewId="0">
      <selection pane="topLeft" activeCell="F446" activeCellId="0" sqref="F446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" width="50.83"/>
    <col collapsed="false" customWidth="true" hidden="false" outlineLevel="0" max="2" min="2" style="1" width="18.71"/>
    <col collapsed="false" customWidth="true" hidden="false" outlineLevel="0" max="3" min="3" style="1" width="32.75"/>
    <col collapsed="false" customWidth="true" hidden="false" outlineLevel="0" max="4" min="4" style="2" width="21.32"/>
    <col collapsed="false" customWidth="true" hidden="false" outlineLevel="0" max="5" min="5" style="2" width="17.88"/>
    <col collapsed="false" customWidth="true" hidden="false" outlineLevel="0" max="6" min="6" style="2" width="15.19"/>
    <col collapsed="false" customWidth="true" hidden="false" outlineLevel="0" max="7" min="7" style="2" width="28.17"/>
    <col collapsed="false" customWidth="true" hidden="false" outlineLevel="0" max="8" min="8" style="1" width="9.14"/>
    <col collapsed="false" customWidth="true" hidden="false" outlineLevel="0" max="9" min="9" style="1" width="14.59"/>
    <col collapsed="false" customWidth="true" hidden="false" outlineLevel="0" max="10" min="10" style="1" width="13.44"/>
    <col collapsed="false" customWidth="true" hidden="false" outlineLevel="0" max="64" min="11" style="1" width="9.14"/>
    <col collapsed="false" customWidth="true" hidden="false" outlineLevel="0" max="1024" min="65" style="3" width="9.14"/>
  </cols>
  <sheetData>
    <row r="1" customFormat="false" ht="16.5" hidden="false" customHeight="true" outlineLevel="0" collapsed="false">
      <c r="B1" s="176"/>
      <c r="C1" s="176"/>
      <c r="D1" s="11"/>
      <c r="E1" s="11"/>
      <c r="F1" s="11"/>
      <c r="G1" s="11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</row>
    <row r="2" customFormat="false" ht="17.35" hidden="false" customHeight="false" outlineLevel="0" collapsed="false">
      <c r="A2" s="5" t="s">
        <v>223</v>
      </c>
      <c r="B2" s="5"/>
      <c r="C2" s="5"/>
      <c r="D2" s="5"/>
      <c r="E2" s="5"/>
      <c r="F2" s="5"/>
      <c r="G2" s="6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</row>
    <row r="3" customFormat="false" ht="21.75" hidden="false" customHeight="true" outlineLevel="0" collapsed="false">
      <c r="A3" s="8" t="s">
        <v>1</v>
      </c>
      <c r="B3" s="8"/>
      <c r="C3" s="8"/>
      <c r="D3" s="8"/>
      <c r="E3" s="8"/>
      <c r="F3" s="8"/>
      <c r="G3" s="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</row>
    <row r="4" customFormat="false" ht="10.9" hidden="false" customHeight="true" outlineLevel="0" collapsed="false">
      <c r="A4" s="9"/>
      <c r="B4" s="10"/>
      <c r="C4" s="10"/>
      <c r="D4" s="11"/>
      <c r="E4" s="11"/>
      <c r="F4" s="12"/>
      <c r="G4" s="11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</row>
    <row r="5" customFormat="false" ht="15.75" hidden="false" customHeight="true" outlineLevel="0" collapsed="false">
      <c r="A5" s="14" t="s">
        <v>2</v>
      </c>
      <c r="B5" s="14"/>
      <c r="C5" s="14"/>
      <c r="D5" s="14"/>
      <c r="E5" s="14"/>
      <c r="F5" s="14"/>
      <c r="G5" s="11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</row>
    <row r="6" customFormat="false" ht="15.75" hidden="false" customHeight="true" outlineLevel="0" collapsed="false">
      <c r="A6" s="15" t="s">
        <v>3</v>
      </c>
      <c r="B6" s="16"/>
      <c r="C6" s="16"/>
      <c r="D6" s="17"/>
      <c r="E6" s="18" t="s">
        <v>4</v>
      </c>
      <c r="F6" s="19" t="s">
        <v>5</v>
      </c>
      <c r="G6" s="11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</row>
    <row r="7" customFormat="false" ht="15.75" hidden="false" customHeight="true" outlineLevel="0" collapsed="false">
      <c r="A7" s="20" t="str">
        <f aca="false">A42</f>
        <v>1. Mão-de-obra</v>
      </c>
      <c r="B7" s="21"/>
      <c r="C7" s="22"/>
      <c r="D7" s="22"/>
      <c r="E7" s="23" t="n">
        <f aca="false">+F167</f>
        <v>86935.9418269738</v>
      </c>
      <c r="F7" s="24" t="n">
        <f aca="false">IFERROR(E7/$E$25,0)</f>
        <v>0.42602636414068</v>
      </c>
      <c r="G7" s="25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</row>
    <row r="8" customFormat="false" ht="15.75" hidden="false" customHeight="true" outlineLevel="0" collapsed="false">
      <c r="A8" s="27" t="str">
        <f aca="false">A44</f>
        <v>1.1. Coletor Turno Dia</v>
      </c>
      <c r="B8" s="28"/>
      <c r="C8" s="29"/>
      <c r="D8" s="29"/>
      <c r="E8" s="30" t="n">
        <f aca="false">F55</f>
        <v>48654.4013643031</v>
      </c>
      <c r="F8" s="31" t="n">
        <f aca="false">IFERROR(E8/$E$25,0)</f>
        <v>0.238429092468221</v>
      </c>
      <c r="G8" s="11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</row>
    <row r="9" customFormat="false" ht="15.75" hidden="true" customHeight="true" outlineLevel="0" collapsed="false">
      <c r="A9" s="27" t="str">
        <f aca="false">A57</f>
        <v>1.2. Coletor Turno Noite</v>
      </c>
      <c r="B9" s="28"/>
      <c r="C9" s="29"/>
      <c r="D9" s="29"/>
      <c r="E9" s="30" t="n">
        <f aca="false">F74</f>
        <v>0</v>
      </c>
      <c r="F9" s="31" t="n">
        <f aca="false">IFERROR(E9/$E$25,0)</f>
        <v>0</v>
      </c>
      <c r="G9" s="11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</row>
    <row r="10" customFormat="false" ht="15.75" hidden="false" customHeight="true" outlineLevel="0" collapsed="false">
      <c r="A10" s="27" t="str">
        <f aca="false">A76</f>
        <v>1.2. Motorista Turno do Dia ( 3 caminhões )</v>
      </c>
      <c r="B10" s="28"/>
      <c r="C10" s="29"/>
      <c r="D10" s="29"/>
      <c r="E10" s="30" t="n">
        <f aca="false">F89</f>
        <v>20363.6678626707</v>
      </c>
      <c r="F10" s="31" t="n">
        <f aca="false">IFERROR(E10/$E$25,0)</f>
        <v>0.099791400401097</v>
      </c>
      <c r="G10" s="11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customFormat="false" ht="15.75" hidden="true" customHeight="true" outlineLevel="0" collapsed="false">
      <c r="A11" s="27" t="str">
        <f aca="false">A106</f>
        <v>1.4. Motorista Turno Noite</v>
      </c>
      <c r="B11" s="28"/>
      <c r="C11" s="29"/>
      <c r="D11" s="29"/>
      <c r="E11" s="30" t="n">
        <f aca="false">F125</f>
        <v>0</v>
      </c>
      <c r="F11" s="31" t="n">
        <f aca="false">IFERROR(E11/$E$25,0)</f>
        <v>0</v>
      </c>
      <c r="G11" s="11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customFormat="false" ht="15.75" hidden="true" customHeight="true" outlineLevel="0" collapsed="false">
      <c r="A12" s="27" t="str">
        <f aca="false">A91</f>
        <v>1.3 Motorista Turno do Dia (1 veículo de médio porte )</v>
      </c>
      <c r="B12" s="28"/>
      <c r="C12" s="29"/>
      <c r="D12" s="29"/>
      <c r="E12" s="30" t="n">
        <f aca="false">F104</f>
        <v>0</v>
      </c>
      <c r="F12" s="31" t="n">
        <f aca="false">IFERROR(E12/$E$25,0)</f>
        <v>0</v>
      </c>
      <c r="G12" s="11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</row>
    <row r="13" customFormat="false" ht="15.75" hidden="false" customHeight="true" outlineLevel="0" collapsed="false">
      <c r="A13" s="27" t="str">
        <f aca="false">A126</f>
        <v>1.4. Vale Transporte</v>
      </c>
      <c r="B13" s="28"/>
      <c r="C13" s="29"/>
      <c r="D13" s="29"/>
      <c r="E13" s="30" t="n">
        <f aca="false">F132</f>
        <v>2389.3926</v>
      </c>
      <c r="F13" s="31" t="n">
        <f aca="false">IFERROR(E13/$E$25,0)</f>
        <v>0.0117091299696118</v>
      </c>
      <c r="G13" s="11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customFormat="false" ht="15.75" hidden="false" customHeight="true" outlineLevel="0" collapsed="false">
      <c r="A14" s="27" t="str">
        <f aca="false">A134</f>
        <v>1.5. Vale-refeição (diário)</v>
      </c>
      <c r="B14" s="32"/>
      <c r="C14" s="29"/>
      <c r="D14" s="29"/>
      <c r="E14" s="30" t="n">
        <f aca="false">F138</f>
        <v>9141.6</v>
      </c>
      <c r="F14" s="31" t="n">
        <f aca="false">IFERROR(E14/$E$25,0)</f>
        <v>0.0447980723344516</v>
      </c>
      <c r="G14" s="11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</row>
    <row r="15" customFormat="false" ht="15.75" hidden="false" customHeight="true" outlineLevel="0" collapsed="false">
      <c r="A15" s="27" t="str">
        <f aca="false">A140</f>
        <v>1.6. Auxílio Alimentação (mensal)</v>
      </c>
      <c r="B15" s="28"/>
      <c r="C15" s="29"/>
      <c r="D15" s="29"/>
      <c r="E15" s="30" t="n">
        <f aca="false">SUM(F149,F144)</f>
        <v>4800</v>
      </c>
      <c r="F15" s="31" t="n">
        <f aca="false">IFERROR(E15/$E$25,0)</f>
        <v>0.0235222222811507</v>
      </c>
      <c r="G15" s="11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</row>
    <row r="16" customFormat="false" ht="15.75" hidden="false" customHeight="true" outlineLevel="0" collapsed="false">
      <c r="A16" s="27" t="str">
        <f aca="false">A150</f>
        <v>1.7. Seguro de vida em grupo</v>
      </c>
      <c r="B16" s="28"/>
      <c r="C16" s="29"/>
      <c r="D16" s="29"/>
      <c r="E16" s="30" t="n">
        <f aca="false">F154</f>
        <v>336</v>
      </c>
      <c r="F16" s="31" t="n">
        <f aca="false">IFERROR(E16/$E$25,0)</f>
        <v>0.00164655555968055</v>
      </c>
      <c r="G16" s="11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</row>
    <row r="17" customFormat="false" ht="15.75" hidden="false" customHeight="true" outlineLevel="0" collapsed="false">
      <c r="A17" s="27" t="str">
        <f aca="false">A156</f>
        <v>1.8.  Prêmio assiduidade em grupo </v>
      </c>
      <c r="B17" s="28"/>
      <c r="C17" s="29"/>
      <c r="D17" s="29"/>
      <c r="E17" s="30" t="n">
        <f aca="false">F160</f>
        <v>1021.2</v>
      </c>
      <c r="F17" s="31" t="n">
        <f aca="false">IFERROR(E17/$E$25,0)</f>
        <v>0.00500435279031482</v>
      </c>
      <c r="G17" s="11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</row>
    <row r="18" customFormat="false" ht="15.75" hidden="false" customHeight="true" outlineLevel="0" collapsed="false">
      <c r="A18" s="27" t="str">
        <f aca="false">A161</f>
        <v>1.9.  Plano de Benefício Social Familiar</v>
      </c>
      <c r="B18" s="28"/>
      <c r="C18" s="29"/>
      <c r="D18" s="29"/>
      <c r="E18" s="30" t="n">
        <f aca="false">F164</f>
        <v>229.68</v>
      </c>
      <c r="F18" s="31" t="n">
        <f aca="false">IFERROR(E18/$E$25,0)</f>
        <v>0.00112553833615306</v>
      </c>
      <c r="G18" s="11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</row>
    <row r="19" customFormat="false" ht="15.75" hidden="false" customHeight="true" outlineLevel="0" collapsed="false">
      <c r="A19" s="33" t="str">
        <f aca="false">A169</f>
        <v>2. Uniformes e Equipamentos de Proteção Individual</v>
      </c>
      <c r="B19" s="33"/>
      <c r="C19" s="33"/>
      <c r="D19" s="22"/>
      <c r="E19" s="23" t="n">
        <f aca="false">+F215</f>
        <v>4037.9175</v>
      </c>
      <c r="F19" s="24" t="n">
        <f aca="false">IFERROR(E19/$E$25,0)</f>
        <v>0.0197876652058226</v>
      </c>
      <c r="G19" s="25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</row>
    <row r="20" customFormat="false" ht="15.75" hidden="false" customHeight="true" outlineLevel="0" collapsed="false">
      <c r="A20" s="33" t="str">
        <f aca="false">A217</f>
        <v>3. Veículos e Equipamentos</v>
      </c>
      <c r="B20" s="34"/>
      <c r="C20" s="22"/>
      <c r="D20" s="22"/>
      <c r="E20" s="23" t="n">
        <f aca="false">+F393</f>
        <v>64229.0214636732</v>
      </c>
      <c r="F20" s="24" t="n">
        <f aca="false">IFERROR(E20/$E$25,0)</f>
        <v>0.314751941618609</v>
      </c>
      <c r="G20" s="25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</row>
    <row r="21" customFormat="false" ht="15.75" hidden="false" customHeight="true" outlineLevel="0" collapsed="false">
      <c r="A21" s="33" t="str">
        <f aca="false">A395</f>
        <v>4. Ferramentas e Materiais de Consumo</v>
      </c>
      <c r="B21" s="34"/>
      <c r="C21" s="22"/>
      <c r="D21" s="22"/>
      <c r="E21" s="23" t="n">
        <f aca="false">+F406</f>
        <v>1615.87166666667</v>
      </c>
      <c r="F21" s="24" t="n">
        <f aca="false">IFERROR(E21/$E$25,0)</f>
        <v>0.00791851927523894</v>
      </c>
      <c r="G21" s="25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</row>
    <row r="22" customFormat="false" ht="15.75" hidden="false" customHeight="true" outlineLevel="0" collapsed="false">
      <c r="A22" s="33" t="str">
        <f aca="false">A408</f>
        <v>5. Monitoramento da Frota</v>
      </c>
      <c r="B22" s="34"/>
      <c r="C22" s="22"/>
      <c r="D22" s="22"/>
      <c r="E22" s="23" t="n">
        <f aca="false">+F417</f>
        <v>533.333333333333</v>
      </c>
      <c r="F22" s="24" t="n">
        <f aca="false">IFERROR(E22/$E$25,0)</f>
        <v>0.00261358025346119</v>
      </c>
      <c r="G22" s="25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</row>
    <row r="23" customFormat="false" ht="15.75" hidden="false" customHeight="true" outlineLevel="0" collapsed="false">
      <c r="A23" s="33" t="str">
        <f aca="false">A419</f>
        <v>6. Pesagem</v>
      </c>
      <c r="B23" s="34"/>
      <c r="C23" s="22"/>
      <c r="D23" s="22"/>
      <c r="E23" s="23" t="n">
        <f aca="false">F423</f>
        <v>3150</v>
      </c>
      <c r="F23" s="24" t="n">
        <f aca="false">IFERROR(E23/$E$25,0)</f>
        <v>0.0154364583720052</v>
      </c>
      <c r="G23" s="25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</row>
    <row r="24" customFormat="false" ht="15.75" hidden="false" customHeight="true" outlineLevel="0" collapsed="false">
      <c r="A24" s="33" t="str">
        <f aca="false">A430</f>
        <v>7. Benefícios e Despesas Indiretas - BDI</v>
      </c>
      <c r="B24" s="34"/>
      <c r="C24" s="22"/>
      <c r="D24" s="22"/>
      <c r="E24" s="35" t="n">
        <f aca="false">+F436</f>
        <v>43560.2660835816</v>
      </c>
      <c r="F24" s="24" t="n">
        <f aca="false">IFERROR(E24/$E$25,0)</f>
        <v>0.213465471134183</v>
      </c>
      <c r="G24" s="25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</row>
    <row r="25" customFormat="false" ht="15.75" hidden="false" customHeight="true" outlineLevel="0" collapsed="false">
      <c r="A25" s="36" t="s">
        <v>6</v>
      </c>
      <c r="B25" s="37"/>
      <c r="C25" s="38"/>
      <c r="D25" s="38"/>
      <c r="E25" s="39" t="n">
        <f aca="false">E7+E19+E20+E21+E22+E24+E23</f>
        <v>204062.351874229</v>
      </c>
      <c r="F25" s="40" t="n">
        <f aca="false">F7+F19+F20+F21+F22+F24+F23</f>
        <v>1</v>
      </c>
      <c r="G25" s="11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</row>
    <row r="28" customFormat="false" ht="15" hidden="false" customHeight="true" outlineLevel="0" collapsed="false">
      <c r="A28" s="14" t="s">
        <v>7</v>
      </c>
      <c r="B28" s="14"/>
      <c r="C28" s="14"/>
      <c r="D28" s="14"/>
      <c r="E28" s="14"/>
      <c r="G28" s="11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</row>
    <row r="29" customFormat="false" ht="15" hidden="false" customHeight="true" outlineLevel="0" collapsed="false">
      <c r="A29" s="41" t="s">
        <v>8</v>
      </c>
      <c r="B29" s="41"/>
      <c r="C29" s="41"/>
      <c r="D29" s="41"/>
      <c r="E29" s="42" t="s">
        <v>9</v>
      </c>
      <c r="G29" s="11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</row>
    <row r="30" customFormat="false" ht="15" hidden="false" customHeight="true" outlineLevel="0" collapsed="false">
      <c r="A30" s="43" t="str">
        <f aca="false">+A44</f>
        <v>1.1. Coletor Turno Dia</v>
      </c>
      <c r="B30" s="44"/>
      <c r="C30" s="44"/>
      <c r="D30" s="45"/>
      <c r="E30" s="46" t="n">
        <v>9</v>
      </c>
      <c r="G30" s="11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</row>
    <row r="31" customFormat="false" ht="15" hidden="true" customHeight="true" outlineLevel="0" collapsed="false">
      <c r="A31" s="47" t="str">
        <f aca="false">+A57</f>
        <v>1.2. Coletor Turno Noite</v>
      </c>
      <c r="B31" s="48"/>
      <c r="C31" s="48"/>
      <c r="D31" s="49"/>
      <c r="E31" s="50" t="n">
        <f aca="false">C73</f>
        <v>0</v>
      </c>
      <c r="G31" s="11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</row>
    <row r="32" customFormat="false" ht="15" hidden="false" customHeight="true" outlineLevel="0" collapsed="false">
      <c r="A32" s="47" t="str">
        <f aca="false">+A76</f>
        <v>1.2. Motorista Turno do Dia ( 3 caminhões )</v>
      </c>
      <c r="B32" s="48"/>
      <c r="C32" s="48"/>
      <c r="D32" s="49"/>
      <c r="E32" s="50" t="n">
        <v>3</v>
      </c>
      <c r="G32" s="11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customFormat="false" ht="15" hidden="true" customHeight="true" outlineLevel="0" collapsed="false">
      <c r="A33" s="47" t="str">
        <f aca="false">A91</f>
        <v>1.3 Motorista Turno do Dia (1 veículo de médio porte )</v>
      </c>
      <c r="B33" s="48"/>
      <c r="C33" s="48"/>
      <c r="D33" s="49"/>
      <c r="E33" s="50" t="n">
        <v>0</v>
      </c>
      <c r="G33" s="11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customFormat="false" ht="15" hidden="true" customHeight="true" outlineLevel="0" collapsed="false">
      <c r="A34" s="47" t="str">
        <f aca="false">+A106</f>
        <v>1.4. Motorista Turno Noite</v>
      </c>
      <c r="B34" s="48"/>
      <c r="C34" s="48"/>
      <c r="D34" s="49"/>
      <c r="E34" s="50" t="n">
        <f aca="false">C124</f>
        <v>0</v>
      </c>
      <c r="G34" s="11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</row>
    <row r="35" customFormat="false" ht="15" hidden="false" customHeight="true" outlineLevel="0" collapsed="false">
      <c r="A35" s="51" t="s">
        <v>11</v>
      </c>
      <c r="B35" s="52"/>
      <c r="C35" s="52"/>
      <c r="D35" s="53"/>
      <c r="E35" s="54" t="n">
        <f aca="false">SUM(E30:E34)</f>
        <v>12</v>
      </c>
      <c r="G35" s="1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</row>
    <row r="36" customFormat="false" ht="15" hidden="false" customHeight="true" outlineLevel="0" collapsed="false">
      <c r="A36" s="55"/>
      <c r="B36" s="56"/>
      <c r="C36" s="2"/>
      <c r="E36" s="57"/>
      <c r="G36" s="11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customFormat="false" ht="15" hidden="false" customHeight="true" outlineLevel="0" collapsed="false">
      <c r="A37" s="58" t="s">
        <v>12</v>
      </c>
      <c r="B37" s="58"/>
      <c r="C37" s="58"/>
      <c r="D37" s="58"/>
      <c r="E37" s="42" t="s">
        <v>9</v>
      </c>
      <c r="F37" s="1"/>
      <c r="G37" s="11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customFormat="false" ht="15" hidden="false" customHeight="true" outlineLevel="0" collapsed="false">
      <c r="A38" s="59" t="str">
        <f aca="false">+A219</f>
        <v>3.1. Veículo Coletor Compactador 15 m³</v>
      </c>
      <c r="B38" s="60"/>
      <c r="C38" s="60"/>
      <c r="D38" s="61"/>
      <c r="E38" s="62" t="n">
        <v>3</v>
      </c>
      <c r="F38" s="1"/>
      <c r="G38" s="11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</row>
    <row r="39" customFormat="false" ht="12.8" hidden="true" customHeight="false" outlineLevel="0" collapsed="false">
      <c r="A39" s="59" t="str">
        <f aca="false">A314</f>
        <v>3.2. Veículo Coletor Médio Porte</v>
      </c>
      <c r="B39" s="60"/>
      <c r="C39" s="60"/>
      <c r="D39" s="61"/>
      <c r="E39" s="62" t="n">
        <v>0</v>
      </c>
      <c r="F39" s="1"/>
      <c r="G39" s="11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customFormat="false" ht="15.75" hidden="true" customHeight="true" outlineLevel="0" collapsed="false">
      <c r="A40" s="63" t="s">
        <v>13</v>
      </c>
      <c r="B40" s="64" t="n">
        <v>0.6354</v>
      </c>
      <c r="C40" s="25"/>
      <c r="D40" s="65"/>
      <c r="E40" s="66"/>
      <c r="F40" s="26"/>
      <c r="G40" s="25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</row>
    <row r="41" customFormat="false" ht="15.75" hidden="false" customHeight="true" outlineLevel="0" collapsed="false">
      <c r="A41" s="2"/>
      <c r="B41" s="2"/>
      <c r="C41" s="2"/>
      <c r="D41" s="67"/>
      <c r="E41" s="68"/>
      <c r="F41" s="1"/>
      <c r="G41" s="11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</row>
    <row r="42" customFormat="false" ht="13.15" hidden="false" customHeight="true" outlineLevel="0" collapsed="false">
      <c r="A42" s="26" t="s">
        <v>14</v>
      </c>
    </row>
    <row r="43" customFormat="false" ht="11.25" hidden="false" customHeight="true" outlineLevel="0" collapsed="false"/>
    <row r="44" customFormat="false" ht="13.9" hidden="false" customHeight="true" outlineLevel="0" collapsed="false">
      <c r="A44" s="69" t="s">
        <v>15</v>
      </c>
    </row>
    <row r="45" customFormat="false" ht="13.9" hidden="false" customHeight="true" outlineLevel="0" collapsed="false">
      <c r="A45" s="70" t="s">
        <v>16</v>
      </c>
      <c r="B45" s="71" t="s">
        <v>17</v>
      </c>
      <c r="C45" s="71" t="s">
        <v>9</v>
      </c>
      <c r="D45" s="72" t="s">
        <v>18</v>
      </c>
      <c r="E45" s="72" t="s">
        <v>19</v>
      </c>
      <c r="F45" s="73" t="s">
        <v>20</v>
      </c>
    </row>
    <row r="46" customFormat="false" ht="13.15" hidden="false" customHeight="true" outlineLevel="0" collapsed="false">
      <c r="A46" s="74" t="s">
        <v>21</v>
      </c>
      <c r="B46" s="75" t="s">
        <v>22</v>
      </c>
      <c r="C46" s="75" t="n">
        <v>1</v>
      </c>
      <c r="D46" s="76" t="n">
        <f aca="false">'VALORES BASE'!B1</f>
        <v>2082.31</v>
      </c>
      <c r="E46" s="77" t="n">
        <f aca="false">C46*D46</f>
        <v>2082.31</v>
      </c>
    </row>
    <row r="47" customFormat="false" ht="12.8" hidden="false" customHeight="false" outlineLevel="0" collapsed="false">
      <c r="A47" s="78" t="s">
        <v>23</v>
      </c>
      <c r="B47" s="79" t="s">
        <v>24</v>
      </c>
      <c r="C47" s="80" t="n">
        <f aca="false">'VALORES BASE'!B58</f>
        <v>7.92</v>
      </c>
      <c r="D47" s="81" t="n">
        <f aca="false">D46/220*2</f>
        <v>18.9300909090909</v>
      </c>
      <c r="E47" s="81" t="n">
        <f aca="false">C47*D47</f>
        <v>149.92632</v>
      </c>
    </row>
    <row r="48" customFormat="false" ht="13.15" hidden="false" customHeight="true" outlineLevel="0" collapsed="false">
      <c r="A48" s="78" t="s">
        <v>25</v>
      </c>
      <c r="B48" s="79" t="s">
        <v>24</v>
      </c>
      <c r="C48" s="80"/>
      <c r="D48" s="81" t="n">
        <f aca="false">D46/220*1.5</f>
        <v>14.1975681818182</v>
      </c>
      <c r="E48" s="81" t="n">
        <f aca="false">C48*D48</f>
        <v>0</v>
      </c>
    </row>
    <row r="49" customFormat="false" ht="13.15" hidden="false" customHeight="true" outlineLevel="0" collapsed="false">
      <c r="A49" s="78" t="s">
        <v>26</v>
      </c>
      <c r="B49" s="79" t="s">
        <v>27</v>
      </c>
      <c r="D49" s="81" t="n">
        <f aca="false">63/302*(SUM(E47:E48))</f>
        <v>31.276020397351</v>
      </c>
      <c r="E49" s="81" t="n">
        <f aca="false">D49</f>
        <v>31.276020397351</v>
      </c>
    </row>
    <row r="50" customFormat="false" ht="12.8" hidden="false" customHeight="false" outlineLevel="0" collapsed="false">
      <c r="A50" s="78" t="s">
        <v>28</v>
      </c>
      <c r="B50" s="79" t="s">
        <v>5</v>
      </c>
      <c r="C50" s="79" t="n">
        <v>40</v>
      </c>
      <c r="D50" s="81" t="n">
        <f aca="false">SUM(E46:E49)</f>
        <v>2263.51234039735</v>
      </c>
      <c r="E50" s="81" t="n">
        <f aca="false">C50*D50/100</f>
        <v>905.404936158941</v>
      </c>
    </row>
    <row r="51" customFormat="false" ht="12.8" hidden="false" customHeight="false" outlineLevel="0" collapsed="false">
      <c r="A51" s="82" t="s">
        <v>29</v>
      </c>
      <c r="B51" s="83"/>
      <c r="C51" s="83"/>
      <c r="D51" s="84"/>
      <c r="E51" s="85" t="n">
        <f aca="false">SUM(E46:E50)</f>
        <v>3168.91727655629</v>
      </c>
    </row>
    <row r="52" customFormat="false" ht="12.8" hidden="false" customHeight="false" outlineLevel="0" collapsed="false">
      <c r="A52" s="78" t="s">
        <v>30</v>
      </c>
      <c r="B52" s="79" t="s">
        <v>5</v>
      </c>
      <c r="C52" s="86" t="n">
        <f aca="false">'2.Encargos Sociais'!$C$31*100</f>
        <v>70.595952</v>
      </c>
      <c r="D52" s="81" t="n">
        <f aca="false">E51</f>
        <v>3168.91727655629</v>
      </c>
      <c r="E52" s="81" t="n">
        <f aca="false">D52*C52/100</f>
        <v>2237.12731947739</v>
      </c>
    </row>
    <row r="53" customFormat="false" ht="12.8" hidden="false" customHeight="false" outlineLevel="0" collapsed="false">
      <c r="A53" s="82" t="s">
        <v>31</v>
      </c>
      <c r="B53" s="83"/>
      <c r="C53" s="83"/>
      <c r="D53" s="84"/>
      <c r="E53" s="85" t="n">
        <f aca="false">E51+E52</f>
        <v>5406.04459603368</v>
      </c>
    </row>
    <row r="54" customFormat="false" ht="12.8" hidden="false" customHeight="false" outlineLevel="0" collapsed="false">
      <c r="A54" s="78" t="s">
        <v>32</v>
      </c>
      <c r="B54" s="79" t="s">
        <v>33</v>
      </c>
      <c r="C54" s="87" t="n">
        <f aca="false">E30</f>
        <v>9</v>
      </c>
      <c r="D54" s="81" t="n">
        <f aca="false">E53</f>
        <v>5406.04459603368</v>
      </c>
      <c r="E54" s="81" t="n">
        <f aca="false">C54*D54</f>
        <v>48654.4013643031</v>
      </c>
      <c r="G54" s="11"/>
    </row>
    <row r="55" customFormat="false" ht="13.9" hidden="false" customHeight="true" outlineLevel="0" collapsed="false">
      <c r="D55" s="88" t="s">
        <v>34</v>
      </c>
      <c r="E55" s="89" t="n">
        <f aca="false">'FATOR FU_OFICIAL'!F19</f>
        <v>1</v>
      </c>
      <c r="F55" s="90" t="n">
        <f aca="false">E54*E55</f>
        <v>48654.4013643031</v>
      </c>
      <c r="G55" s="11"/>
    </row>
    <row r="56" customFormat="false" ht="11.25" hidden="false" customHeight="true" outlineLevel="0" collapsed="false"/>
    <row r="57" customFormat="false" ht="12.8" hidden="true" customHeight="false" outlineLevel="0" collapsed="false">
      <c r="A57" s="1" t="s">
        <v>36</v>
      </c>
    </row>
    <row r="58" customFormat="false" ht="12.8" hidden="true" customHeight="false" outlineLevel="0" collapsed="false">
      <c r="A58" s="70" t="s">
        <v>16</v>
      </c>
      <c r="B58" s="71" t="s">
        <v>17</v>
      </c>
      <c r="C58" s="71" t="s">
        <v>9</v>
      </c>
      <c r="D58" s="72" t="s">
        <v>18</v>
      </c>
      <c r="E58" s="72" t="s">
        <v>19</v>
      </c>
      <c r="F58" s="73" t="s">
        <v>20</v>
      </c>
    </row>
    <row r="59" customFormat="false" ht="12.8" hidden="true" customHeight="false" outlineLevel="0" collapsed="false">
      <c r="A59" s="74" t="s">
        <v>21</v>
      </c>
      <c r="B59" s="75" t="s">
        <v>22</v>
      </c>
      <c r="C59" s="75" t="n">
        <v>1</v>
      </c>
      <c r="D59" s="77" t="n">
        <f aca="false">D46</f>
        <v>2082.31</v>
      </c>
      <c r="E59" s="77" t="n">
        <f aca="false">C59*D59</f>
        <v>2082.31</v>
      </c>
    </row>
    <row r="60" customFormat="false" ht="12.8" hidden="true" customHeight="false" outlineLevel="0" collapsed="false">
      <c r="A60" s="78" t="s">
        <v>37</v>
      </c>
      <c r="B60" s="79" t="s">
        <v>38</v>
      </c>
      <c r="C60" s="80"/>
      <c r="D60" s="81"/>
      <c r="E60" s="81"/>
    </row>
    <row r="61" customFormat="false" ht="12.8" hidden="true" customHeight="false" outlineLevel="0" collapsed="false">
      <c r="A61" s="78"/>
      <c r="B61" s="79" t="s">
        <v>39</v>
      </c>
      <c r="C61" s="91" t="n">
        <f aca="false">C60*8/7</f>
        <v>0</v>
      </c>
      <c r="D61" s="81" t="n">
        <f aca="false">D59/220*0.2</f>
        <v>1.89300909090909</v>
      </c>
      <c r="E61" s="81" t="n">
        <f aca="false">C61*D61</f>
        <v>0</v>
      </c>
    </row>
    <row r="62" customFormat="false" ht="12.8" hidden="true" customHeight="false" outlineLevel="0" collapsed="false">
      <c r="A62" s="78" t="s">
        <v>23</v>
      </c>
      <c r="B62" s="79" t="s">
        <v>24</v>
      </c>
      <c r="C62" s="80"/>
      <c r="D62" s="81" t="n">
        <f aca="false">D59/220*2</f>
        <v>18.9300909090909</v>
      </c>
      <c r="E62" s="81" t="n">
        <f aca="false">C62*D62</f>
        <v>0</v>
      </c>
    </row>
    <row r="63" customFormat="false" ht="12.8" hidden="true" customHeight="false" outlineLevel="0" collapsed="false">
      <c r="A63" s="78" t="s">
        <v>40</v>
      </c>
      <c r="B63" s="79" t="s">
        <v>38</v>
      </c>
      <c r="C63" s="80"/>
      <c r="D63" s="81"/>
      <c r="E63" s="81"/>
    </row>
    <row r="64" customFormat="false" ht="12.8" hidden="true" customHeight="false" outlineLevel="0" collapsed="false">
      <c r="A64" s="78"/>
      <c r="B64" s="79" t="s">
        <v>39</v>
      </c>
      <c r="C64" s="91" t="n">
        <f aca="false">C63*8/7</f>
        <v>0</v>
      </c>
      <c r="D64" s="81" t="n">
        <f aca="false">D59/220*2*1.2</f>
        <v>22.7161090909091</v>
      </c>
      <c r="E64" s="81" t="n">
        <f aca="false">C64*D64</f>
        <v>0</v>
      </c>
    </row>
    <row r="65" customFormat="false" ht="12.8" hidden="true" customHeight="false" outlineLevel="0" collapsed="false">
      <c r="A65" s="78" t="s">
        <v>25</v>
      </c>
      <c r="B65" s="79" t="s">
        <v>24</v>
      </c>
      <c r="C65" s="80"/>
      <c r="D65" s="81" t="n">
        <f aca="false">D59/220*1.5</f>
        <v>14.1975681818182</v>
      </c>
      <c r="E65" s="81" t="n">
        <f aca="false">C65*D65</f>
        <v>0</v>
      </c>
    </row>
    <row r="66" customFormat="false" ht="12.8" hidden="true" customHeight="false" outlineLevel="0" collapsed="false">
      <c r="A66" s="78" t="s">
        <v>41</v>
      </c>
      <c r="B66" s="79" t="s">
        <v>38</v>
      </c>
      <c r="C66" s="80"/>
      <c r="D66" s="81"/>
      <c r="E66" s="81"/>
    </row>
    <row r="67" customFormat="false" ht="12.8" hidden="true" customHeight="false" outlineLevel="0" collapsed="false">
      <c r="A67" s="78"/>
      <c r="B67" s="79" t="s">
        <v>39</v>
      </c>
      <c r="C67" s="81" t="n">
        <f aca="false">C66*8/7</f>
        <v>0</v>
      </c>
      <c r="D67" s="81" t="n">
        <f aca="false">D59/220*1.5*1.2</f>
        <v>17.0370818181818</v>
      </c>
      <c r="E67" s="81" t="n">
        <f aca="false">C67*D67</f>
        <v>0</v>
      </c>
    </row>
    <row r="68" customFormat="false" ht="13.15" hidden="true" customHeight="true" outlineLevel="0" collapsed="false">
      <c r="A68" s="78" t="s">
        <v>26</v>
      </c>
      <c r="B68" s="79" t="s">
        <v>27</v>
      </c>
      <c r="D68" s="81" t="n">
        <f aca="false">63/302*(SUM(E62:E67))</f>
        <v>0</v>
      </c>
      <c r="E68" s="81" t="n">
        <f aca="false">D68</f>
        <v>0</v>
      </c>
    </row>
    <row r="69" customFormat="false" ht="12.8" hidden="true" customHeight="false" outlineLevel="0" collapsed="false">
      <c r="A69" s="78" t="s">
        <v>28</v>
      </c>
      <c r="B69" s="79" t="s">
        <v>5</v>
      </c>
      <c r="C69" s="79" t="n">
        <f aca="false">+C50</f>
        <v>40</v>
      </c>
      <c r="D69" s="81" t="n">
        <f aca="false">SUM(E59:E68)</f>
        <v>2082.31</v>
      </c>
      <c r="E69" s="81" t="n">
        <f aca="false">C69*D69/100</f>
        <v>832.924</v>
      </c>
    </row>
    <row r="70" customFormat="false" ht="12.8" hidden="true" customHeight="false" outlineLevel="0" collapsed="false">
      <c r="A70" s="82" t="s">
        <v>29</v>
      </c>
      <c r="B70" s="83"/>
      <c r="C70" s="83"/>
      <c r="D70" s="84"/>
      <c r="E70" s="85" t="n">
        <f aca="false">SUM(E59:E69)</f>
        <v>2915.234</v>
      </c>
    </row>
    <row r="71" customFormat="false" ht="12.8" hidden="true" customHeight="false" outlineLevel="0" collapsed="false">
      <c r="A71" s="78" t="s">
        <v>30</v>
      </c>
      <c r="B71" s="79" t="s">
        <v>5</v>
      </c>
      <c r="C71" s="86" t="n">
        <f aca="false">'2.Encargos Sociais'!$C$31*100</f>
        <v>70.595952</v>
      </c>
      <c r="D71" s="81" t="n">
        <f aca="false">E70</f>
        <v>2915.234</v>
      </c>
      <c r="E71" s="81" t="n">
        <f aca="false">D71*C71/100</f>
        <v>2058.03719532768</v>
      </c>
    </row>
    <row r="72" customFormat="false" ht="12.8" hidden="true" customHeight="false" outlineLevel="0" collapsed="false">
      <c r="A72" s="82" t="s">
        <v>31</v>
      </c>
      <c r="B72" s="83"/>
      <c r="C72" s="83"/>
      <c r="D72" s="84"/>
      <c r="E72" s="85" t="n">
        <f aca="false">E70+E71</f>
        <v>4973.27119532768</v>
      </c>
    </row>
    <row r="73" customFormat="false" ht="12.8" hidden="true" customHeight="false" outlineLevel="0" collapsed="false">
      <c r="A73" s="78" t="s">
        <v>32</v>
      </c>
      <c r="B73" s="79" t="s">
        <v>33</v>
      </c>
      <c r="C73" s="92" t="n">
        <v>0</v>
      </c>
      <c r="D73" s="81" t="n">
        <f aca="false">E72</f>
        <v>4973.27119532768</v>
      </c>
      <c r="E73" s="81" t="n">
        <f aca="false">C73*D73</f>
        <v>0</v>
      </c>
    </row>
    <row r="74" customFormat="false" ht="12.8" hidden="true" customHeight="false" outlineLevel="0" collapsed="false">
      <c r="D74" s="88" t="s">
        <v>34</v>
      </c>
      <c r="E74" s="89" t="n">
        <f aca="false">$B$40</f>
        <v>0.6354</v>
      </c>
      <c r="F74" s="90" t="n">
        <f aca="false">E73*E74</f>
        <v>0</v>
      </c>
    </row>
    <row r="75" customFormat="false" ht="11.25" hidden="false" customHeight="true" outlineLevel="0" collapsed="false"/>
    <row r="76" customFormat="false" ht="12.8" hidden="false" customHeight="false" outlineLevel="0" collapsed="false">
      <c r="A76" s="69" t="s">
        <v>224</v>
      </c>
    </row>
    <row r="77" customFormat="false" ht="13.15" hidden="false" customHeight="true" outlineLevel="0" collapsed="false">
      <c r="A77" s="70" t="s">
        <v>16</v>
      </c>
      <c r="B77" s="71" t="s">
        <v>17</v>
      </c>
      <c r="C77" s="71" t="s">
        <v>9</v>
      </c>
      <c r="D77" s="72" t="s">
        <v>18</v>
      </c>
      <c r="E77" s="72" t="s">
        <v>19</v>
      </c>
      <c r="F77" s="73" t="s">
        <v>20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/>
      <c r="CH77" s="94"/>
      <c r="CI77" s="94"/>
      <c r="CJ77" s="94"/>
      <c r="CK77" s="94"/>
      <c r="CL77" s="94"/>
      <c r="CM77" s="94"/>
      <c r="CN77" s="94"/>
      <c r="CO77" s="94"/>
      <c r="CP77" s="94"/>
      <c r="CQ77" s="94"/>
      <c r="CR77" s="94"/>
      <c r="CS77" s="94"/>
      <c r="CT77" s="94"/>
      <c r="CU77" s="94"/>
      <c r="CV77" s="94"/>
      <c r="CW77" s="94"/>
      <c r="CX77" s="94"/>
      <c r="CY77" s="94"/>
      <c r="CZ77" s="94"/>
      <c r="DA77" s="94"/>
      <c r="DB77" s="94"/>
      <c r="DC77" s="94"/>
      <c r="DD77" s="94"/>
      <c r="DE77" s="94"/>
      <c r="DF77" s="94"/>
      <c r="DG77" s="94"/>
      <c r="DH77" s="94"/>
      <c r="DI77" s="94"/>
      <c r="DJ77" s="94"/>
      <c r="DK77" s="94"/>
      <c r="DL77" s="94"/>
      <c r="DM77" s="94"/>
      <c r="DN77" s="94"/>
      <c r="DO77" s="94"/>
      <c r="DP77" s="94"/>
      <c r="DQ77" s="94"/>
      <c r="DR77" s="94"/>
      <c r="DS77" s="94"/>
      <c r="DT77" s="94"/>
      <c r="DU77" s="94"/>
      <c r="DV77" s="94"/>
      <c r="DW77" s="94"/>
      <c r="DX77" s="94"/>
      <c r="DY77" s="94"/>
      <c r="DZ77" s="94"/>
      <c r="EA77" s="94"/>
      <c r="EB77" s="94"/>
      <c r="EC77" s="94"/>
      <c r="ED77" s="94"/>
      <c r="EE77" s="94"/>
      <c r="EF77" s="94"/>
      <c r="EG77" s="94"/>
      <c r="EH77" s="94"/>
      <c r="EI77" s="94"/>
      <c r="EJ77" s="94"/>
      <c r="EK77" s="94"/>
      <c r="EL77" s="94"/>
      <c r="EM77" s="94"/>
      <c r="EN77" s="94"/>
      <c r="EO77" s="94"/>
      <c r="EP77" s="94"/>
      <c r="EQ77" s="94"/>
      <c r="ER77" s="94"/>
      <c r="ES77" s="94"/>
      <c r="ET77" s="94"/>
      <c r="EU77" s="94"/>
      <c r="EV77" s="94"/>
      <c r="EW77" s="94"/>
      <c r="EX77" s="94"/>
      <c r="EY77" s="94"/>
      <c r="EZ77" s="94"/>
      <c r="FA77" s="94"/>
      <c r="FB77" s="94"/>
      <c r="FC77" s="94"/>
      <c r="FD77" s="94"/>
      <c r="FE77" s="94"/>
      <c r="FF77" s="94"/>
      <c r="FG77" s="94"/>
      <c r="FH77" s="94"/>
      <c r="FI77" s="94"/>
      <c r="FJ77" s="94"/>
      <c r="FK77" s="94"/>
      <c r="FL77" s="94"/>
      <c r="FM77" s="94"/>
      <c r="FN77" s="94"/>
      <c r="FO77" s="94"/>
      <c r="FP77" s="94"/>
      <c r="FQ77" s="94"/>
      <c r="FR77" s="94"/>
      <c r="FS77" s="94"/>
      <c r="FT77" s="94"/>
      <c r="FU77" s="94"/>
      <c r="FV77" s="94"/>
      <c r="FW77" s="94"/>
      <c r="FX77" s="94"/>
      <c r="FY77" s="94"/>
      <c r="FZ77" s="94"/>
      <c r="GA77" s="94"/>
      <c r="GB77" s="94"/>
      <c r="GC77" s="94"/>
      <c r="GD77" s="94"/>
      <c r="GE77" s="94"/>
      <c r="GF77" s="94"/>
      <c r="GG77" s="94"/>
      <c r="GH77" s="94"/>
      <c r="GI77" s="94"/>
      <c r="GJ77" s="94"/>
      <c r="GK77" s="94"/>
      <c r="GL77" s="94"/>
      <c r="GM77" s="94"/>
      <c r="GN77" s="94"/>
      <c r="GO77" s="94"/>
      <c r="GP77" s="94"/>
      <c r="GQ77" s="94"/>
      <c r="GR77" s="94"/>
      <c r="GS77" s="94"/>
      <c r="GT77" s="94"/>
      <c r="GU77" s="94"/>
      <c r="GV77" s="94"/>
      <c r="GW77" s="94"/>
      <c r="GX77" s="94"/>
      <c r="GY77" s="94"/>
      <c r="GZ77" s="94"/>
      <c r="HA77" s="94"/>
      <c r="HB77" s="94"/>
      <c r="HC77" s="94"/>
      <c r="HD77" s="94"/>
      <c r="HE77" s="94"/>
      <c r="HF77" s="94"/>
      <c r="HG77" s="94"/>
      <c r="HH77" s="94"/>
      <c r="HI77" s="94"/>
      <c r="HJ77" s="94"/>
      <c r="HK77" s="94"/>
      <c r="HL77" s="94"/>
      <c r="HM77" s="94"/>
      <c r="HN77" s="94"/>
      <c r="HO77" s="94"/>
      <c r="HP77" s="94"/>
      <c r="HQ77" s="94"/>
      <c r="HR77" s="94"/>
      <c r="HS77" s="94"/>
      <c r="HT77" s="94"/>
      <c r="HU77" s="94"/>
      <c r="HV77" s="94"/>
      <c r="HW77" s="94"/>
      <c r="HX77" s="94"/>
      <c r="HY77" s="94"/>
      <c r="HZ77" s="94"/>
      <c r="IA77" s="94"/>
      <c r="IB77" s="94"/>
      <c r="IC77" s="94"/>
      <c r="ID77" s="94"/>
      <c r="IE77" s="94"/>
      <c r="IF77" s="94"/>
      <c r="IG77" s="94"/>
      <c r="IH77" s="94"/>
      <c r="II77" s="94"/>
      <c r="IJ77" s="94"/>
      <c r="IK77" s="94"/>
      <c r="IL77" s="94"/>
      <c r="IM77" s="94"/>
      <c r="IN77" s="94"/>
      <c r="IO77" s="94"/>
      <c r="IP77" s="94"/>
      <c r="IQ77" s="94"/>
      <c r="IR77" s="94"/>
      <c r="IS77" s="94"/>
      <c r="IT77" s="94"/>
      <c r="IU77" s="94"/>
      <c r="IV77" s="94"/>
      <c r="IW77" s="94"/>
      <c r="IX77" s="94"/>
      <c r="IY77" s="94"/>
      <c r="IZ77" s="94"/>
      <c r="JA77" s="94"/>
      <c r="JB77" s="94"/>
      <c r="JC77" s="94"/>
      <c r="JD77" s="94"/>
      <c r="JE77" s="94"/>
      <c r="JF77" s="94"/>
      <c r="JG77" s="94"/>
      <c r="JH77" s="94"/>
      <c r="JI77" s="94"/>
      <c r="JJ77" s="94"/>
      <c r="JK77" s="94"/>
      <c r="JL77" s="94"/>
      <c r="JM77" s="94"/>
      <c r="JN77" s="94"/>
      <c r="JO77" s="94"/>
      <c r="JP77" s="94"/>
      <c r="JQ77" s="94"/>
      <c r="JR77" s="94"/>
      <c r="JS77" s="94"/>
      <c r="JT77" s="94"/>
      <c r="JU77" s="94"/>
      <c r="JV77" s="94"/>
      <c r="JW77" s="94"/>
      <c r="JX77" s="94"/>
      <c r="JY77" s="94"/>
      <c r="JZ77" s="94"/>
      <c r="KA77" s="94"/>
      <c r="KB77" s="94"/>
      <c r="KC77" s="94"/>
      <c r="KD77" s="94"/>
      <c r="KE77" s="94"/>
      <c r="KF77" s="94"/>
      <c r="KG77" s="94"/>
      <c r="KH77" s="94"/>
      <c r="KI77" s="94"/>
      <c r="KJ77" s="94"/>
      <c r="KK77" s="94"/>
      <c r="KL77" s="94"/>
      <c r="KM77" s="94"/>
      <c r="KN77" s="94"/>
      <c r="KO77" s="94"/>
      <c r="KP77" s="94"/>
      <c r="KQ77" s="94"/>
      <c r="KR77" s="94"/>
      <c r="KS77" s="94"/>
      <c r="KT77" s="94"/>
      <c r="KU77" s="94"/>
      <c r="KV77" s="94"/>
      <c r="KW77" s="94"/>
      <c r="KX77" s="94"/>
      <c r="KY77" s="94"/>
      <c r="KZ77" s="94"/>
      <c r="LA77" s="94"/>
      <c r="LB77" s="94"/>
      <c r="LC77" s="94"/>
      <c r="LD77" s="94"/>
      <c r="LE77" s="94"/>
      <c r="LF77" s="94"/>
      <c r="LG77" s="94"/>
      <c r="LH77" s="94"/>
      <c r="LI77" s="94"/>
      <c r="LJ77" s="94"/>
      <c r="LK77" s="94"/>
      <c r="LL77" s="94"/>
      <c r="LM77" s="94"/>
      <c r="LN77" s="94"/>
      <c r="LO77" s="94"/>
      <c r="LP77" s="94"/>
      <c r="LQ77" s="94"/>
      <c r="LR77" s="94"/>
      <c r="LS77" s="94"/>
      <c r="LT77" s="94"/>
      <c r="LU77" s="94"/>
      <c r="LV77" s="94"/>
      <c r="LW77" s="94"/>
      <c r="LX77" s="94"/>
      <c r="LY77" s="94"/>
      <c r="LZ77" s="94"/>
      <c r="MA77" s="94"/>
      <c r="MB77" s="94"/>
      <c r="MC77" s="94"/>
      <c r="MD77" s="94"/>
      <c r="ME77" s="94"/>
      <c r="MF77" s="94"/>
      <c r="MG77" s="94"/>
      <c r="MH77" s="94"/>
      <c r="MI77" s="94"/>
      <c r="MJ77" s="94"/>
      <c r="MK77" s="94"/>
      <c r="ML77" s="94"/>
      <c r="MM77" s="94"/>
      <c r="MN77" s="94"/>
      <c r="MO77" s="94"/>
      <c r="MP77" s="94"/>
      <c r="MQ77" s="94"/>
      <c r="MR77" s="94"/>
      <c r="MS77" s="94"/>
      <c r="MT77" s="94"/>
      <c r="MU77" s="94"/>
      <c r="MV77" s="94"/>
      <c r="MW77" s="94"/>
      <c r="MX77" s="94"/>
      <c r="MY77" s="94"/>
      <c r="MZ77" s="94"/>
      <c r="NA77" s="94"/>
      <c r="NB77" s="94"/>
      <c r="NC77" s="94"/>
      <c r="ND77" s="94"/>
      <c r="NE77" s="94"/>
      <c r="NF77" s="94"/>
      <c r="NG77" s="94"/>
      <c r="NH77" s="94"/>
      <c r="NI77" s="94"/>
      <c r="NJ77" s="94"/>
      <c r="NK77" s="94"/>
      <c r="NL77" s="94"/>
      <c r="NM77" s="94"/>
      <c r="NN77" s="94"/>
      <c r="NO77" s="94"/>
      <c r="NP77" s="94"/>
      <c r="NQ77" s="94"/>
      <c r="NR77" s="94"/>
      <c r="NS77" s="94"/>
      <c r="NT77" s="94"/>
      <c r="NU77" s="94"/>
      <c r="NV77" s="94"/>
      <c r="NW77" s="94"/>
      <c r="NX77" s="94"/>
      <c r="NY77" s="94"/>
      <c r="NZ77" s="94"/>
      <c r="OA77" s="94"/>
      <c r="OB77" s="94"/>
      <c r="OC77" s="94"/>
      <c r="OD77" s="94"/>
      <c r="OE77" s="94"/>
      <c r="OF77" s="94"/>
      <c r="OG77" s="94"/>
      <c r="OH77" s="94"/>
      <c r="OI77" s="94"/>
      <c r="OJ77" s="94"/>
      <c r="OK77" s="94"/>
      <c r="OL77" s="94"/>
      <c r="OM77" s="94"/>
      <c r="ON77" s="94"/>
      <c r="OO77" s="94"/>
      <c r="OP77" s="94"/>
      <c r="OQ77" s="94"/>
      <c r="OR77" s="94"/>
      <c r="OS77" s="94"/>
      <c r="OT77" s="94"/>
      <c r="OU77" s="94"/>
      <c r="OV77" s="94"/>
      <c r="OW77" s="94"/>
      <c r="OX77" s="94"/>
      <c r="OY77" s="94"/>
      <c r="OZ77" s="94"/>
      <c r="PA77" s="94"/>
      <c r="PB77" s="94"/>
      <c r="PC77" s="94"/>
      <c r="PD77" s="94"/>
      <c r="PE77" s="94"/>
      <c r="PF77" s="94"/>
      <c r="PG77" s="94"/>
      <c r="PH77" s="94"/>
      <c r="PI77" s="94"/>
      <c r="PJ77" s="94"/>
      <c r="PK77" s="94"/>
      <c r="PL77" s="94"/>
      <c r="PM77" s="94"/>
      <c r="PN77" s="94"/>
      <c r="PO77" s="94"/>
      <c r="PP77" s="94"/>
      <c r="PQ77" s="94"/>
      <c r="PR77" s="94"/>
      <c r="PS77" s="94"/>
      <c r="PT77" s="94"/>
      <c r="PU77" s="94"/>
      <c r="PV77" s="94"/>
      <c r="PW77" s="94"/>
      <c r="PX77" s="94"/>
      <c r="PY77" s="94"/>
      <c r="PZ77" s="94"/>
      <c r="QA77" s="94"/>
      <c r="QB77" s="94"/>
      <c r="QC77" s="94"/>
      <c r="QD77" s="94"/>
      <c r="QE77" s="94"/>
      <c r="QF77" s="94"/>
      <c r="QG77" s="94"/>
      <c r="QH77" s="94"/>
      <c r="QI77" s="94"/>
      <c r="QJ77" s="94"/>
      <c r="QK77" s="94"/>
      <c r="QL77" s="94"/>
      <c r="QM77" s="94"/>
      <c r="QN77" s="94"/>
      <c r="QO77" s="94"/>
      <c r="QP77" s="94"/>
      <c r="QQ77" s="94"/>
      <c r="QR77" s="94"/>
      <c r="QS77" s="94"/>
      <c r="QT77" s="94"/>
      <c r="QU77" s="94"/>
      <c r="QV77" s="94"/>
      <c r="QW77" s="94"/>
      <c r="QX77" s="94"/>
      <c r="QY77" s="94"/>
      <c r="QZ77" s="94"/>
      <c r="RA77" s="94"/>
      <c r="RB77" s="94"/>
      <c r="RC77" s="94"/>
      <c r="RD77" s="94"/>
      <c r="RE77" s="94"/>
      <c r="RF77" s="94"/>
      <c r="RG77" s="94"/>
      <c r="RH77" s="94"/>
      <c r="RI77" s="94"/>
      <c r="RJ77" s="94"/>
      <c r="RK77" s="94"/>
      <c r="RL77" s="94"/>
      <c r="RM77" s="94"/>
      <c r="RN77" s="94"/>
      <c r="RO77" s="94"/>
      <c r="RP77" s="94"/>
      <c r="RQ77" s="94"/>
      <c r="RR77" s="94"/>
      <c r="RS77" s="94"/>
      <c r="RT77" s="94"/>
      <c r="RU77" s="94"/>
      <c r="RV77" s="94"/>
      <c r="RW77" s="94"/>
      <c r="RX77" s="94"/>
      <c r="RY77" s="94"/>
      <c r="RZ77" s="94"/>
      <c r="SA77" s="94"/>
      <c r="SB77" s="94"/>
      <c r="SC77" s="94"/>
      <c r="SD77" s="94"/>
      <c r="SE77" s="94"/>
      <c r="SF77" s="94"/>
      <c r="SG77" s="94"/>
      <c r="SH77" s="94"/>
      <c r="SI77" s="94"/>
      <c r="SJ77" s="94"/>
      <c r="SK77" s="94"/>
      <c r="SL77" s="94"/>
      <c r="SM77" s="94"/>
      <c r="SN77" s="94"/>
      <c r="SO77" s="94"/>
      <c r="SP77" s="94"/>
      <c r="SQ77" s="94"/>
      <c r="SR77" s="94"/>
      <c r="SS77" s="94"/>
      <c r="ST77" s="94"/>
      <c r="SU77" s="94"/>
      <c r="SV77" s="94"/>
      <c r="SW77" s="94"/>
      <c r="SX77" s="94"/>
      <c r="SY77" s="94"/>
      <c r="SZ77" s="94"/>
      <c r="TA77" s="94"/>
      <c r="TB77" s="94"/>
      <c r="TC77" s="94"/>
      <c r="TD77" s="94"/>
      <c r="TE77" s="94"/>
      <c r="TF77" s="94"/>
      <c r="TG77" s="94"/>
      <c r="TH77" s="94"/>
      <c r="TI77" s="94"/>
      <c r="TJ77" s="94"/>
      <c r="TK77" s="94"/>
      <c r="TL77" s="94"/>
      <c r="TM77" s="94"/>
      <c r="TN77" s="94"/>
      <c r="TO77" s="94"/>
      <c r="TP77" s="94"/>
      <c r="TQ77" s="94"/>
      <c r="TR77" s="94"/>
      <c r="TS77" s="94"/>
      <c r="TT77" s="94"/>
      <c r="TU77" s="94"/>
      <c r="TV77" s="94"/>
      <c r="TW77" s="94"/>
      <c r="TX77" s="94"/>
      <c r="TY77" s="94"/>
      <c r="TZ77" s="94"/>
      <c r="UA77" s="94"/>
      <c r="UB77" s="94"/>
      <c r="UC77" s="94"/>
      <c r="UD77" s="94"/>
      <c r="UE77" s="94"/>
      <c r="UF77" s="94"/>
      <c r="UG77" s="94"/>
      <c r="UH77" s="94"/>
      <c r="UI77" s="94"/>
      <c r="UJ77" s="94"/>
      <c r="UK77" s="94"/>
      <c r="UL77" s="94"/>
      <c r="UM77" s="94"/>
      <c r="UN77" s="94"/>
      <c r="UO77" s="94"/>
      <c r="UP77" s="94"/>
      <c r="UQ77" s="94"/>
      <c r="UR77" s="94"/>
      <c r="US77" s="94"/>
      <c r="UT77" s="94"/>
      <c r="UU77" s="94"/>
      <c r="UV77" s="94"/>
      <c r="UW77" s="94"/>
      <c r="UX77" s="94"/>
      <c r="UY77" s="94"/>
      <c r="UZ77" s="94"/>
      <c r="VA77" s="94"/>
      <c r="VB77" s="94"/>
      <c r="VC77" s="94"/>
      <c r="VD77" s="94"/>
      <c r="VE77" s="94"/>
      <c r="VF77" s="94"/>
      <c r="VG77" s="94"/>
      <c r="VH77" s="94"/>
      <c r="VI77" s="94"/>
      <c r="VJ77" s="94"/>
      <c r="VK77" s="94"/>
      <c r="VL77" s="94"/>
      <c r="VM77" s="94"/>
      <c r="VN77" s="94"/>
      <c r="VO77" s="94"/>
      <c r="VP77" s="94"/>
      <c r="VQ77" s="94"/>
      <c r="VR77" s="94"/>
      <c r="VS77" s="94"/>
      <c r="VT77" s="94"/>
      <c r="VU77" s="94"/>
      <c r="VV77" s="94"/>
      <c r="VW77" s="94"/>
      <c r="VX77" s="94"/>
      <c r="VY77" s="94"/>
      <c r="VZ77" s="94"/>
      <c r="WA77" s="94"/>
      <c r="WB77" s="94"/>
      <c r="WC77" s="94"/>
      <c r="WD77" s="94"/>
      <c r="WE77" s="94"/>
      <c r="WF77" s="94"/>
      <c r="WG77" s="94"/>
      <c r="WH77" s="94"/>
      <c r="WI77" s="94"/>
      <c r="WJ77" s="94"/>
      <c r="WK77" s="94"/>
      <c r="WL77" s="94"/>
      <c r="WM77" s="94"/>
      <c r="WN77" s="94"/>
      <c r="WO77" s="94"/>
      <c r="WP77" s="94"/>
      <c r="WQ77" s="94"/>
      <c r="WR77" s="94"/>
      <c r="WS77" s="94"/>
      <c r="WT77" s="94"/>
      <c r="WU77" s="94"/>
      <c r="WV77" s="94"/>
      <c r="WW77" s="94"/>
      <c r="WX77" s="94"/>
      <c r="WY77" s="94"/>
      <c r="WZ77" s="94"/>
      <c r="XA77" s="94"/>
      <c r="XB77" s="94"/>
      <c r="XC77" s="94"/>
      <c r="XD77" s="94"/>
      <c r="XE77" s="94"/>
      <c r="XF77" s="94"/>
      <c r="XG77" s="94"/>
      <c r="XH77" s="94"/>
      <c r="XI77" s="94"/>
      <c r="XJ77" s="94"/>
      <c r="XK77" s="94"/>
      <c r="XL77" s="94"/>
      <c r="XM77" s="94"/>
      <c r="XN77" s="94"/>
      <c r="XO77" s="94"/>
      <c r="XP77" s="94"/>
      <c r="XQ77" s="94"/>
      <c r="XR77" s="94"/>
      <c r="XS77" s="94"/>
      <c r="XT77" s="94"/>
      <c r="XU77" s="94"/>
      <c r="XV77" s="94"/>
      <c r="XW77" s="94"/>
      <c r="XX77" s="94"/>
      <c r="XY77" s="94"/>
      <c r="XZ77" s="94"/>
      <c r="YA77" s="94"/>
      <c r="YB77" s="94"/>
      <c r="YC77" s="94"/>
      <c r="YD77" s="94"/>
      <c r="YE77" s="94"/>
      <c r="YF77" s="94"/>
      <c r="YG77" s="94"/>
      <c r="YH77" s="94"/>
      <c r="YI77" s="94"/>
      <c r="YJ77" s="94"/>
      <c r="YK77" s="94"/>
      <c r="YL77" s="94"/>
      <c r="YM77" s="94"/>
      <c r="YN77" s="94"/>
      <c r="YO77" s="94"/>
      <c r="YP77" s="94"/>
      <c r="YQ77" s="94"/>
      <c r="YR77" s="94"/>
      <c r="YS77" s="94"/>
      <c r="YT77" s="94"/>
      <c r="YU77" s="94"/>
      <c r="YV77" s="94"/>
      <c r="YW77" s="94"/>
      <c r="YX77" s="94"/>
      <c r="YY77" s="94"/>
      <c r="YZ77" s="94"/>
      <c r="ZA77" s="94"/>
      <c r="ZB77" s="94"/>
      <c r="ZC77" s="94"/>
      <c r="ZD77" s="94"/>
      <c r="ZE77" s="94"/>
      <c r="ZF77" s="94"/>
      <c r="ZG77" s="94"/>
      <c r="ZH77" s="94"/>
      <c r="ZI77" s="94"/>
      <c r="ZJ77" s="94"/>
      <c r="ZK77" s="94"/>
      <c r="ZL77" s="94"/>
      <c r="ZM77" s="94"/>
      <c r="ZN77" s="94"/>
      <c r="ZO77" s="94"/>
      <c r="ZP77" s="94"/>
      <c r="ZQ77" s="94"/>
      <c r="ZR77" s="94"/>
      <c r="ZS77" s="94"/>
      <c r="ZT77" s="94"/>
      <c r="ZU77" s="94"/>
      <c r="ZV77" s="94"/>
      <c r="ZW77" s="94"/>
      <c r="ZX77" s="94"/>
      <c r="ZY77" s="94"/>
      <c r="ZZ77" s="94"/>
      <c r="AAA77" s="94"/>
      <c r="AAB77" s="94"/>
      <c r="AAC77" s="94"/>
      <c r="AAD77" s="94"/>
      <c r="AAE77" s="94"/>
      <c r="AAF77" s="94"/>
      <c r="AAG77" s="94"/>
      <c r="AAH77" s="94"/>
      <c r="AAI77" s="94"/>
      <c r="AAJ77" s="94"/>
      <c r="AAK77" s="94"/>
      <c r="AAL77" s="94"/>
      <c r="AAM77" s="94"/>
      <c r="AAN77" s="94"/>
      <c r="AAO77" s="94"/>
      <c r="AAP77" s="94"/>
      <c r="AAQ77" s="94"/>
      <c r="AAR77" s="94"/>
      <c r="AAS77" s="94"/>
      <c r="AAT77" s="94"/>
      <c r="AAU77" s="94"/>
      <c r="AAV77" s="94"/>
      <c r="AAW77" s="94"/>
      <c r="AAX77" s="94"/>
      <c r="AAY77" s="94"/>
      <c r="AAZ77" s="94"/>
      <c r="ABA77" s="94"/>
      <c r="ABB77" s="94"/>
      <c r="ABC77" s="94"/>
      <c r="ABD77" s="94"/>
      <c r="ABE77" s="94"/>
      <c r="ABF77" s="94"/>
      <c r="ABG77" s="94"/>
      <c r="ABH77" s="94"/>
      <c r="ABI77" s="94"/>
      <c r="ABJ77" s="94"/>
      <c r="ABK77" s="94"/>
      <c r="ABL77" s="94"/>
      <c r="ABM77" s="94"/>
      <c r="ABN77" s="94"/>
      <c r="ABO77" s="94"/>
      <c r="ABP77" s="94"/>
      <c r="ABQ77" s="94"/>
      <c r="ABR77" s="94"/>
      <c r="ABS77" s="94"/>
      <c r="ABT77" s="94"/>
      <c r="ABU77" s="94"/>
      <c r="ABV77" s="94"/>
      <c r="ABW77" s="94"/>
      <c r="ABX77" s="94"/>
      <c r="ABY77" s="94"/>
      <c r="ABZ77" s="94"/>
      <c r="ACA77" s="94"/>
      <c r="ACB77" s="94"/>
      <c r="ACC77" s="94"/>
      <c r="ACD77" s="94"/>
      <c r="ACE77" s="94"/>
      <c r="ACF77" s="94"/>
      <c r="ACG77" s="94"/>
      <c r="ACH77" s="94"/>
      <c r="ACI77" s="94"/>
      <c r="ACJ77" s="94"/>
      <c r="ACK77" s="94"/>
      <c r="ACL77" s="94"/>
      <c r="ACM77" s="94"/>
      <c r="ACN77" s="94"/>
      <c r="ACO77" s="94"/>
      <c r="ACP77" s="94"/>
      <c r="ACQ77" s="94"/>
      <c r="ACR77" s="94"/>
      <c r="ACS77" s="94"/>
      <c r="ACT77" s="94"/>
      <c r="ACU77" s="94"/>
      <c r="ACV77" s="94"/>
      <c r="ACW77" s="94"/>
      <c r="ACX77" s="94"/>
      <c r="ACY77" s="94"/>
      <c r="ACZ77" s="94"/>
      <c r="ADA77" s="94"/>
      <c r="ADB77" s="94"/>
      <c r="ADC77" s="94"/>
      <c r="ADD77" s="94"/>
      <c r="ADE77" s="94"/>
      <c r="ADF77" s="94"/>
      <c r="ADG77" s="94"/>
      <c r="ADH77" s="94"/>
      <c r="ADI77" s="94"/>
      <c r="ADJ77" s="94"/>
      <c r="ADK77" s="94"/>
      <c r="ADL77" s="94"/>
      <c r="ADM77" s="94"/>
      <c r="ADN77" s="94"/>
      <c r="ADO77" s="94"/>
      <c r="ADP77" s="94"/>
      <c r="ADQ77" s="94"/>
      <c r="ADR77" s="94"/>
      <c r="ADS77" s="94"/>
      <c r="ADT77" s="94"/>
      <c r="ADU77" s="94"/>
      <c r="ADV77" s="94"/>
      <c r="ADW77" s="94"/>
      <c r="ADX77" s="94"/>
      <c r="ADY77" s="94"/>
      <c r="ADZ77" s="94"/>
      <c r="AEA77" s="94"/>
      <c r="AEB77" s="94"/>
      <c r="AEC77" s="94"/>
      <c r="AED77" s="94"/>
      <c r="AEE77" s="94"/>
      <c r="AEF77" s="94"/>
      <c r="AEG77" s="94"/>
      <c r="AEH77" s="94"/>
      <c r="AEI77" s="94"/>
      <c r="AEJ77" s="94"/>
      <c r="AEK77" s="94"/>
      <c r="AEL77" s="94"/>
      <c r="AEM77" s="94"/>
      <c r="AEN77" s="94"/>
      <c r="AEO77" s="94"/>
      <c r="AEP77" s="94"/>
      <c r="AEQ77" s="94"/>
      <c r="AER77" s="94"/>
      <c r="AES77" s="94"/>
      <c r="AET77" s="94"/>
      <c r="AEU77" s="94"/>
      <c r="AEV77" s="94"/>
      <c r="AEW77" s="94"/>
      <c r="AEX77" s="94"/>
      <c r="AEY77" s="94"/>
      <c r="AEZ77" s="94"/>
      <c r="AFA77" s="94"/>
      <c r="AFB77" s="94"/>
      <c r="AFC77" s="94"/>
      <c r="AFD77" s="94"/>
      <c r="AFE77" s="94"/>
      <c r="AFF77" s="94"/>
      <c r="AFG77" s="94"/>
      <c r="AFH77" s="94"/>
      <c r="AFI77" s="94"/>
      <c r="AFJ77" s="94"/>
      <c r="AFK77" s="94"/>
      <c r="AFL77" s="94"/>
      <c r="AFM77" s="94"/>
      <c r="AFN77" s="94"/>
      <c r="AFO77" s="94"/>
      <c r="AFP77" s="94"/>
      <c r="AFQ77" s="94"/>
      <c r="AFR77" s="94"/>
      <c r="AFS77" s="94"/>
      <c r="AFT77" s="94"/>
      <c r="AFU77" s="94"/>
      <c r="AFV77" s="94"/>
      <c r="AFW77" s="94"/>
      <c r="AFX77" s="94"/>
      <c r="AFY77" s="94"/>
      <c r="AFZ77" s="94"/>
      <c r="AGA77" s="94"/>
      <c r="AGB77" s="94"/>
      <c r="AGC77" s="94"/>
      <c r="AGD77" s="94"/>
      <c r="AGE77" s="94"/>
      <c r="AGF77" s="94"/>
      <c r="AGG77" s="94"/>
      <c r="AGH77" s="94"/>
      <c r="AGI77" s="94"/>
      <c r="AGJ77" s="94"/>
      <c r="AGK77" s="94"/>
      <c r="AGL77" s="94"/>
      <c r="AGM77" s="94"/>
      <c r="AGN77" s="94"/>
      <c r="AGO77" s="94"/>
      <c r="AGP77" s="94"/>
      <c r="AGQ77" s="94"/>
      <c r="AGR77" s="94"/>
      <c r="AGS77" s="94"/>
      <c r="AGT77" s="94"/>
      <c r="AGU77" s="94"/>
      <c r="AGV77" s="94"/>
      <c r="AGW77" s="94"/>
      <c r="AGX77" s="94"/>
      <c r="AGY77" s="94"/>
      <c r="AGZ77" s="94"/>
      <c r="AHA77" s="94"/>
      <c r="AHB77" s="94"/>
      <c r="AHC77" s="94"/>
      <c r="AHD77" s="94"/>
      <c r="AHE77" s="94"/>
      <c r="AHF77" s="94"/>
      <c r="AHG77" s="94"/>
      <c r="AHH77" s="94"/>
      <c r="AHI77" s="94"/>
      <c r="AHJ77" s="94"/>
      <c r="AHK77" s="94"/>
      <c r="AHL77" s="94"/>
      <c r="AHM77" s="94"/>
      <c r="AHN77" s="94"/>
      <c r="AHO77" s="94"/>
      <c r="AHP77" s="94"/>
      <c r="AHQ77" s="94"/>
      <c r="AHR77" s="94"/>
      <c r="AHS77" s="94"/>
      <c r="AHT77" s="94"/>
      <c r="AHU77" s="94"/>
      <c r="AHV77" s="94"/>
      <c r="AHW77" s="94"/>
      <c r="AHX77" s="94"/>
      <c r="AHY77" s="94"/>
      <c r="AHZ77" s="94"/>
      <c r="AIA77" s="94"/>
      <c r="AIB77" s="94"/>
      <c r="AIC77" s="94"/>
      <c r="AID77" s="94"/>
      <c r="AIE77" s="94"/>
      <c r="AIF77" s="94"/>
      <c r="AIG77" s="94"/>
      <c r="AIH77" s="94"/>
      <c r="AII77" s="94"/>
      <c r="AIJ77" s="94"/>
      <c r="AIK77" s="94"/>
      <c r="AIL77" s="94"/>
      <c r="AIM77" s="94"/>
      <c r="AIN77" s="94"/>
      <c r="AIO77" s="94"/>
      <c r="AIP77" s="94"/>
      <c r="AIQ77" s="94"/>
      <c r="AIR77" s="94"/>
      <c r="AIS77" s="94"/>
      <c r="AIT77" s="94"/>
      <c r="AIU77" s="94"/>
      <c r="AIV77" s="94"/>
      <c r="AIW77" s="94"/>
      <c r="AIX77" s="94"/>
      <c r="AIY77" s="94"/>
      <c r="AIZ77" s="94"/>
      <c r="AJA77" s="94"/>
      <c r="AJB77" s="94"/>
      <c r="AJC77" s="94"/>
      <c r="AJD77" s="94"/>
      <c r="AJE77" s="94"/>
      <c r="AJF77" s="94"/>
      <c r="AJG77" s="94"/>
      <c r="AJH77" s="94"/>
      <c r="AJI77" s="94"/>
      <c r="AJJ77" s="94"/>
      <c r="AJK77" s="94"/>
      <c r="AJL77" s="94"/>
      <c r="AJM77" s="94"/>
      <c r="AJN77" s="94"/>
      <c r="AJO77" s="94"/>
      <c r="AJP77" s="94"/>
      <c r="AJQ77" s="94"/>
      <c r="AJR77" s="94"/>
      <c r="AJS77" s="94"/>
      <c r="AJT77" s="94"/>
      <c r="AJU77" s="94"/>
      <c r="AJV77" s="94"/>
      <c r="AJW77" s="94"/>
      <c r="AJX77" s="94"/>
      <c r="AJY77" s="94"/>
      <c r="AJZ77" s="94"/>
      <c r="AKA77" s="94"/>
      <c r="AKB77" s="94"/>
      <c r="AKC77" s="94"/>
      <c r="AKD77" s="94"/>
      <c r="AKE77" s="94"/>
      <c r="AKF77" s="94"/>
      <c r="AKG77" s="94"/>
      <c r="AKH77" s="94"/>
      <c r="AKI77" s="94"/>
      <c r="AKJ77" s="94"/>
      <c r="AKK77" s="94"/>
      <c r="AKL77" s="94"/>
      <c r="AKM77" s="94"/>
      <c r="AKN77" s="94"/>
      <c r="AKO77" s="94"/>
      <c r="AKP77" s="94"/>
      <c r="AKQ77" s="94"/>
      <c r="AKR77" s="94"/>
      <c r="AKS77" s="94"/>
      <c r="AKT77" s="94"/>
      <c r="AKU77" s="94"/>
      <c r="AKV77" s="94"/>
      <c r="AKW77" s="94"/>
      <c r="AKX77" s="94"/>
      <c r="AKY77" s="94"/>
      <c r="AKZ77" s="94"/>
      <c r="ALA77" s="94"/>
      <c r="ALB77" s="94"/>
      <c r="ALC77" s="94"/>
      <c r="ALD77" s="94"/>
      <c r="ALE77" s="94"/>
      <c r="ALF77" s="94"/>
      <c r="ALG77" s="94"/>
      <c r="ALH77" s="94"/>
      <c r="ALI77" s="94"/>
      <c r="ALJ77" s="94"/>
      <c r="ALK77" s="94"/>
      <c r="ALL77" s="94"/>
      <c r="ALM77" s="94"/>
      <c r="ALN77" s="94"/>
      <c r="ALO77" s="94"/>
      <c r="ALP77" s="94"/>
      <c r="ALQ77" s="94"/>
      <c r="ALR77" s="94"/>
      <c r="ALS77" s="94"/>
      <c r="ALT77" s="94"/>
      <c r="ALU77" s="94"/>
      <c r="ALV77" s="94"/>
      <c r="ALW77" s="94"/>
      <c r="ALX77" s="94"/>
      <c r="ALY77" s="94"/>
      <c r="ALZ77" s="94"/>
      <c r="AMA77" s="94"/>
      <c r="AMB77" s="94"/>
      <c r="AMC77" s="94"/>
      <c r="AMD77" s="94"/>
      <c r="AME77" s="94"/>
      <c r="AMF77" s="94"/>
      <c r="AMG77" s="94"/>
      <c r="AMH77" s="94"/>
      <c r="AMI77" s="94"/>
      <c r="AMJ77" s="94"/>
    </row>
    <row r="78" customFormat="false" ht="12.8" hidden="false" customHeight="false" outlineLevel="0" collapsed="false">
      <c r="A78" s="74" t="s">
        <v>43</v>
      </c>
      <c r="B78" s="75" t="s">
        <v>22</v>
      </c>
      <c r="C78" s="75" t="n">
        <v>1</v>
      </c>
      <c r="D78" s="76" t="n">
        <f aca="false">'VALORES BASE'!B2</f>
        <v>3012</v>
      </c>
      <c r="E78" s="77" t="n">
        <f aca="false">C78*D78</f>
        <v>3012</v>
      </c>
    </row>
    <row r="79" customFormat="false" ht="12.8" hidden="false" customHeight="false" outlineLevel="0" collapsed="false">
      <c r="A79" s="74" t="s">
        <v>44</v>
      </c>
      <c r="B79" s="75" t="s">
        <v>22</v>
      </c>
      <c r="C79" s="75" t="n">
        <v>1</v>
      </c>
      <c r="D79" s="76" t="n">
        <f aca="false">'VALORES BASE'!B40</f>
        <v>1621</v>
      </c>
      <c r="E79" s="77"/>
    </row>
    <row r="80" customFormat="false" ht="12.8" hidden="false" customHeight="false" outlineLevel="0" collapsed="false">
      <c r="A80" s="78" t="s">
        <v>23</v>
      </c>
      <c r="B80" s="79" t="s">
        <v>24</v>
      </c>
      <c r="C80" s="80" t="n">
        <f aca="false">'VALORES BASE'!B58</f>
        <v>7.92</v>
      </c>
      <c r="D80" s="81" t="n">
        <f aca="false">D78/220*2</f>
        <v>27.3818181818182</v>
      </c>
      <c r="E80" s="81" t="n">
        <f aca="false">C80*D80</f>
        <v>216.864</v>
      </c>
    </row>
    <row r="81" customFormat="false" ht="12.8" hidden="false" customHeight="false" outlineLevel="0" collapsed="false">
      <c r="A81" s="78" t="s">
        <v>25</v>
      </c>
      <c r="B81" s="79" t="s">
        <v>24</v>
      </c>
      <c r="C81" s="80"/>
      <c r="D81" s="81" t="n">
        <f aca="false">D78/220*1.5</f>
        <v>20.5363636363636</v>
      </c>
      <c r="E81" s="81" t="n">
        <f aca="false">C81*D81</f>
        <v>0</v>
      </c>
    </row>
    <row r="82" customFormat="false" ht="13.15" hidden="false" customHeight="true" outlineLevel="0" collapsed="false">
      <c r="A82" s="78" t="s">
        <v>26</v>
      </c>
      <c r="B82" s="79" t="s">
        <v>27</v>
      </c>
      <c r="D82" s="81" t="n">
        <f aca="false">63/302*(SUM(E80:E81))</f>
        <v>45.2398410596027</v>
      </c>
      <c r="E82" s="81" t="n">
        <f aca="false">D82</f>
        <v>45.2398410596027</v>
      </c>
    </row>
    <row r="83" customFormat="false" ht="12.8" hidden="false" customHeight="false" outlineLevel="0" collapsed="false">
      <c r="A83" s="78" t="s">
        <v>45</v>
      </c>
      <c r="B83" s="79"/>
      <c r="C83" s="87" t="n">
        <v>1</v>
      </c>
      <c r="D83" s="81"/>
      <c r="E83" s="81"/>
    </row>
    <row r="84" customFormat="false" ht="12.8" hidden="false" customHeight="false" outlineLevel="0" collapsed="false">
      <c r="A84" s="78" t="s">
        <v>28</v>
      </c>
      <c r="B84" s="79" t="s">
        <v>5</v>
      </c>
      <c r="C84" s="92" t="n">
        <v>40</v>
      </c>
      <c r="D84" s="81" t="n">
        <f aca="false">IF(C83=2,SUM(E78:E82),IF(C83=1,(SUM(E78:E82))*D79/D78,0))</f>
        <v>1762.05920529801</v>
      </c>
      <c r="E84" s="81" t="n">
        <f aca="false">C84*D84/100</f>
        <v>704.823682119205</v>
      </c>
    </row>
    <row r="85" customFormat="false" ht="12.8" hidden="false" customHeight="false" outlineLevel="0" collapsed="false">
      <c r="A85" s="95" t="s">
        <v>29</v>
      </c>
      <c r="B85" s="83"/>
      <c r="C85" s="83"/>
      <c r="D85" s="84"/>
      <c r="E85" s="96" t="n">
        <f aca="false">SUM(E78:E84)</f>
        <v>3978.92752317881</v>
      </c>
      <c r="F85" s="25"/>
      <c r="G85" s="25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</row>
    <row r="86" customFormat="false" ht="12.8" hidden="false" customHeight="false" outlineLevel="0" collapsed="false">
      <c r="A86" s="78" t="s">
        <v>30</v>
      </c>
      <c r="B86" s="79" t="s">
        <v>5</v>
      </c>
      <c r="C86" s="86" t="n">
        <f aca="false">'2.Encargos Sociais'!$C$31*100</f>
        <v>70.595952</v>
      </c>
      <c r="D86" s="81" t="n">
        <f aca="false">E85</f>
        <v>3978.92752317881</v>
      </c>
      <c r="E86" s="81" t="n">
        <f aca="false">D86*C86/100</f>
        <v>2808.9617643781</v>
      </c>
    </row>
    <row r="87" customFormat="false" ht="12.8" hidden="false" customHeight="false" outlineLevel="0" collapsed="false">
      <c r="A87" s="95" t="s">
        <v>46</v>
      </c>
      <c r="B87" s="97"/>
      <c r="C87" s="97"/>
      <c r="D87" s="98"/>
      <c r="E87" s="96" t="n">
        <f aca="false">E85+E86</f>
        <v>6787.88928755691</v>
      </c>
      <c r="F87" s="25"/>
      <c r="G87" s="25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</row>
    <row r="88" customFormat="false" ht="12.8" hidden="false" customHeight="false" outlineLevel="0" collapsed="false">
      <c r="A88" s="78" t="s">
        <v>32</v>
      </c>
      <c r="B88" s="79" t="s">
        <v>33</v>
      </c>
      <c r="C88" s="87" t="n">
        <f aca="false">E32</f>
        <v>3</v>
      </c>
      <c r="D88" s="81" t="n">
        <f aca="false">E87</f>
        <v>6787.88928755691</v>
      </c>
      <c r="E88" s="81" t="n">
        <f aca="false">C88*D88</f>
        <v>20363.6678626707</v>
      </c>
    </row>
    <row r="89" customFormat="false" ht="12.8" hidden="false" customHeight="false" outlineLevel="0" collapsed="false">
      <c r="D89" s="88" t="s">
        <v>34</v>
      </c>
      <c r="E89" s="89" t="n">
        <f aca="false">'FATOR FU_OFICIAL'!F19</f>
        <v>1</v>
      </c>
      <c r="F89" s="90" t="n">
        <f aca="false">E88*E89</f>
        <v>20363.6678626707</v>
      </c>
    </row>
    <row r="90" customFormat="false" ht="11.25" hidden="false" customHeight="true" outlineLevel="0" collapsed="false"/>
    <row r="91" customFormat="false" ht="11.25" hidden="true" customHeight="true" outlineLevel="0" collapsed="false">
      <c r="A91" s="69" t="s">
        <v>225</v>
      </c>
    </row>
    <row r="92" customFormat="false" ht="11.25" hidden="true" customHeight="true" outlineLevel="0" collapsed="false">
      <c r="A92" s="70" t="s">
        <v>16</v>
      </c>
      <c r="B92" s="71" t="s">
        <v>17</v>
      </c>
      <c r="C92" s="71" t="s">
        <v>9</v>
      </c>
      <c r="D92" s="72" t="s">
        <v>18</v>
      </c>
      <c r="E92" s="72" t="s">
        <v>19</v>
      </c>
      <c r="F92" s="73" t="s">
        <v>20</v>
      </c>
    </row>
    <row r="93" customFormat="false" ht="11.25" hidden="true" customHeight="true" outlineLevel="0" collapsed="false">
      <c r="A93" s="74" t="s">
        <v>43</v>
      </c>
      <c r="B93" s="75" t="s">
        <v>22</v>
      </c>
      <c r="C93" s="99" t="n">
        <v>1</v>
      </c>
      <c r="D93" s="76" t="n">
        <f aca="false">'VALORES BASE'!B2</f>
        <v>3012</v>
      </c>
      <c r="E93" s="77" t="n">
        <f aca="false">C93*D93</f>
        <v>3012</v>
      </c>
    </row>
    <row r="94" customFormat="false" ht="11.25" hidden="true" customHeight="true" outlineLevel="0" collapsed="false">
      <c r="A94" s="74" t="s">
        <v>44</v>
      </c>
      <c r="B94" s="75" t="s">
        <v>22</v>
      </c>
      <c r="C94" s="75" t="n">
        <v>1</v>
      </c>
      <c r="D94" s="76" t="n">
        <f aca="false">'VALORES BASE'!B40</f>
        <v>1621</v>
      </c>
      <c r="E94" s="77"/>
    </row>
    <row r="95" customFormat="false" ht="11.25" hidden="true" customHeight="true" outlineLevel="0" collapsed="false">
      <c r="A95" s="78" t="s">
        <v>23</v>
      </c>
      <c r="B95" s="79" t="s">
        <v>24</v>
      </c>
      <c r="C95" s="80" t="n">
        <f aca="false">'VALORES BASE'!B58</f>
        <v>7.92</v>
      </c>
      <c r="D95" s="81" t="n">
        <f aca="false">D93/220*2</f>
        <v>27.3818181818182</v>
      </c>
      <c r="E95" s="81" t="n">
        <f aca="false">C95*D95</f>
        <v>216.864</v>
      </c>
    </row>
    <row r="96" customFormat="false" ht="11.25" hidden="true" customHeight="true" outlineLevel="0" collapsed="false">
      <c r="A96" s="78" t="s">
        <v>25</v>
      </c>
      <c r="B96" s="79" t="s">
        <v>24</v>
      </c>
      <c r="C96" s="80"/>
      <c r="D96" s="81" t="n">
        <f aca="false">D93/220*1.5</f>
        <v>20.5363636363636</v>
      </c>
      <c r="E96" s="81" t="n">
        <f aca="false">C96*D96</f>
        <v>0</v>
      </c>
    </row>
    <row r="97" customFormat="false" ht="11.25" hidden="true" customHeight="true" outlineLevel="0" collapsed="false">
      <c r="A97" s="78" t="s">
        <v>26</v>
      </c>
      <c r="B97" s="79" t="s">
        <v>27</v>
      </c>
      <c r="D97" s="81" t="n">
        <f aca="false">63/302*(SUM(E95:E96))</f>
        <v>45.2398410596027</v>
      </c>
      <c r="E97" s="81" t="n">
        <f aca="false">D97</f>
        <v>45.2398410596027</v>
      </c>
    </row>
    <row r="98" customFormat="false" ht="11.25" hidden="true" customHeight="true" outlineLevel="0" collapsed="false">
      <c r="A98" s="78" t="s">
        <v>45</v>
      </c>
      <c r="B98" s="79"/>
      <c r="C98" s="87" t="n">
        <v>2</v>
      </c>
      <c r="D98" s="81"/>
      <c r="E98" s="81"/>
    </row>
    <row r="99" customFormat="false" ht="11.25" hidden="true" customHeight="true" outlineLevel="0" collapsed="false">
      <c r="A99" s="78" t="s">
        <v>28</v>
      </c>
      <c r="B99" s="79" t="s">
        <v>5</v>
      </c>
      <c r="C99" s="92" t="n">
        <v>40</v>
      </c>
      <c r="D99" s="81" t="n">
        <f aca="false">IF(C98=2,SUM(E93:E97),IF(C98=1,(SUM(E93:E97))*D94/D93,0))</f>
        <v>3274.1038410596</v>
      </c>
      <c r="E99" s="81" t="n">
        <f aca="false">C99*D99/100</f>
        <v>1309.64153642384</v>
      </c>
    </row>
    <row r="100" customFormat="false" ht="11.25" hidden="true" customHeight="true" outlineLevel="0" collapsed="false">
      <c r="A100" s="95" t="s">
        <v>29</v>
      </c>
      <c r="B100" s="83"/>
      <c r="C100" s="83"/>
      <c r="D100" s="84"/>
      <c r="E100" s="96" t="n">
        <f aca="false">SUM(E93:E99)</f>
        <v>4583.74537748344</v>
      </c>
      <c r="F100" s="25"/>
    </row>
    <row r="101" customFormat="false" ht="11.25" hidden="true" customHeight="true" outlineLevel="0" collapsed="false">
      <c r="A101" s="78" t="s">
        <v>30</v>
      </c>
      <c r="B101" s="79" t="s">
        <v>5</v>
      </c>
      <c r="C101" s="86" t="n">
        <f aca="false">'2.Encargos Sociais'!$C$31*100</f>
        <v>70.595952</v>
      </c>
      <c r="D101" s="81" t="n">
        <f aca="false">E100</f>
        <v>4583.74537748344</v>
      </c>
      <c r="E101" s="81" t="n">
        <f aca="false">D101*C101/100</f>
        <v>3235.93868649043</v>
      </c>
    </row>
    <row r="102" customFormat="false" ht="11.25" hidden="true" customHeight="true" outlineLevel="0" collapsed="false">
      <c r="A102" s="95" t="s">
        <v>46</v>
      </c>
      <c r="B102" s="97"/>
      <c r="C102" s="97"/>
      <c r="D102" s="98"/>
      <c r="E102" s="96" t="n">
        <f aca="false">E100+E101</f>
        <v>7819.68406397387</v>
      </c>
      <c r="F102" s="25"/>
    </row>
    <row r="103" customFormat="false" ht="11.25" hidden="true" customHeight="true" outlineLevel="0" collapsed="false">
      <c r="A103" s="78" t="s">
        <v>32</v>
      </c>
      <c r="B103" s="79" t="s">
        <v>33</v>
      </c>
      <c r="C103" s="87" t="n">
        <v>0</v>
      </c>
      <c r="D103" s="81" t="n">
        <f aca="false">E102</f>
        <v>7819.68406397387</v>
      </c>
      <c r="E103" s="81" t="n">
        <f aca="false">C103*D103</f>
        <v>0</v>
      </c>
    </row>
    <row r="104" customFormat="false" ht="11.25" hidden="true" customHeight="true" outlineLevel="0" collapsed="false">
      <c r="D104" s="88" t="s">
        <v>34</v>
      </c>
      <c r="E104" s="89" t="n">
        <f aca="false">'FATOR FU_OFICIAL'!F23</f>
        <v>1</v>
      </c>
      <c r="F104" s="90" t="n">
        <f aca="false">E103*E104</f>
        <v>0</v>
      </c>
    </row>
    <row r="105" customFormat="false" ht="11.25" hidden="false" customHeight="true" outlineLevel="0" collapsed="false"/>
    <row r="106" customFormat="false" ht="12.8" hidden="true" customHeight="false" outlineLevel="0" collapsed="false">
      <c r="A106" s="1" t="s">
        <v>48</v>
      </c>
    </row>
    <row r="107" customFormat="false" ht="12.8" hidden="true" customHeight="false" outlineLevel="0" collapsed="false">
      <c r="A107" s="70" t="s">
        <v>16</v>
      </c>
      <c r="B107" s="71" t="s">
        <v>17</v>
      </c>
      <c r="C107" s="71" t="s">
        <v>9</v>
      </c>
      <c r="D107" s="72" t="s">
        <v>18</v>
      </c>
      <c r="E107" s="72" t="s">
        <v>19</v>
      </c>
      <c r="F107" s="73" t="s">
        <v>20</v>
      </c>
    </row>
    <row r="108" customFormat="false" ht="12.8" hidden="true" customHeight="false" outlineLevel="0" collapsed="false">
      <c r="A108" s="74" t="s">
        <v>43</v>
      </c>
      <c r="B108" s="75" t="s">
        <v>22</v>
      </c>
      <c r="C108" s="75" t="n">
        <v>1</v>
      </c>
      <c r="D108" s="77" t="n">
        <f aca="false">D78</f>
        <v>3012</v>
      </c>
      <c r="E108" s="77" t="n">
        <f aca="false">C108*D108</f>
        <v>3012</v>
      </c>
    </row>
    <row r="109" customFormat="false" ht="12.8" hidden="true" customHeight="false" outlineLevel="0" collapsed="false">
      <c r="A109" s="74" t="s">
        <v>44</v>
      </c>
      <c r="B109" s="75" t="s">
        <v>22</v>
      </c>
      <c r="C109" s="75" t="n">
        <v>1</v>
      </c>
      <c r="D109" s="81" t="n">
        <f aca="false">D79</f>
        <v>1621</v>
      </c>
      <c r="E109" s="81"/>
    </row>
    <row r="110" customFormat="false" ht="12.8" hidden="true" customHeight="false" outlineLevel="0" collapsed="false">
      <c r="A110" s="78" t="s">
        <v>37</v>
      </c>
      <c r="B110" s="79" t="s">
        <v>38</v>
      </c>
      <c r="C110" s="80"/>
      <c r="D110" s="78"/>
      <c r="E110" s="78"/>
    </row>
    <row r="111" customFormat="false" ht="12.8" hidden="true" customHeight="false" outlineLevel="0" collapsed="false">
      <c r="A111" s="78"/>
      <c r="B111" s="79" t="s">
        <v>39</v>
      </c>
      <c r="C111" s="81" t="n">
        <f aca="false">C110*8/7</f>
        <v>0</v>
      </c>
      <c r="D111" s="81" t="n">
        <f aca="false">D108/220*0.2</f>
        <v>2.73818181818182</v>
      </c>
      <c r="E111" s="81" t="n">
        <f aca="false">C111*D111</f>
        <v>0</v>
      </c>
    </row>
    <row r="112" customFormat="false" ht="12.8" hidden="true" customHeight="false" outlineLevel="0" collapsed="false">
      <c r="A112" s="78" t="s">
        <v>23</v>
      </c>
      <c r="B112" s="79" t="s">
        <v>24</v>
      </c>
      <c r="C112" s="80"/>
      <c r="D112" s="81" t="n">
        <f aca="false">D108/220*2</f>
        <v>27.3818181818182</v>
      </c>
      <c r="E112" s="81" t="n">
        <f aca="false">C112*D112</f>
        <v>0</v>
      </c>
      <c r="G112" s="2" t="s">
        <v>49</v>
      </c>
    </row>
    <row r="113" customFormat="false" ht="12.8" hidden="true" customHeight="false" outlineLevel="0" collapsed="false">
      <c r="A113" s="78" t="s">
        <v>40</v>
      </c>
      <c r="B113" s="79" t="s">
        <v>38</v>
      </c>
      <c r="C113" s="80"/>
      <c r="D113" s="81"/>
      <c r="E113" s="81"/>
      <c r="G113" s="2" t="s">
        <v>50</v>
      </c>
    </row>
    <row r="114" customFormat="false" ht="12.8" hidden="true" customHeight="false" outlineLevel="0" collapsed="false">
      <c r="A114" s="78"/>
      <c r="B114" s="79" t="s">
        <v>39</v>
      </c>
      <c r="C114" s="81" t="n">
        <f aca="false">C113*8/7</f>
        <v>0</v>
      </c>
      <c r="D114" s="81" t="n">
        <f aca="false">D108/220*2*1.2</f>
        <v>32.8581818181818</v>
      </c>
      <c r="E114" s="81" t="n">
        <f aca="false">C114*D114</f>
        <v>0</v>
      </c>
      <c r="G114" s="2" t="s">
        <v>50</v>
      </c>
    </row>
    <row r="115" customFormat="false" ht="12.8" hidden="true" customHeight="false" outlineLevel="0" collapsed="false">
      <c r="A115" s="78" t="s">
        <v>25</v>
      </c>
      <c r="B115" s="79" t="s">
        <v>24</v>
      </c>
      <c r="C115" s="80"/>
      <c r="D115" s="81" t="n">
        <f aca="false">D108/220*1.5</f>
        <v>20.5363636363636</v>
      </c>
      <c r="E115" s="81" t="n">
        <f aca="false">C115*D115</f>
        <v>0</v>
      </c>
      <c r="G115" s="2" t="s">
        <v>51</v>
      </c>
    </row>
    <row r="116" customFormat="false" ht="12.8" hidden="true" customHeight="false" outlineLevel="0" collapsed="false">
      <c r="A116" s="78" t="s">
        <v>41</v>
      </c>
      <c r="B116" s="79" t="s">
        <v>38</v>
      </c>
      <c r="C116" s="80"/>
      <c r="D116" s="81"/>
      <c r="E116" s="81"/>
      <c r="G116" s="2" t="s">
        <v>52</v>
      </c>
    </row>
    <row r="117" customFormat="false" ht="12.8" hidden="true" customHeight="false" outlineLevel="0" collapsed="false">
      <c r="A117" s="78"/>
      <c r="B117" s="79" t="s">
        <v>39</v>
      </c>
      <c r="C117" s="81" t="n">
        <f aca="false">C116*8/7</f>
        <v>0</v>
      </c>
      <c r="D117" s="81" t="n">
        <f aca="false">D108/220*1.5*1.2</f>
        <v>24.6436363636364</v>
      </c>
      <c r="E117" s="81" t="n">
        <f aca="false">C117*D117</f>
        <v>0</v>
      </c>
      <c r="G117" s="2" t="s">
        <v>52</v>
      </c>
    </row>
    <row r="118" customFormat="false" ht="13.15" hidden="true" customHeight="true" outlineLevel="0" collapsed="false">
      <c r="A118" s="78" t="s">
        <v>26</v>
      </c>
      <c r="B118" s="79" t="s">
        <v>27</v>
      </c>
      <c r="D118" s="81" t="n">
        <f aca="false">63/302*(SUM(E112:E117))</f>
        <v>0</v>
      </c>
      <c r="E118" s="81" t="n">
        <f aca="false">D118</f>
        <v>0</v>
      </c>
      <c r="G118" s="2" t="s">
        <v>53</v>
      </c>
    </row>
    <row r="119" customFormat="false" ht="12.8" hidden="true" customHeight="false" outlineLevel="0" collapsed="false">
      <c r="A119" s="78" t="s">
        <v>45</v>
      </c>
      <c r="B119" s="79"/>
      <c r="C119" s="87"/>
      <c r="D119" s="81"/>
      <c r="E119" s="81"/>
    </row>
    <row r="120" customFormat="false" ht="12.8" hidden="true" customHeight="false" outlineLevel="0" collapsed="false">
      <c r="A120" s="78" t="s">
        <v>28</v>
      </c>
      <c r="B120" s="79" t="s">
        <v>5</v>
      </c>
      <c r="C120" s="81" t="n">
        <f aca="false">+C84</f>
        <v>40</v>
      </c>
      <c r="D120" s="81" t="n">
        <f aca="false">IF(C119=2,SUM(E108:E118),IF(C119=1,SUM(E108:E118)*D109/D108,0))</f>
        <v>0</v>
      </c>
      <c r="E120" s="81" t="n">
        <f aca="false">C120*D120/100</f>
        <v>0</v>
      </c>
    </row>
    <row r="121" customFormat="false" ht="12.8" hidden="true" customHeight="false" outlineLevel="0" collapsed="false">
      <c r="A121" s="82" t="s">
        <v>29</v>
      </c>
      <c r="B121" s="83"/>
      <c r="C121" s="83"/>
      <c r="D121" s="84"/>
      <c r="E121" s="85" t="n">
        <f aca="false">SUM(E108:E120)</f>
        <v>3012</v>
      </c>
      <c r="F121" s="25"/>
      <c r="G121" s="25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</row>
    <row r="122" customFormat="false" ht="12.8" hidden="true" customHeight="false" outlineLevel="0" collapsed="false">
      <c r="A122" s="78" t="s">
        <v>30</v>
      </c>
      <c r="B122" s="79" t="s">
        <v>5</v>
      </c>
      <c r="C122" s="86" t="n">
        <f aca="false">'2.Encargos Sociais'!$C$31*100</f>
        <v>70.595952</v>
      </c>
      <c r="D122" s="81" t="n">
        <f aca="false">E121</f>
        <v>3012</v>
      </c>
      <c r="E122" s="81" t="n">
        <f aca="false">D122*C122/100</f>
        <v>2126.35007424</v>
      </c>
    </row>
    <row r="123" customFormat="false" ht="12.8" hidden="true" customHeight="false" outlineLevel="0" collapsed="false">
      <c r="A123" s="82" t="s">
        <v>46</v>
      </c>
      <c r="B123" s="83"/>
      <c r="C123" s="83"/>
      <c r="D123" s="84"/>
      <c r="E123" s="85" t="n">
        <f aca="false">E121+E122</f>
        <v>5138.35007424</v>
      </c>
      <c r="F123" s="25"/>
      <c r="G123" s="25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</row>
    <row r="124" customFormat="false" ht="12.8" hidden="true" customHeight="false" outlineLevel="0" collapsed="false">
      <c r="A124" s="78" t="s">
        <v>32</v>
      </c>
      <c r="B124" s="79" t="s">
        <v>33</v>
      </c>
      <c r="C124" s="92" t="n">
        <v>0</v>
      </c>
      <c r="D124" s="81" t="n">
        <f aca="false">E123</f>
        <v>5138.35007424</v>
      </c>
      <c r="E124" s="81" t="n">
        <f aca="false">C124*D124</f>
        <v>0</v>
      </c>
    </row>
    <row r="125" customFormat="false" ht="12.8" hidden="true" customHeight="false" outlineLevel="0" collapsed="false">
      <c r="D125" s="88" t="s">
        <v>34</v>
      </c>
      <c r="E125" s="89" t="n">
        <f aca="false">$B$40</f>
        <v>0.6354</v>
      </c>
      <c r="F125" s="90" t="n">
        <f aca="false">E124*E125</f>
        <v>0</v>
      </c>
    </row>
    <row r="126" customFormat="false" ht="12.8" hidden="false" customHeight="false" outlineLevel="0" collapsed="false">
      <c r="A126" s="69" t="s">
        <v>226</v>
      </c>
      <c r="B126" s="100"/>
      <c r="D126" s="1"/>
      <c r="E126" s="1"/>
      <c r="G126" s="1"/>
    </row>
    <row r="127" customFormat="false" ht="12.8" hidden="false" customHeight="false" outlineLevel="0" collapsed="false">
      <c r="A127" s="70" t="s">
        <v>16</v>
      </c>
      <c r="B127" s="71" t="s">
        <v>17</v>
      </c>
      <c r="C127" s="71" t="s">
        <v>9</v>
      </c>
      <c r="D127" s="72" t="s">
        <v>18</v>
      </c>
      <c r="E127" s="72" t="s">
        <v>19</v>
      </c>
      <c r="F127" s="73" t="s">
        <v>20</v>
      </c>
      <c r="G127" s="1"/>
    </row>
    <row r="128" customFormat="false" ht="12.8" hidden="false" customHeight="false" outlineLevel="0" collapsed="false">
      <c r="A128" s="78" t="s">
        <v>57</v>
      </c>
      <c r="B128" s="79" t="s">
        <v>27</v>
      </c>
      <c r="C128" s="101" t="n">
        <v>1</v>
      </c>
      <c r="D128" s="102" t="n">
        <f aca="false">'VALORES BASE'!B18</f>
        <v>6.5</v>
      </c>
      <c r="E128" s="81"/>
      <c r="G128" s="1"/>
    </row>
    <row r="129" customFormat="false" ht="12.8" hidden="false" customHeight="false" outlineLevel="0" collapsed="false">
      <c r="A129" s="78" t="s">
        <v>58</v>
      </c>
      <c r="B129" s="79" t="s">
        <v>59</v>
      </c>
      <c r="C129" s="103" t="n">
        <v>26</v>
      </c>
      <c r="D129" s="81"/>
      <c r="E129" s="81"/>
      <c r="G129" s="1"/>
    </row>
    <row r="130" customFormat="false" ht="12.8" hidden="false" customHeight="false" outlineLevel="0" collapsed="false">
      <c r="A130" s="78" t="s">
        <v>60</v>
      </c>
      <c r="B130" s="79" t="s">
        <v>61</v>
      </c>
      <c r="C130" s="104" t="n">
        <f aca="false">$C$129*2*(C54+C73)</f>
        <v>468</v>
      </c>
      <c r="D130" s="77" t="n">
        <f aca="false">IFERROR((($C$129*2*$D$128)-(E46*0.06*C129/26))/($C$129*2),"-")</f>
        <v>4.09733461538462</v>
      </c>
      <c r="E130" s="81" t="n">
        <f aca="false">IFERROR(C130*D130,"-")</f>
        <v>1917.5526</v>
      </c>
      <c r="G130" s="1"/>
    </row>
    <row r="131" customFormat="false" ht="12.8" hidden="false" customHeight="false" outlineLevel="0" collapsed="false">
      <c r="A131" s="74" t="s">
        <v>62</v>
      </c>
      <c r="B131" s="75" t="s">
        <v>61</v>
      </c>
      <c r="C131" s="104" t="n">
        <f aca="false">$C$129*2*(C88+C124+C103)</f>
        <v>156</v>
      </c>
      <c r="D131" s="77" t="n">
        <f aca="false">IFERROR((($C$129*2*$D$128)-(E78*0.06*C129/26))/($C$129*2),"-")</f>
        <v>3.02461538461538</v>
      </c>
      <c r="E131" s="77" t="n">
        <f aca="false">IFERROR(C131*D131,"-")</f>
        <v>471.84</v>
      </c>
      <c r="G131" s="1"/>
    </row>
    <row r="132" customFormat="false" ht="12.8" hidden="false" customHeight="false" outlineLevel="0" collapsed="false">
      <c r="F132" s="105" t="n">
        <f aca="false">SUM(E130:E131)</f>
        <v>2389.3926</v>
      </c>
      <c r="G132" s="1"/>
    </row>
    <row r="133" customFormat="false" ht="11.25" hidden="false" customHeight="true" outlineLevel="0" collapsed="false">
      <c r="G133" s="1"/>
    </row>
    <row r="134" customFormat="false" ht="12.8" hidden="false" customHeight="false" outlineLevel="0" collapsed="false">
      <c r="A134" s="69" t="s">
        <v>227</v>
      </c>
      <c r="F134" s="25"/>
      <c r="G134" s="1"/>
    </row>
    <row r="135" customFormat="false" ht="12.8" hidden="false" customHeight="false" outlineLevel="0" collapsed="false">
      <c r="A135" s="70" t="s">
        <v>16</v>
      </c>
      <c r="B135" s="71" t="s">
        <v>17</v>
      </c>
      <c r="C135" s="71" t="s">
        <v>9</v>
      </c>
      <c r="D135" s="72" t="s">
        <v>18</v>
      </c>
      <c r="E135" s="72" t="s">
        <v>19</v>
      </c>
      <c r="F135" s="73" t="s">
        <v>20</v>
      </c>
      <c r="G135" s="1"/>
    </row>
    <row r="136" customFormat="false" ht="12.8" hidden="false" customHeight="false" outlineLevel="0" collapsed="false">
      <c r="A136" s="78" t="str">
        <f aca="false">+A130</f>
        <v>Coletor</v>
      </c>
      <c r="B136" s="79" t="s">
        <v>65</v>
      </c>
      <c r="C136" s="104" t="n">
        <f aca="false">C129*(E30+E31)</f>
        <v>234</v>
      </c>
      <c r="D136" s="106" t="n">
        <f aca="false">'VALORES BASE'!B19</f>
        <v>27.15</v>
      </c>
      <c r="E136" s="89" t="n">
        <f aca="false">C136*D136</f>
        <v>6353.1</v>
      </c>
      <c r="F136" s="25"/>
      <c r="G136" s="1"/>
    </row>
    <row r="137" customFormat="false" ht="12.8" hidden="false" customHeight="false" outlineLevel="0" collapsed="false">
      <c r="A137" s="78" t="str">
        <f aca="false">+A131</f>
        <v>Motorista</v>
      </c>
      <c r="B137" s="79" t="s">
        <v>65</v>
      </c>
      <c r="C137" s="104" t="n">
        <f aca="false">C129*(E32+E33+E34)</f>
        <v>78</v>
      </c>
      <c r="D137" s="106" t="n">
        <f aca="false">'VALORES BASE'!B20</f>
        <v>35.75</v>
      </c>
      <c r="E137" s="89" t="n">
        <f aca="false">C137*D137</f>
        <v>2788.5</v>
      </c>
      <c r="F137" s="25"/>
      <c r="G137" s="1"/>
    </row>
    <row r="138" customFormat="false" ht="12.8" hidden="false" customHeight="false" outlineLevel="0" collapsed="false">
      <c r="F138" s="105" t="n">
        <f aca="false">SUM(E136:E137)</f>
        <v>9141.6</v>
      </c>
      <c r="G138" s="1"/>
    </row>
    <row r="139" customFormat="false" ht="12.8" hidden="false" customHeight="false" outlineLevel="0" collapsed="false">
      <c r="G139" s="1"/>
    </row>
    <row r="140" customFormat="false" ht="12.8" hidden="false" customHeight="false" outlineLevel="0" collapsed="false">
      <c r="A140" s="69" t="s">
        <v>228</v>
      </c>
      <c r="F140" s="25"/>
      <c r="G140" s="1"/>
    </row>
    <row r="141" customFormat="false" ht="12.8" hidden="false" customHeight="false" outlineLevel="0" collapsed="false">
      <c r="A141" s="70" t="s">
        <v>16</v>
      </c>
      <c r="B141" s="71" t="s">
        <v>17</v>
      </c>
      <c r="C141" s="71" t="s">
        <v>9</v>
      </c>
      <c r="D141" s="72" t="s">
        <v>18</v>
      </c>
      <c r="E141" s="72" t="s">
        <v>19</v>
      </c>
      <c r="F141" s="73" t="s">
        <v>20</v>
      </c>
      <c r="G141" s="1"/>
    </row>
    <row r="142" customFormat="false" ht="12.8" hidden="false" customHeight="false" outlineLevel="0" collapsed="false">
      <c r="A142" s="78" t="str">
        <f aca="false">+A136</f>
        <v>Coletor</v>
      </c>
      <c r="B142" s="79" t="s">
        <v>65</v>
      </c>
      <c r="C142" s="104" t="n">
        <f aca="false">E30+E31</f>
        <v>9</v>
      </c>
      <c r="D142" s="106" t="n">
        <f aca="false">'VALORES BASE'!B21</f>
        <v>400</v>
      </c>
      <c r="E142" s="89" t="n">
        <f aca="false">C142*D142</f>
        <v>3600</v>
      </c>
      <c r="F142" s="25"/>
      <c r="G142" s="1"/>
    </row>
    <row r="143" customFormat="false" ht="12.8" hidden="false" customHeight="false" outlineLevel="0" collapsed="false">
      <c r="A143" s="78" t="str">
        <f aca="false">+A137</f>
        <v>Motorista</v>
      </c>
      <c r="B143" s="79" t="s">
        <v>65</v>
      </c>
      <c r="C143" s="104" t="n">
        <f aca="false">E32</f>
        <v>3</v>
      </c>
      <c r="D143" s="106" t="n">
        <f aca="false">'VALORES BASE'!B22</f>
        <v>400</v>
      </c>
      <c r="E143" s="89" t="n">
        <f aca="false">C143*D143</f>
        <v>1200</v>
      </c>
      <c r="F143" s="25"/>
      <c r="G143" s="1"/>
    </row>
    <row r="144" customFormat="false" ht="12.8" hidden="false" customHeight="false" outlineLevel="0" collapsed="false">
      <c r="D144" s="88" t="s">
        <v>34</v>
      </c>
      <c r="E144" s="89" t="n">
        <f aca="false">'FATOR FU_OFICIAL'!F19</f>
        <v>1</v>
      </c>
      <c r="F144" s="105" t="n">
        <f aca="false">SUM(E142:E143)*E144</f>
        <v>4800</v>
      </c>
      <c r="G144" s="1"/>
    </row>
    <row r="145" customFormat="false" ht="12.8" hidden="false" customHeight="false" outlineLevel="0" collapsed="false">
      <c r="G145" s="1"/>
    </row>
    <row r="146" customFormat="false" ht="12.8" hidden="true" customHeight="false" outlineLevel="0" collapsed="false">
      <c r="A146" s="69" t="s">
        <v>229</v>
      </c>
      <c r="F146" s="25"/>
      <c r="G146" s="1"/>
    </row>
    <row r="147" customFormat="false" ht="12.8" hidden="true" customHeight="false" outlineLevel="0" collapsed="false">
      <c r="A147" s="70" t="s">
        <v>16</v>
      </c>
      <c r="B147" s="71" t="s">
        <v>17</v>
      </c>
      <c r="C147" s="71" t="s">
        <v>9</v>
      </c>
      <c r="D147" s="72" t="s">
        <v>18</v>
      </c>
      <c r="E147" s="72" t="s">
        <v>19</v>
      </c>
      <c r="F147" s="73" t="s">
        <v>20</v>
      </c>
      <c r="G147" s="1"/>
    </row>
    <row r="148" customFormat="false" ht="12.8" hidden="true" customHeight="false" outlineLevel="0" collapsed="false">
      <c r="A148" s="78" t="s">
        <v>230</v>
      </c>
      <c r="B148" s="79" t="s">
        <v>65</v>
      </c>
      <c r="C148" s="104" t="n">
        <f aca="false">E33</f>
        <v>0</v>
      </c>
      <c r="D148" s="106" t="n">
        <f aca="false">'VALORES BASE'!B21</f>
        <v>400</v>
      </c>
      <c r="E148" s="89" t="n">
        <f aca="false">C148*D148</f>
        <v>0</v>
      </c>
      <c r="F148" s="25"/>
      <c r="G148" s="1"/>
    </row>
    <row r="149" customFormat="false" ht="12.8" hidden="true" customHeight="false" outlineLevel="0" collapsed="false">
      <c r="D149" s="88" t="s">
        <v>34</v>
      </c>
      <c r="E149" s="89" t="n">
        <f aca="false">'FATOR FU_OFICIAL'!F23</f>
        <v>1</v>
      </c>
      <c r="F149" s="105" t="n">
        <f aca="false">SUM(E148)*E149</f>
        <v>0</v>
      </c>
      <c r="G149" s="1"/>
    </row>
    <row r="150" customFormat="false" ht="12.8" hidden="false" customHeight="false" outlineLevel="0" collapsed="false">
      <c r="A150" s="69" t="s">
        <v>231</v>
      </c>
      <c r="F150" s="25"/>
      <c r="G150" s="1"/>
    </row>
    <row r="151" customFormat="false" ht="12.8" hidden="false" customHeight="false" outlineLevel="0" collapsed="false">
      <c r="A151" s="70" t="s">
        <v>16</v>
      </c>
      <c r="B151" s="71" t="s">
        <v>17</v>
      </c>
      <c r="C151" s="71" t="s">
        <v>9</v>
      </c>
      <c r="D151" s="72" t="s">
        <v>18</v>
      </c>
      <c r="E151" s="72" t="s">
        <v>19</v>
      </c>
      <c r="F151" s="107" t="s">
        <v>72</v>
      </c>
      <c r="G151" s="1"/>
    </row>
    <row r="152" customFormat="false" ht="12.8" hidden="false" customHeight="false" outlineLevel="0" collapsed="false">
      <c r="A152" s="78" t="s">
        <v>60</v>
      </c>
      <c r="B152" s="79" t="s">
        <v>65</v>
      </c>
      <c r="C152" s="104" t="n">
        <f aca="false">E30</f>
        <v>9</v>
      </c>
      <c r="D152" s="106" t="n">
        <f aca="false">'VALORES BASE'!B65</f>
        <v>28</v>
      </c>
      <c r="E152" s="89" t="n">
        <f aca="false">C152*D152</f>
        <v>252</v>
      </c>
      <c r="F152" s="25"/>
      <c r="G152" s="1"/>
    </row>
    <row r="153" customFormat="false" ht="12.8" hidden="false" customHeight="false" outlineLevel="0" collapsed="false">
      <c r="A153" s="78" t="s">
        <v>62</v>
      </c>
      <c r="B153" s="79" t="s">
        <v>65</v>
      </c>
      <c r="C153" s="104" t="n">
        <f aca="false">E32</f>
        <v>3</v>
      </c>
      <c r="D153" s="106" t="n">
        <f aca="false">'VALORES BASE'!B65</f>
        <v>28</v>
      </c>
      <c r="E153" s="89" t="n">
        <f aca="false">C153*D153</f>
        <v>84</v>
      </c>
      <c r="F153" s="25"/>
      <c r="G153" s="1"/>
    </row>
    <row r="154" customFormat="false" ht="12.8" hidden="false" customHeight="false" outlineLevel="0" collapsed="false">
      <c r="A154" s="3"/>
      <c r="D154" s="88" t="s">
        <v>34</v>
      </c>
      <c r="E154" s="89" t="n">
        <f aca="false">'FATOR FU_OFICIAL'!F19</f>
        <v>1</v>
      </c>
      <c r="F154" s="105" t="n">
        <f aca="false">E154*(E152+E153)</f>
        <v>336</v>
      </c>
      <c r="G154" s="1"/>
    </row>
    <row r="155" customFormat="false" ht="12.8" hidden="false" customHeight="false" outlineLevel="0" collapsed="false">
      <c r="G155" s="1"/>
    </row>
    <row r="156" customFormat="false" ht="12.8" hidden="false" customHeight="false" outlineLevel="0" collapsed="false">
      <c r="A156" s="69" t="s">
        <v>232</v>
      </c>
      <c r="F156" s="25"/>
      <c r="G156" s="1"/>
    </row>
    <row r="157" customFormat="false" ht="12.8" hidden="false" customHeight="false" outlineLevel="0" collapsed="false">
      <c r="A157" s="70" t="s">
        <v>16</v>
      </c>
      <c r="B157" s="71" t="s">
        <v>17</v>
      </c>
      <c r="C157" s="71" t="s">
        <v>9</v>
      </c>
      <c r="D157" s="72" t="s">
        <v>18</v>
      </c>
      <c r="E157" s="72" t="s">
        <v>19</v>
      </c>
      <c r="F157" s="107" t="s">
        <v>72</v>
      </c>
      <c r="G157" s="1"/>
    </row>
    <row r="158" customFormat="false" ht="12.8" hidden="false" customHeight="false" outlineLevel="0" collapsed="false">
      <c r="A158" s="78" t="s">
        <v>60</v>
      </c>
      <c r="B158" s="79" t="s">
        <v>65</v>
      </c>
      <c r="C158" s="104" t="n">
        <f aca="false">E30</f>
        <v>9</v>
      </c>
      <c r="D158" s="106" t="n">
        <f aca="false">'VALORES BASE'!B67</f>
        <v>80</v>
      </c>
      <c r="E158" s="89" t="n">
        <f aca="false">C158*D158</f>
        <v>720</v>
      </c>
      <c r="F158" s="25"/>
      <c r="G158" s="1"/>
    </row>
    <row r="159" customFormat="false" ht="12.8" hidden="false" customHeight="false" outlineLevel="0" collapsed="false">
      <c r="A159" s="78" t="s">
        <v>62</v>
      </c>
      <c r="B159" s="79" t="s">
        <v>65</v>
      </c>
      <c r="C159" s="104" t="n">
        <f aca="false">E32</f>
        <v>3</v>
      </c>
      <c r="D159" s="106" t="n">
        <f aca="false">'VALORES BASE'!B66</f>
        <v>100.4</v>
      </c>
      <c r="E159" s="89" t="n">
        <f aca="false">C159*D159</f>
        <v>301.2</v>
      </c>
      <c r="F159" s="25"/>
      <c r="G159" s="1"/>
    </row>
    <row r="160" customFormat="false" ht="12.8" hidden="false" customHeight="false" outlineLevel="0" collapsed="false">
      <c r="D160" s="88" t="s">
        <v>34</v>
      </c>
      <c r="E160" s="89" t="n">
        <f aca="false">'FATOR FU_OFICIAL'!F19</f>
        <v>1</v>
      </c>
      <c r="F160" s="105" t="n">
        <f aca="false">E160*(E158+E159)</f>
        <v>1021.2</v>
      </c>
      <c r="G160" s="1"/>
    </row>
    <row r="161" customFormat="false" ht="12.8" hidden="false" customHeight="false" outlineLevel="0" collapsed="false">
      <c r="A161" s="69" t="s">
        <v>233</v>
      </c>
      <c r="F161" s="25"/>
      <c r="G161" s="1"/>
    </row>
    <row r="162" customFormat="false" ht="12.8" hidden="false" customHeight="false" outlineLevel="0" collapsed="false">
      <c r="A162" s="70" t="s">
        <v>16</v>
      </c>
      <c r="B162" s="71" t="s">
        <v>17</v>
      </c>
      <c r="C162" s="71" t="s">
        <v>9</v>
      </c>
      <c r="D162" s="72" t="s">
        <v>18</v>
      </c>
      <c r="E162" s="72" t="s">
        <v>19</v>
      </c>
      <c r="F162" s="107" t="s">
        <v>72</v>
      </c>
      <c r="G162" s="1"/>
    </row>
    <row r="163" customFormat="false" ht="12.8" hidden="false" customHeight="false" outlineLevel="0" collapsed="false">
      <c r="A163" s="78" t="s">
        <v>73</v>
      </c>
      <c r="B163" s="79" t="s">
        <v>65</v>
      </c>
      <c r="C163" s="104" t="n">
        <f aca="false">E30</f>
        <v>9</v>
      </c>
      <c r="D163" s="106" t="n">
        <f aca="false">'VALORES BASE'!B68</f>
        <v>25.52</v>
      </c>
      <c r="E163" s="89" t="n">
        <f aca="false">C163*D163</f>
        <v>229.68</v>
      </c>
      <c r="F163" s="25"/>
      <c r="G163" s="1"/>
    </row>
    <row r="164" customFormat="false" ht="12.8" hidden="false" customHeight="false" outlineLevel="0" collapsed="false">
      <c r="D164" s="88" t="s">
        <v>34</v>
      </c>
      <c r="E164" s="89" t="n">
        <f aca="false">'FATOR FU_OFICIAL'!F19</f>
        <v>1</v>
      </c>
      <c r="F164" s="105" t="n">
        <f aca="false">E164*(E163)</f>
        <v>229.68</v>
      </c>
      <c r="G164" s="1"/>
    </row>
    <row r="165" customFormat="false" ht="12.8" hidden="false" customHeight="false" outlineLevel="0" collapsed="false">
      <c r="G165" s="1"/>
    </row>
    <row r="166" customFormat="false" ht="12.8" hidden="false" customHeight="false" outlineLevel="0" collapsed="false">
      <c r="G166" s="1"/>
    </row>
    <row r="167" customFormat="false" ht="12.8" hidden="false" customHeight="false" outlineLevel="0" collapsed="false">
      <c r="A167" s="108" t="s">
        <v>77</v>
      </c>
      <c r="B167" s="109"/>
      <c r="C167" s="109"/>
      <c r="D167" s="38"/>
      <c r="E167" s="110"/>
      <c r="F167" s="105" t="n">
        <f aca="false">F144+F138+F132+F125+F89+F74+F55+F149+F104+F154+F160+F164</f>
        <v>86935.9418269738</v>
      </c>
      <c r="G167" s="1"/>
    </row>
    <row r="169" customFormat="false" ht="12.8" hidden="false" customHeight="false" outlineLevel="0" collapsed="false">
      <c r="A169" s="26" t="s">
        <v>78</v>
      </c>
      <c r="G169" s="1"/>
    </row>
    <row r="170" customFormat="false" ht="11.25" hidden="false" customHeight="true" outlineLevel="0" collapsed="false">
      <c r="G170" s="1"/>
    </row>
    <row r="171" customFormat="false" ht="13.9" hidden="false" customHeight="true" outlineLevel="0" collapsed="false">
      <c r="A171" s="1" t="s">
        <v>79</v>
      </c>
      <c r="G171" s="1"/>
    </row>
    <row r="172" customFormat="false" ht="11.25" hidden="false" customHeight="true" outlineLevel="0" collapsed="false">
      <c r="G172" s="1"/>
    </row>
    <row r="173" customFormat="false" ht="27.75" hidden="false" customHeight="true" outlineLevel="0" collapsed="false">
      <c r="A173" s="70" t="s">
        <v>16</v>
      </c>
      <c r="B173" s="71" t="s">
        <v>17</v>
      </c>
      <c r="C173" s="111" t="s">
        <v>80</v>
      </c>
      <c r="D173" s="72" t="s">
        <v>18</v>
      </c>
      <c r="E173" s="72" t="s">
        <v>19</v>
      </c>
      <c r="F173" s="73" t="s">
        <v>20</v>
      </c>
      <c r="G173" s="1"/>
    </row>
    <row r="174" customFormat="false" ht="12.8" hidden="false" customHeight="false" outlineLevel="0" collapsed="false">
      <c r="A174" s="74" t="s">
        <v>81</v>
      </c>
      <c r="B174" s="75" t="s">
        <v>65</v>
      </c>
      <c r="C174" s="112" t="n">
        <v>6</v>
      </c>
      <c r="D174" s="76" t="n">
        <f aca="false">'VALORES BASE'!B5</f>
        <v>150</v>
      </c>
      <c r="E174" s="77" t="n">
        <f aca="false">IFERROR((D174/C174)*2,0)</f>
        <v>50</v>
      </c>
      <c r="G174" s="1"/>
    </row>
    <row r="175" customFormat="false" ht="13.15" hidden="false" customHeight="true" outlineLevel="0" collapsed="false">
      <c r="A175" s="78" t="s">
        <v>82</v>
      </c>
      <c r="B175" s="79" t="s">
        <v>65</v>
      </c>
      <c r="C175" s="112" t="n">
        <v>6</v>
      </c>
      <c r="D175" s="76" t="n">
        <f aca="false">'VALORES BASE'!B6</f>
        <v>64.66</v>
      </c>
      <c r="E175" s="77" t="n">
        <f aca="false">IFERROR((D175/C175)*2,0)</f>
        <v>21.5533333333333</v>
      </c>
      <c r="G175" s="1"/>
    </row>
    <row r="176" customFormat="false" ht="12.8" hidden="false" customHeight="false" outlineLevel="0" collapsed="false">
      <c r="A176" s="78" t="s">
        <v>83</v>
      </c>
      <c r="B176" s="79" t="s">
        <v>65</v>
      </c>
      <c r="C176" s="112" t="n">
        <v>6</v>
      </c>
      <c r="D176" s="76" t="n">
        <f aca="false">'VALORES BASE'!B7</f>
        <v>41.89</v>
      </c>
      <c r="E176" s="77" t="n">
        <f aca="false">IFERROR((D176/C176)*2,0)</f>
        <v>13.9633333333333</v>
      </c>
      <c r="G176" s="1"/>
    </row>
    <row r="177" customFormat="false" ht="13.15" hidden="false" customHeight="true" outlineLevel="0" collapsed="false">
      <c r="A177" s="78" t="s">
        <v>84</v>
      </c>
      <c r="B177" s="79" t="s">
        <v>65</v>
      </c>
      <c r="C177" s="112" t="n">
        <v>6</v>
      </c>
      <c r="D177" s="76" t="n">
        <f aca="false">'VALORES BASE'!B8</f>
        <v>165</v>
      </c>
      <c r="E177" s="77" t="n">
        <f aca="false">IFERROR(D177/C177,0)</f>
        <v>27.5</v>
      </c>
      <c r="G177" s="1"/>
    </row>
    <row r="178" customFormat="false" ht="13.15" hidden="false" customHeight="true" outlineLevel="0" collapsed="false">
      <c r="A178" s="78" t="s">
        <v>85</v>
      </c>
      <c r="B178" s="79" t="s">
        <v>65</v>
      </c>
      <c r="C178" s="112" t="n">
        <v>6</v>
      </c>
      <c r="D178" s="76" t="n">
        <f aca="false">'VALORES BASE'!B33</f>
        <v>5</v>
      </c>
      <c r="E178" s="77" t="n">
        <f aca="false">IFERROR((D178/C178)*2,0)</f>
        <v>1.66666666666667</v>
      </c>
      <c r="G178" s="1"/>
    </row>
    <row r="179" customFormat="false" ht="13.9" hidden="false" customHeight="true" outlineLevel="0" collapsed="false">
      <c r="A179" s="78" t="s">
        <v>86</v>
      </c>
      <c r="B179" s="79" t="s">
        <v>87</v>
      </c>
      <c r="C179" s="112" t="n">
        <v>6</v>
      </c>
      <c r="D179" s="76" t="n">
        <f aca="false">'VALORES BASE'!B9</f>
        <v>119.95</v>
      </c>
      <c r="E179" s="77" t="n">
        <f aca="false">IFERROR(D179/C179,0)</f>
        <v>19.9916666666667</v>
      </c>
      <c r="G179" s="1"/>
    </row>
    <row r="180" customFormat="false" ht="13.15" hidden="false" customHeight="true" outlineLevel="0" collapsed="false">
      <c r="A180" s="78" t="s">
        <v>88</v>
      </c>
      <c r="B180" s="79" t="s">
        <v>87</v>
      </c>
      <c r="C180" s="112" t="n">
        <v>3</v>
      </c>
      <c r="D180" s="76" t="n">
        <f aca="false">'VALORES BASE'!B10</f>
        <v>7.2</v>
      </c>
      <c r="E180" s="77" t="n">
        <f aca="false">IFERROR(D180/C180,0)</f>
        <v>2.4</v>
      </c>
    </row>
    <row r="181" customFormat="false" ht="12.8" hidden="false" customHeight="false" outlineLevel="0" collapsed="false">
      <c r="A181" s="78" t="s">
        <v>89</v>
      </c>
      <c r="B181" s="79" t="s">
        <v>65</v>
      </c>
      <c r="C181" s="112" t="n">
        <v>6</v>
      </c>
      <c r="D181" s="76" t="n">
        <f aca="false">'VALORES BASE'!B11</f>
        <v>43.19</v>
      </c>
      <c r="E181" s="77" t="n">
        <f aca="false">IFERROR(D181/C181,0)</f>
        <v>7.19833333333333</v>
      </c>
    </row>
    <row r="182" customFormat="false" ht="12.8" hidden="false" customHeight="false" outlineLevel="0" collapsed="false">
      <c r="A182" s="113" t="s">
        <v>90</v>
      </c>
      <c r="B182" s="114" t="s">
        <v>65</v>
      </c>
      <c r="C182" s="112" t="n">
        <v>6</v>
      </c>
      <c r="D182" s="76" t="n">
        <f aca="false">'VALORES BASE'!B12</f>
        <v>19.13</v>
      </c>
      <c r="E182" s="77" t="n">
        <f aca="false">IFERROR((D182/C182)*2,0)</f>
        <v>6.37666666666667</v>
      </c>
      <c r="F182" s="115"/>
      <c r="G182" s="115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/>
      <c r="AL182" s="116"/>
      <c r="AM182" s="116"/>
      <c r="AN182" s="116"/>
      <c r="AO182" s="116"/>
      <c r="AP182" s="116"/>
      <c r="AQ182" s="116"/>
      <c r="AR182" s="116"/>
      <c r="AS182" s="116"/>
      <c r="AT182" s="116"/>
      <c r="AU182" s="116"/>
      <c r="AV182" s="116"/>
      <c r="AW182" s="116"/>
      <c r="AX182" s="116"/>
      <c r="AY182" s="116"/>
      <c r="AZ182" s="116"/>
      <c r="BA182" s="116"/>
      <c r="BB182" s="116"/>
      <c r="BC182" s="116"/>
      <c r="BD182" s="116"/>
      <c r="BE182" s="116"/>
      <c r="BF182" s="116"/>
      <c r="BG182" s="116"/>
      <c r="BH182" s="116"/>
      <c r="BI182" s="116"/>
      <c r="BJ182" s="116"/>
      <c r="BK182" s="116"/>
      <c r="BL182" s="116"/>
      <c r="BM182" s="116"/>
      <c r="BN182" s="116"/>
      <c r="BO182" s="116"/>
      <c r="BP182" s="116"/>
      <c r="BQ182" s="116"/>
      <c r="BR182" s="116"/>
      <c r="BS182" s="116"/>
      <c r="BT182" s="116"/>
      <c r="BU182" s="116"/>
      <c r="BV182" s="116"/>
      <c r="BW182" s="116"/>
      <c r="BX182" s="116"/>
      <c r="BY182" s="116"/>
      <c r="BZ182" s="116"/>
      <c r="CA182" s="116"/>
      <c r="CB182" s="116"/>
      <c r="CC182" s="116"/>
      <c r="CD182" s="116"/>
      <c r="CE182" s="116"/>
      <c r="CF182" s="116"/>
      <c r="CG182" s="116"/>
      <c r="CH182" s="116"/>
      <c r="CI182" s="116"/>
      <c r="CJ182" s="116"/>
      <c r="CK182" s="116"/>
      <c r="CL182" s="116"/>
      <c r="CM182" s="116"/>
      <c r="CN182" s="116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6"/>
      <c r="DC182" s="116"/>
      <c r="DD182" s="116"/>
      <c r="DE182" s="116"/>
      <c r="DF182" s="116"/>
      <c r="DG182" s="116"/>
      <c r="DH182" s="116"/>
      <c r="DI182" s="116"/>
      <c r="DJ182" s="116"/>
      <c r="DK182" s="116"/>
      <c r="DL182" s="116"/>
      <c r="DM182" s="116"/>
      <c r="DN182" s="116"/>
      <c r="DO182" s="116"/>
      <c r="DP182" s="116"/>
      <c r="DQ182" s="116"/>
      <c r="DR182" s="116"/>
      <c r="DS182" s="116"/>
      <c r="DT182" s="116"/>
      <c r="DU182" s="116"/>
      <c r="DV182" s="116"/>
      <c r="DW182" s="116"/>
      <c r="DX182" s="116"/>
      <c r="DY182" s="116"/>
      <c r="DZ182" s="116"/>
      <c r="EA182" s="116"/>
      <c r="EB182" s="116"/>
      <c r="EC182" s="116"/>
      <c r="ED182" s="116"/>
      <c r="EE182" s="116"/>
      <c r="EF182" s="116"/>
      <c r="EG182" s="116"/>
      <c r="EH182" s="116"/>
      <c r="EI182" s="116"/>
      <c r="EJ182" s="116"/>
      <c r="EK182" s="116"/>
      <c r="EL182" s="116"/>
      <c r="EM182" s="116"/>
      <c r="EN182" s="116"/>
      <c r="EO182" s="116"/>
      <c r="EP182" s="116"/>
      <c r="EQ182" s="116"/>
      <c r="ER182" s="116"/>
      <c r="ES182" s="116"/>
      <c r="ET182" s="116"/>
      <c r="EU182" s="116"/>
      <c r="EV182" s="116"/>
      <c r="EW182" s="116"/>
      <c r="EX182" s="116"/>
      <c r="EY182" s="116"/>
      <c r="EZ182" s="116"/>
      <c r="FA182" s="116"/>
      <c r="FB182" s="116"/>
      <c r="FC182" s="116"/>
      <c r="FD182" s="116"/>
      <c r="FE182" s="116"/>
      <c r="FF182" s="116"/>
      <c r="FG182" s="116"/>
      <c r="FH182" s="116"/>
      <c r="FI182" s="116"/>
      <c r="FJ182" s="116"/>
      <c r="FK182" s="116"/>
      <c r="FL182" s="116"/>
      <c r="FM182" s="116"/>
      <c r="FN182" s="116"/>
      <c r="FO182" s="116"/>
      <c r="FP182" s="116"/>
      <c r="FQ182" s="116"/>
      <c r="FR182" s="116"/>
      <c r="FS182" s="116"/>
      <c r="FT182" s="116"/>
      <c r="FU182" s="116"/>
      <c r="FV182" s="116"/>
      <c r="FW182" s="116"/>
      <c r="FX182" s="116"/>
      <c r="FY182" s="116"/>
      <c r="FZ182" s="116"/>
      <c r="GA182" s="116"/>
      <c r="GB182" s="116"/>
      <c r="GC182" s="116"/>
      <c r="GD182" s="116"/>
      <c r="GE182" s="116"/>
      <c r="GF182" s="116"/>
      <c r="GG182" s="116"/>
      <c r="GH182" s="116"/>
      <c r="GI182" s="116"/>
      <c r="GJ182" s="116"/>
      <c r="GK182" s="116"/>
      <c r="GL182" s="116"/>
      <c r="GM182" s="116"/>
      <c r="GN182" s="116"/>
      <c r="GO182" s="116"/>
      <c r="GP182" s="116"/>
      <c r="GQ182" s="116"/>
      <c r="GR182" s="116"/>
      <c r="GS182" s="116"/>
      <c r="GT182" s="116"/>
      <c r="GU182" s="116"/>
      <c r="GV182" s="116"/>
      <c r="GW182" s="116"/>
      <c r="GX182" s="116"/>
      <c r="GY182" s="116"/>
      <c r="GZ182" s="116"/>
      <c r="HA182" s="116"/>
      <c r="HB182" s="116"/>
      <c r="HC182" s="116"/>
      <c r="HD182" s="116"/>
      <c r="HE182" s="116"/>
      <c r="HF182" s="116"/>
      <c r="HG182" s="116"/>
      <c r="HH182" s="116"/>
      <c r="HI182" s="116"/>
      <c r="HJ182" s="116"/>
      <c r="HK182" s="116"/>
      <c r="HL182" s="116"/>
      <c r="HM182" s="116"/>
      <c r="HN182" s="116"/>
      <c r="HO182" s="116"/>
      <c r="HP182" s="116"/>
      <c r="HQ182" s="116"/>
      <c r="HR182" s="116"/>
      <c r="HS182" s="116"/>
      <c r="HT182" s="116"/>
      <c r="HU182" s="116"/>
      <c r="HV182" s="116"/>
      <c r="HW182" s="116"/>
      <c r="HX182" s="116"/>
      <c r="HY182" s="116"/>
      <c r="HZ182" s="116"/>
      <c r="IA182" s="116"/>
      <c r="IB182" s="116"/>
      <c r="IC182" s="116"/>
      <c r="ID182" s="116"/>
      <c r="IE182" s="116"/>
      <c r="IF182" s="116"/>
      <c r="IG182" s="116"/>
      <c r="IH182" s="116"/>
      <c r="II182" s="116"/>
      <c r="IJ182" s="116"/>
      <c r="IK182" s="116"/>
      <c r="IL182" s="116"/>
      <c r="IM182" s="116"/>
      <c r="IN182" s="116"/>
      <c r="IO182" s="116"/>
      <c r="IP182" s="116"/>
      <c r="IQ182" s="116"/>
      <c r="IR182" s="116"/>
      <c r="IS182" s="116"/>
      <c r="IT182" s="116"/>
      <c r="IU182" s="116"/>
      <c r="IV182" s="116"/>
      <c r="IW182" s="116"/>
      <c r="IX182" s="116"/>
      <c r="IY182" s="116"/>
      <c r="IZ182" s="116"/>
      <c r="JA182" s="116"/>
      <c r="JB182" s="116"/>
      <c r="JC182" s="116"/>
      <c r="JD182" s="116"/>
      <c r="JE182" s="116"/>
      <c r="JF182" s="116"/>
      <c r="JG182" s="116"/>
      <c r="JH182" s="116"/>
      <c r="JI182" s="116"/>
      <c r="JJ182" s="116"/>
      <c r="JK182" s="116"/>
      <c r="JL182" s="116"/>
      <c r="JM182" s="116"/>
      <c r="JN182" s="116"/>
      <c r="JO182" s="116"/>
      <c r="JP182" s="116"/>
      <c r="JQ182" s="116"/>
      <c r="JR182" s="116"/>
      <c r="JS182" s="116"/>
      <c r="JT182" s="116"/>
      <c r="JU182" s="116"/>
      <c r="JV182" s="116"/>
      <c r="JW182" s="116"/>
      <c r="JX182" s="116"/>
      <c r="JY182" s="116"/>
      <c r="JZ182" s="116"/>
      <c r="KA182" s="116"/>
      <c r="KB182" s="116"/>
      <c r="KC182" s="116"/>
      <c r="KD182" s="116"/>
      <c r="KE182" s="116"/>
      <c r="KF182" s="116"/>
      <c r="KG182" s="116"/>
      <c r="KH182" s="116"/>
      <c r="KI182" s="116"/>
      <c r="KJ182" s="116"/>
      <c r="KK182" s="116"/>
      <c r="KL182" s="116"/>
      <c r="KM182" s="116"/>
      <c r="KN182" s="116"/>
      <c r="KO182" s="116"/>
      <c r="KP182" s="116"/>
      <c r="KQ182" s="116"/>
      <c r="KR182" s="116"/>
      <c r="KS182" s="116"/>
      <c r="KT182" s="116"/>
      <c r="KU182" s="116"/>
      <c r="KV182" s="116"/>
      <c r="KW182" s="116"/>
      <c r="KX182" s="116"/>
      <c r="KY182" s="116"/>
      <c r="KZ182" s="116"/>
      <c r="LA182" s="116"/>
      <c r="LB182" s="116"/>
      <c r="LC182" s="116"/>
      <c r="LD182" s="116"/>
      <c r="LE182" s="116"/>
      <c r="LF182" s="116"/>
      <c r="LG182" s="116"/>
      <c r="LH182" s="116"/>
      <c r="LI182" s="116"/>
      <c r="LJ182" s="116"/>
      <c r="LK182" s="116"/>
      <c r="LL182" s="116"/>
      <c r="LM182" s="116"/>
      <c r="LN182" s="116"/>
      <c r="LO182" s="116"/>
      <c r="LP182" s="116"/>
      <c r="LQ182" s="116"/>
      <c r="LR182" s="116"/>
      <c r="LS182" s="116"/>
      <c r="LT182" s="116"/>
      <c r="LU182" s="116"/>
      <c r="LV182" s="116"/>
      <c r="LW182" s="116"/>
      <c r="LX182" s="116"/>
      <c r="LY182" s="116"/>
      <c r="LZ182" s="116"/>
      <c r="MA182" s="116"/>
      <c r="MB182" s="116"/>
      <c r="MC182" s="116"/>
      <c r="MD182" s="116"/>
      <c r="ME182" s="116"/>
      <c r="MF182" s="116"/>
      <c r="MG182" s="116"/>
      <c r="MH182" s="116"/>
      <c r="MI182" s="116"/>
      <c r="MJ182" s="116"/>
      <c r="MK182" s="116"/>
      <c r="ML182" s="116"/>
      <c r="MM182" s="116"/>
      <c r="MN182" s="116"/>
      <c r="MO182" s="116"/>
      <c r="MP182" s="116"/>
      <c r="MQ182" s="116"/>
      <c r="MR182" s="116"/>
      <c r="MS182" s="116"/>
      <c r="MT182" s="116"/>
      <c r="MU182" s="116"/>
      <c r="MV182" s="116"/>
      <c r="MW182" s="116"/>
      <c r="MX182" s="116"/>
      <c r="MY182" s="116"/>
      <c r="MZ182" s="116"/>
      <c r="NA182" s="116"/>
      <c r="NB182" s="116"/>
      <c r="NC182" s="116"/>
      <c r="ND182" s="116"/>
      <c r="NE182" s="116"/>
      <c r="NF182" s="116"/>
      <c r="NG182" s="116"/>
      <c r="NH182" s="116"/>
      <c r="NI182" s="116"/>
      <c r="NJ182" s="116"/>
      <c r="NK182" s="116"/>
      <c r="NL182" s="116"/>
      <c r="NM182" s="116"/>
      <c r="NN182" s="116"/>
      <c r="NO182" s="116"/>
      <c r="NP182" s="116"/>
      <c r="NQ182" s="116"/>
      <c r="NR182" s="116"/>
      <c r="NS182" s="116"/>
      <c r="NT182" s="116"/>
      <c r="NU182" s="116"/>
      <c r="NV182" s="116"/>
      <c r="NW182" s="116"/>
      <c r="NX182" s="116"/>
      <c r="NY182" s="116"/>
      <c r="NZ182" s="116"/>
      <c r="OA182" s="116"/>
      <c r="OB182" s="116"/>
      <c r="OC182" s="116"/>
      <c r="OD182" s="116"/>
      <c r="OE182" s="116"/>
      <c r="OF182" s="116"/>
      <c r="OG182" s="116"/>
      <c r="OH182" s="116"/>
      <c r="OI182" s="116"/>
      <c r="OJ182" s="116"/>
      <c r="OK182" s="116"/>
      <c r="OL182" s="116"/>
      <c r="OM182" s="116"/>
      <c r="ON182" s="116"/>
      <c r="OO182" s="116"/>
      <c r="OP182" s="116"/>
      <c r="OQ182" s="116"/>
      <c r="OR182" s="116"/>
      <c r="OS182" s="116"/>
      <c r="OT182" s="116"/>
      <c r="OU182" s="116"/>
      <c r="OV182" s="116"/>
      <c r="OW182" s="116"/>
      <c r="OX182" s="116"/>
      <c r="OY182" s="116"/>
      <c r="OZ182" s="116"/>
      <c r="PA182" s="116"/>
      <c r="PB182" s="116"/>
      <c r="PC182" s="116"/>
      <c r="PD182" s="116"/>
      <c r="PE182" s="116"/>
      <c r="PF182" s="116"/>
      <c r="PG182" s="116"/>
      <c r="PH182" s="116"/>
      <c r="PI182" s="116"/>
      <c r="PJ182" s="116"/>
      <c r="PK182" s="116"/>
      <c r="PL182" s="116"/>
      <c r="PM182" s="116"/>
      <c r="PN182" s="116"/>
      <c r="PO182" s="116"/>
      <c r="PP182" s="116"/>
      <c r="PQ182" s="116"/>
      <c r="PR182" s="116"/>
      <c r="PS182" s="116"/>
      <c r="PT182" s="116"/>
      <c r="PU182" s="116"/>
      <c r="PV182" s="116"/>
      <c r="PW182" s="116"/>
      <c r="PX182" s="116"/>
      <c r="PY182" s="116"/>
      <c r="PZ182" s="116"/>
      <c r="QA182" s="116"/>
      <c r="QB182" s="116"/>
      <c r="QC182" s="116"/>
      <c r="QD182" s="116"/>
      <c r="QE182" s="116"/>
      <c r="QF182" s="116"/>
      <c r="QG182" s="116"/>
      <c r="QH182" s="116"/>
      <c r="QI182" s="116"/>
      <c r="QJ182" s="116"/>
      <c r="QK182" s="116"/>
      <c r="QL182" s="116"/>
      <c r="QM182" s="116"/>
      <c r="QN182" s="116"/>
      <c r="QO182" s="116"/>
      <c r="QP182" s="116"/>
      <c r="QQ182" s="116"/>
      <c r="QR182" s="116"/>
      <c r="QS182" s="116"/>
      <c r="QT182" s="116"/>
      <c r="QU182" s="116"/>
      <c r="QV182" s="116"/>
      <c r="QW182" s="116"/>
      <c r="QX182" s="116"/>
      <c r="QY182" s="116"/>
      <c r="QZ182" s="116"/>
      <c r="RA182" s="116"/>
      <c r="RB182" s="116"/>
      <c r="RC182" s="116"/>
      <c r="RD182" s="116"/>
      <c r="RE182" s="116"/>
      <c r="RF182" s="116"/>
      <c r="RG182" s="116"/>
      <c r="RH182" s="116"/>
      <c r="RI182" s="116"/>
      <c r="RJ182" s="116"/>
      <c r="RK182" s="116"/>
      <c r="RL182" s="116"/>
      <c r="RM182" s="116"/>
      <c r="RN182" s="116"/>
      <c r="RO182" s="116"/>
      <c r="RP182" s="116"/>
      <c r="RQ182" s="116"/>
      <c r="RR182" s="116"/>
      <c r="RS182" s="116"/>
      <c r="RT182" s="116"/>
      <c r="RU182" s="116"/>
      <c r="RV182" s="116"/>
      <c r="RW182" s="116"/>
      <c r="RX182" s="116"/>
      <c r="RY182" s="116"/>
      <c r="RZ182" s="116"/>
      <c r="SA182" s="116"/>
      <c r="SB182" s="116"/>
      <c r="SC182" s="116"/>
      <c r="SD182" s="116"/>
      <c r="SE182" s="116"/>
      <c r="SF182" s="116"/>
      <c r="SG182" s="116"/>
      <c r="SH182" s="116"/>
      <c r="SI182" s="116"/>
      <c r="SJ182" s="116"/>
      <c r="SK182" s="116"/>
      <c r="SL182" s="116"/>
      <c r="SM182" s="116"/>
      <c r="SN182" s="116"/>
      <c r="SO182" s="116"/>
      <c r="SP182" s="116"/>
      <c r="SQ182" s="116"/>
      <c r="SR182" s="116"/>
      <c r="SS182" s="116"/>
      <c r="ST182" s="116"/>
      <c r="SU182" s="116"/>
      <c r="SV182" s="116"/>
      <c r="SW182" s="116"/>
      <c r="SX182" s="116"/>
      <c r="SY182" s="116"/>
      <c r="SZ182" s="116"/>
      <c r="TA182" s="116"/>
      <c r="TB182" s="116"/>
      <c r="TC182" s="116"/>
      <c r="TD182" s="116"/>
      <c r="TE182" s="116"/>
      <c r="TF182" s="116"/>
      <c r="TG182" s="116"/>
      <c r="TH182" s="116"/>
      <c r="TI182" s="116"/>
      <c r="TJ182" s="116"/>
      <c r="TK182" s="116"/>
      <c r="TL182" s="116"/>
      <c r="TM182" s="116"/>
      <c r="TN182" s="116"/>
      <c r="TO182" s="116"/>
      <c r="TP182" s="116"/>
      <c r="TQ182" s="116"/>
      <c r="TR182" s="116"/>
      <c r="TS182" s="116"/>
      <c r="TT182" s="116"/>
      <c r="TU182" s="116"/>
      <c r="TV182" s="116"/>
      <c r="TW182" s="116"/>
      <c r="TX182" s="116"/>
      <c r="TY182" s="116"/>
      <c r="TZ182" s="116"/>
      <c r="UA182" s="116"/>
      <c r="UB182" s="116"/>
      <c r="UC182" s="116"/>
      <c r="UD182" s="116"/>
      <c r="UE182" s="116"/>
      <c r="UF182" s="116"/>
      <c r="UG182" s="116"/>
      <c r="UH182" s="116"/>
      <c r="UI182" s="116"/>
      <c r="UJ182" s="116"/>
      <c r="UK182" s="116"/>
      <c r="UL182" s="116"/>
      <c r="UM182" s="116"/>
      <c r="UN182" s="116"/>
      <c r="UO182" s="116"/>
      <c r="UP182" s="116"/>
      <c r="UQ182" s="116"/>
      <c r="UR182" s="116"/>
      <c r="US182" s="116"/>
      <c r="UT182" s="116"/>
      <c r="UU182" s="116"/>
      <c r="UV182" s="116"/>
      <c r="UW182" s="116"/>
      <c r="UX182" s="116"/>
      <c r="UY182" s="116"/>
      <c r="UZ182" s="116"/>
      <c r="VA182" s="116"/>
      <c r="VB182" s="116"/>
      <c r="VC182" s="116"/>
      <c r="VD182" s="116"/>
      <c r="VE182" s="116"/>
      <c r="VF182" s="116"/>
      <c r="VG182" s="116"/>
      <c r="VH182" s="116"/>
      <c r="VI182" s="116"/>
      <c r="VJ182" s="116"/>
      <c r="VK182" s="116"/>
      <c r="VL182" s="116"/>
      <c r="VM182" s="116"/>
      <c r="VN182" s="116"/>
      <c r="VO182" s="116"/>
      <c r="VP182" s="116"/>
      <c r="VQ182" s="116"/>
      <c r="VR182" s="116"/>
      <c r="VS182" s="116"/>
      <c r="VT182" s="116"/>
      <c r="VU182" s="116"/>
      <c r="VV182" s="116"/>
      <c r="VW182" s="116"/>
      <c r="VX182" s="116"/>
      <c r="VY182" s="116"/>
      <c r="VZ182" s="116"/>
      <c r="WA182" s="116"/>
      <c r="WB182" s="116"/>
      <c r="WC182" s="116"/>
      <c r="WD182" s="116"/>
      <c r="WE182" s="116"/>
      <c r="WF182" s="116"/>
      <c r="WG182" s="116"/>
      <c r="WH182" s="116"/>
      <c r="WI182" s="116"/>
      <c r="WJ182" s="116"/>
      <c r="WK182" s="116"/>
      <c r="WL182" s="116"/>
      <c r="WM182" s="116"/>
      <c r="WN182" s="116"/>
      <c r="WO182" s="116"/>
      <c r="WP182" s="116"/>
      <c r="WQ182" s="116"/>
      <c r="WR182" s="116"/>
      <c r="WS182" s="116"/>
      <c r="WT182" s="116"/>
      <c r="WU182" s="116"/>
      <c r="WV182" s="116"/>
      <c r="WW182" s="116"/>
      <c r="WX182" s="116"/>
      <c r="WY182" s="116"/>
      <c r="WZ182" s="116"/>
      <c r="XA182" s="116"/>
      <c r="XB182" s="116"/>
      <c r="XC182" s="116"/>
      <c r="XD182" s="116"/>
      <c r="XE182" s="116"/>
      <c r="XF182" s="116"/>
      <c r="XG182" s="116"/>
      <c r="XH182" s="116"/>
      <c r="XI182" s="116"/>
      <c r="XJ182" s="116"/>
      <c r="XK182" s="116"/>
      <c r="XL182" s="116"/>
      <c r="XM182" s="116"/>
      <c r="XN182" s="116"/>
      <c r="XO182" s="116"/>
      <c r="XP182" s="116"/>
      <c r="XQ182" s="116"/>
      <c r="XR182" s="116"/>
      <c r="XS182" s="116"/>
      <c r="XT182" s="116"/>
      <c r="XU182" s="116"/>
      <c r="XV182" s="116"/>
      <c r="XW182" s="116"/>
      <c r="XX182" s="116"/>
      <c r="XY182" s="116"/>
      <c r="XZ182" s="116"/>
      <c r="YA182" s="116"/>
      <c r="YB182" s="116"/>
      <c r="YC182" s="116"/>
      <c r="YD182" s="116"/>
      <c r="YE182" s="116"/>
      <c r="YF182" s="116"/>
      <c r="YG182" s="116"/>
      <c r="YH182" s="116"/>
      <c r="YI182" s="116"/>
      <c r="YJ182" s="116"/>
      <c r="YK182" s="116"/>
      <c r="YL182" s="116"/>
      <c r="YM182" s="116"/>
      <c r="YN182" s="116"/>
      <c r="YO182" s="116"/>
      <c r="YP182" s="116"/>
      <c r="YQ182" s="116"/>
      <c r="YR182" s="116"/>
      <c r="YS182" s="116"/>
      <c r="YT182" s="116"/>
      <c r="YU182" s="116"/>
      <c r="YV182" s="116"/>
      <c r="YW182" s="116"/>
      <c r="YX182" s="116"/>
      <c r="YY182" s="116"/>
      <c r="YZ182" s="116"/>
      <c r="ZA182" s="116"/>
      <c r="ZB182" s="116"/>
      <c r="ZC182" s="116"/>
      <c r="ZD182" s="116"/>
      <c r="ZE182" s="116"/>
      <c r="ZF182" s="116"/>
      <c r="ZG182" s="116"/>
      <c r="ZH182" s="116"/>
      <c r="ZI182" s="116"/>
      <c r="ZJ182" s="116"/>
      <c r="ZK182" s="116"/>
      <c r="ZL182" s="116"/>
      <c r="ZM182" s="116"/>
      <c r="ZN182" s="116"/>
      <c r="ZO182" s="116"/>
      <c r="ZP182" s="116"/>
      <c r="ZQ182" s="116"/>
      <c r="ZR182" s="116"/>
      <c r="ZS182" s="116"/>
      <c r="ZT182" s="116"/>
      <c r="ZU182" s="116"/>
      <c r="ZV182" s="116"/>
      <c r="ZW182" s="116"/>
      <c r="ZX182" s="116"/>
      <c r="ZY182" s="116"/>
      <c r="ZZ182" s="116"/>
      <c r="AAA182" s="116"/>
      <c r="AAB182" s="116"/>
      <c r="AAC182" s="116"/>
      <c r="AAD182" s="116"/>
      <c r="AAE182" s="116"/>
      <c r="AAF182" s="116"/>
      <c r="AAG182" s="116"/>
      <c r="AAH182" s="116"/>
      <c r="AAI182" s="116"/>
      <c r="AAJ182" s="116"/>
      <c r="AAK182" s="116"/>
      <c r="AAL182" s="116"/>
      <c r="AAM182" s="116"/>
      <c r="AAN182" s="116"/>
      <c r="AAO182" s="116"/>
      <c r="AAP182" s="116"/>
      <c r="AAQ182" s="116"/>
      <c r="AAR182" s="116"/>
      <c r="AAS182" s="116"/>
      <c r="AAT182" s="116"/>
      <c r="AAU182" s="116"/>
      <c r="AAV182" s="116"/>
      <c r="AAW182" s="116"/>
      <c r="AAX182" s="116"/>
      <c r="AAY182" s="116"/>
      <c r="AAZ182" s="116"/>
      <c r="ABA182" s="116"/>
      <c r="ABB182" s="116"/>
      <c r="ABC182" s="116"/>
      <c r="ABD182" s="116"/>
      <c r="ABE182" s="116"/>
      <c r="ABF182" s="116"/>
      <c r="ABG182" s="116"/>
      <c r="ABH182" s="116"/>
      <c r="ABI182" s="116"/>
      <c r="ABJ182" s="116"/>
      <c r="ABK182" s="116"/>
      <c r="ABL182" s="116"/>
      <c r="ABM182" s="116"/>
      <c r="ABN182" s="116"/>
      <c r="ABO182" s="116"/>
      <c r="ABP182" s="116"/>
      <c r="ABQ182" s="116"/>
      <c r="ABR182" s="116"/>
      <c r="ABS182" s="116"/>
      <c r="ABT182" s="116"/>
      <c r="ABU182" s="116"/>
      <c r="ABV182" s="116"/>
      <c r="ABW182" s="116"/>
      <c r="ABX182" s="116"/>
      <c r="ABY182" s="116"/>
      <c r="ABZ182" s="116"/>
      <c r="ACA182" s="116"/>
      <c r="ACB182" s="116"/>
      <c r="ACC182" s="116"/>
      <c r="ACD182" s="116"/>
      <c r="ACE182" s="116"/>
      <c r="ACF182" s="116"/>
      <c r="ACG182" s="116"/>
      <c r="ACH182" s="116"/>
      <c r="ACI182" s="116"/>
      <c r="ACJ182" s="116"/>
      <c r="ACK182" s="116"/>
      <c r="ACL182" s="116"/>
      <c r="ACM182" s="116"/>
      <c r="ACN182" s="116"/>
      <c r="ACO182" s="116"/>
      <c r="ACP182" s="116"/>
      <c r="ACQ182" s="116"/>
      <c r="ACR182" s="116"/>
      <c r="ACS182" s="116"/>
      <c r="ACT182" s="116"/>
      <c r="ACU182" s="116"/>
      <c r="ACV182" s="116"/>
      <c r="ACW182" s="116"/>
      <c r="ACX182" s="116"/>
      <c r="ACY182" s="116"/>
      <c r="ACZ182" s="116"/>
      <c r="ADA182" s="116"/>
      <c r="ADB182" s="116"/>
      <c r="ADC182" s="116"/>
      <c r="ADD182" s="116"/>
      <c r="ADE182" s="116"/>
      <c r="ADF182" s="116"/>
      <c r="ADG182" s="116"/>
      <c r="ADH182" s="116"/>
      <c r="ADI182" s="116"/>
      <c r="ADJ182" s="116"/>
      <c r="ADK182" s="116"/>
      <c r="ADL182" s="116"/>
      <c r="ADM182" s="116"/>
      <c r="ADN182" s="116"/>
      <c r="ADO182" s="116"/>
      <c r="ADP182" s="116"/>
      <c r="ADQ182" s="116"/>
      <c r="ADR182" s="116"/>
      <c r="ADS182" s="116"/>
      <c r="ADT182" s="116"/>
      <c r="ADU182" s="116"/>
      <c r="ADV182" s="116"/>
      <c r="ADW182" s="116"/>
      <c r="ADX182" s="116"/>
      <c r="ADY182" s="116"/>
      <c r="ADZ182" s="116"/>
      <c r="AEA182" s="116"/>
      <c r="AEB182" s="116"/>
      <c r="AEC182" s="116"/>
      <c r="AED182" s="116"/>
      <c r="AEE182" s="116"/>
      <c r="AEF182" s="116"/>
      <c r="AEG182" s="116"/>
      <c r="AEH182" s="116"/>
      <c r="AEI182" s="116"/>
      <c r="AEJ182" s="116"/>
      <c r="AEK182" s="116"/>
      <c r="AEL182" s="116"/>
      <c r="AEM182" s="116"/>
      <c r="AEN182" s="116"/>
      <c r="AEO182" s="116"/>
      <c r="AEP182" s="116"/>
      <c r="AEQ182" s="116"/>
      <c r="AER182" s="116"/>
      <c r="AES182" s="116"/>
      <c r="AET182" s="116"/>
      <c r="AEU182" s="116"/>
      <c r="AEV182" s="116"/>
      <c r="AEW182" s="116"/>
      <c r="AEX182" s="116"/>
      <c r="AEY182" s="116"/>
      <c r="AEZ182" s="116"/>
      <c r="AFA182" s="116"/>
      <c r="AFB182" s="116"/>
      <c r="AFC182" s="116"/>
      <c r="AFD182" s="116"/>
      <c r="AFE182" s="116"/>
      <c r="AFF182" s="116"/>
      <c r="AFG182" s="116"/>
      <c r="AFH182" s="116"/>
      <c r="AFI182" s="116"/>
      <c r="AFJ182" s="116"/>
      <c r="AFK182" s="116"/>
      <c r="AFL182" s="116"/>
      <c r="AFM182" s="116"/>
      <c r="AFN182" s="116"/>
      <c r="AFO182" s="116"/>
      <c r="AFP182" s="116"/>
      <c r="AFQ182" s="116"/>
      <c r="AFR182" s="116"/>
      <c r="AFS182" s="116"/>
      <c r="AFT182" s="116"/>
      <c r="AFU182" s="116"/>
      <c r="AFV182" s="116"/>
      <c r="AFW182" s="116"/>
      <c r="AFX182" s="116"/>
      <c r="AFY182" s="116"/>
      <c r="AFZ182" s="116"/>
      <c r="AGA182" s="116"/>
      <c r="AGB182" s="116"/>
      <c r="AGC182" s="116"/>
      <c r="AGD182" s="116"/>
      <c r="AGE182" s="116"/>
      <c r="AGF182" s="116"/>
      <c r="AGG182" s="116"/>
      <c r="AGH182" s="116"/>
      <c r="AGI182" s="116"/>
      <c r="AGJ182" s="116"/>
      <c r="AGK182" s="116"/>
      <c r="AGL182" s="116"/>
      <c r="AGM182" s="116"/>
      <c r="AGN182" s="116"/>
      <c r="AGO182" s="116"/>
      <c r="AGP182" s="116"/>
      <c r="AGQ182" s="116"/>
      <c r="AGR182" s="116"/>
      <c r="AGS182" s="116"/>
      <c r="AGT182" s="116"/>
      <c r="AGU182" s="116"/>
      <c r="AGV182" s="116"/>
      <c r="AGW182" s="116"/>
      <c r="AGX182" s="116"/>
      <c r="AGY182" s="116"/>
      <c r="AGZ182" s="116"/>
      <c r="AHA182" s="116"/>
      <c r="AHB182" s="116"/>
      <c r="AHC182" s="116"/>
      <c r="AHD182" s="116"/>
      <c r="AHE182" s="116"/>
      <c r="AHF182" s="116"/>
      <c r="AHG182" s="116"/>
      <c r="AHH182" s="116"/>
      <c r="AHI182" s="116"/>
      <c r="AHJ182" s="116"/>
      <c r="AHK182" s="116"/>
      <c r="AHL182" s="116"/>
      <c r="AHM182" s="116"/>
      <c r="AHN182" s="116"/>
      <c r="AHO182" s="116"/>
      <c r="AHP182" s="116"/>
      <c r="AHQ182" s="116"/>
      <c r="AHR182" s="116"/>
      <c r="AHS182" s="116"/>
      <c r="AHT182" s="116"/>
      <c r="AHU182" s="116"/>
      <c r="AHV182" s="116"/>
      <c r="AHW182" s="116"/>
      <c r="AHX182" s="116"/>
      <c r="AHY182" s="116"/>
      <c r="AHZ182" s="116"/>
      <c r="AIA182" s="116"/>
      <c r="AIB182" s="116"/>
      <c r="AIC182" s="116"/>
      <c r="AID182" s="116"/>
      <c r="AIE182" s="116"/>
      <c r="AIF182" s="116"/>
      <c r="AIG182" s="116"/>
      <c r="AIH182" s="116"/>
      <c r="AII182" s="116"/>
      <c r="AIJ182" s="116"/>
      <c r="AIK182" s="116"/>
      <c r="AIL182" s="116"/>
      <c r="AIM182" s="116"/>
      <c r="AIN182" s="116"/>
      <c r="AIO182" s="116"/>
      <c r="AIP182" s="116"/>
      <c r="AIQ182" s="116"/>
      <c r="AIR182" s="116"/>
      <c r="AIS182" s="116"/>
      <c r="AIT182" s="116"/>
      <c r="AIU182" s="116"/>
      <c r="AIV182" s="116"/>
      <c r="AIW182" s="116"/>
      <c r="AIX182" s="116"/>
      <c r="AIY182" s="116"/>
      <c r="AIZ182" s="116"/>
      <c r="AJA182" s="116"/>
      <c r="AJB182" s="116"/>
      <c r="AJC182" s="116"/>
      <c r="AJD182" s="116"/>
      <c r="AJE182" s="116"/>
      <c r="AJF182" s="116"/>
      <c r="AJG182" s="116"/>
      <c r="AJH182" s="116"/>
      <c r="AJI182" s="116"/>
      <c r="AJJ182" s="116"/>
      <c r="AJK182" s="116"/>
      <c r="AJL182" s="116"/>
      <c r="AJM182" s="116"/>
      <c r="AJN182" s="116"/>
      <c r="AJO182" s="116"/>
      <c r="AJP182" s="116"/>
      <c r="AJQ182" s="116"/>
      <c r="AJR182" s="116"/>
      <c r="AJS182" s="116"/>
      <c r="AJT182" s="116"/>
      <c r="AJU182" s="116"/>
      <c r="AJV182" s="116"/>
      <c r="AJW182" s="116"/>
      <c r="AJX182" s="116"/>
      <c r="AJY182" s="116"/>
      <c r="AJZ182" s="116"/>
      <c r="AKA182" s="116"/>
      <c r="AKB182" s="116"/>
      <c r="AKC182" s="116"/>
      <c r="AKD182" s="116"/>
      <c r="AKE182" s="116"/>
      <c r="AKF182" s="116"/>
      <c r="AKG182" s="116"/>
      <c r="AKH182" s="116"/>
      <c r="AKI182" s="116"/>
      <c r="AKJ182" s="116"/>
      <c r="AKK182" s="116"/>
      <c r="AKL182" s="116"/>
      <c r="AKM182" s="116"/>
      <c r="AKN182" s="116"/>
      <c r="AKO182" s="116"/>
      <c r="AKP182" s="116"/>
      <c r="AKQ182" s="116"/>
      <c r="AKR182" s="116"/>
      <c r="AKS182" s="116"/>
      <c r="AKT182" s="116"/>
      <c r="AKU182" s="116"/>
      <c r="AKV182" s="116"/>
      <c r="AKW182" s="116"/>
      <c r="AKX182" s="116"/>
      <c r="AKY182" s="116"/>
      <c r="AKZ182" s="116"/>
      <c r="ALA182" s="116"/>
      <c r="ALB182" s="116"/>
      <c r="ALC182" s="116"/>
      <c r="ALD182" s="116"/>
      <c r="ALE182" s="116"/>
      <c r="ALF182" s="116"/>
      <c r="ALG182" s="116"/>
      <c r="ALH182" s="116"/>
      <c r="ALI182" s="116"/>
      <c r="ALJ182" s="116"/>
      <c r="ALK182" s="116"/>
      <c r="ALL182" s="116"/>
      <c r="ALM182" s="116"/>
      <c r="ALN182" s="116"/>
      <c r="ALO182" s="116"/>
      <c r="ALP182" s="116"/>
      <c r="ALQ182" s="116"/>
      <c r="ALR182" s="116"/>
      <c r="ALS182" s="116"/>
      <c r="ALT182" s="116"/>
      <c r="ALU182" s="116"/>
      <c r="ALV182" s="116"/>
      <c r="ALW182" s="116"/>
      <c r="ALX182" s="116"/>
      <c r="ALY182" s="116"/>
      <c r="ALZ182" s="116"/>
      <c r="AMA182" s="116"/>
      <c r="AMB182" s="116"/>
      <c r="AMC182" s="116"/>
      <c r="AMD182" s="116"/>
      <c r="AME182" s="116"/>
      <c r="AMF182" s="116"/>
      <c r="AMG182" s="116"/>
      <c r="AMH182" s="116"/>
      <c r="AMI182" s="116"/>
      <c r="AMJ182" s="116"/>
    </row>
    <row r="183" customFormat="false" ht="12.8" hidden="false" customHeight="false" outlineLevel="0" collapsed="false">
      <c r="A183" s="78" t="s">
        <v>91</v>
      </c>
      <c r="B183" s="79" t="s">
        <v>87</v>
      </c>
      <c r="C183" s="112" t="n">
        <v>0.25</v>
      </c>
      <c r="D183" s="76" t="n">
        <f aca="false">'VALORES BASE'!B13</f>
        <v>28.39</v>
      </c>
      <c r="E183" s="77" t="n">
        <f aca="false">IFERROR(D183/C183,0)</f>
        <v>113.56</v>
      </c>
    </row>
    <row r="184" customFormat="false" ht="13.15" hidden="false" customHeight="true" outlineLevel="0" collapsed="false">
      <c r="A184" s="78" t="s">
        <v>92</v>
      </c>
      <c r="B184" s="79" t="s">
        <v>93</v>
      </c>
      <c r="C184" s="112" t="n">
        <v>1</v>
      </c>
      <c r="D184" s="76" t="n">
        <f aca="false">'VALORES BASE'!B14</f>
        <v>13.99</v>
      </c>
      <c r="E184" s="77" t="n">
        <f aca="false">IFERROR(D184/C184,0)</f>
        <v>13.99</v>
      </c>
    </row>
    <row r="185" customFormat="false" ht="12.8" hidden="false" customHeight="false" outlineLevel="0" collapsed="false">
      <c r="A185" s="78" t="s">
        <v>94</v>
      </c>
      <c r="B185" s="79" t="s">
        <v>95</v>
      </c>
      <c r="C185" s="117" t="n">
        <v>1</v>
      </c>
      <c r="D185" s="76" t="n">
        <f aca="false">'VALORES BASE'!B15</f>
        <v>100</v>
      </c>
      <c r="E185" s="81" t="n">
        <f aca="false">C185*D185</f>
        <v>100</v>
      </c>
    </row>
    <row r="186" customFormat="false" ht="12.8" hidden="false" customHeight="false" outlineLevel="0" collapsed="false">
      <c r="A186" s="78" t="s">
        <v>32</v>
      </c>
      <c r="B186" s="79" t="s">
        <v>33</v>
      </c>
      <c r="C186" s="117" t="n">
        <f aca="false">E30+E31</f>
        <v>9</v>
      </c>
      <c r="D186" s="81" t="n">
        <f aca="false">+SUM(E174:E185)</f>
        <v>378.2</v>
      </c>
      <c r="E186" s="81" t="n">
        <f aca="false">C186*D186</f>
        <v>3403.8</v>
      </c>
    </row>
    <row r="187" customFormat="false" ht="12.8" hidden="false" customHeight="false" outlineLevel="0" collapsed="false">
      <c r="D187" s="88" t="s">
        <v>34</v>
      </c>
      <c r="E187" s="89" t="n">
        <f aca="false">'FATOR FU_OFICIAL'!F19</f>
        <v>1</v>
      </c>
      <c r="F187" s="90" t="n">
        <f aca="false">E186*E187</f>
        <v>3403.8</v>
      </c>
    </row>
    <row r="188" customFormat="false" ht="11.25" hidden="false" customHeight="true" outlineLevel="0" collapsed="false"/>
    <row r="189" customFormat="false" ht="13.9" hidden="false" customHeight="true" outlineLevel="0" collapsed="false">
      <c r="A189" s="1" t="s">
        <v>234</v>
      </c>
    </row>
    <row r="190" customFormat="false" ht="11.25" hidden="false" customHeight="true" outlineLevel="0" collapsed="false"/>
    <row r="191" customFormat="false" ht="12.8" hidden="false" customHeight="false" outlineLevel="0" collapsed="false">
      <c r="A191" s="70" t="s">
        <v>16</v>
      </c>
      <c r="B191" s="71" t="s">
        <v>17</v>
      </c>
      <c r="C191" s="111" t="s">
        <v>80</v>
      </c>
      <c r="D191" s="72" t="s">
        <v>18</v>
      </c>
      <c r="E191" s="72" t="s">
        <v>19</v>
      </c>
      <c r="F191" s="73" t="s">
        <v>20</v>
      </c>
    </row>
    <row r="192" customFormat="false" ht="12.8" hidden="false" customHeight="false" outlineLevel="0" collapsed="false">
      <c r="A192" s="74" t="s">
        <v>81</v>
      </c>
      <c r="B192" s="75" t="s">
        <v>65</v>
      </c>
      <c r="C192" s="112" t="n">
        <v>6</v>
      </c>
      <c r="D192" s="77" t="n">
        <f aca="false">+D174</f>
        <v>150</v>
      </c>
      <c r="E192" s="77" t="n">
        <f aca="false">IFERROR((D192/C192)*2,0)</f>
        <v>50</v>
      </c>
    </row>
    <row r="193" customFormat="false" ht="12.8" hidden="false" customHeight="false" outlineLevel="0" collapsed="false">
      <c r="A193" s="78" t="s">
        <v>82</v>
      </c>
      <c r="B193" s="79" t="s">
        <v>65</v>
      </c>
      <c r="C193" s="112" t="n">
        <v>6</v>
      </c>
      <c r="D193" s="81" t="n">
        <f aca="false">+D175</f>
        <v>64.66</v>
      </c>
      <c r="E193" s="77" t="n">
        <f aca="false">IFERROR((D193/C193)*2,0)</f>
        <v>21.5533333333333</v>
      </c>
    </row>
    <row r="194" customFormat="false" ht="12.8" hidden="false" customHeight="false" outlineLevel="0" collapsed="false">
      <c r="A194" s="78" t="s">
        <v>83</v>
      </c>
      <c r="B194" s="79" t="s">
        <v>65</v>
      </c>
      <c r="C194" s="112" t="n">
        <v>6</v>
      </c>
      <c r="D194" s="81" t="n">
        <f aca="false">+D176</f>
        <v>41.89</v>
      </c>
      <c r="E194" s="77" t="n">
        <f aca="false">IFERROR((D194/C194)*2,0)</f>
        <v>13.9633333333333</v>
      </c>
    </row>
    <row r="195" customFormat="false" ht="12.8" hidden="false" customHeight="false" outlineLevel="0" collapsed="false">
      <c r="A195" s="78" t="s">
        <v>85</v>
      </c>
      <c r="B195" s="79" t="s">
        <v>65</v>
      </c>
      <c r="C195" s="112" t="n">
        <v>6</v>
      </c>
      <c r="D195" s="77" t="n">
        <f aca="false">'VALORES BASE'!B33</f>
        <v>5</v>
      </c>
      <c r="E195" s="77" t="n">
        <f aca="false">IFERROR((D195/C195)*2,0)</f>
        <v>1.66666666666667</v>
      </c>
    </row>
    <row r="196" customFormat="false" ht="12.8" hidden="false" customHeight="false" outlineLevel="0" collapsed="false">
      <c r="A196" s="78" t="s">
        <v>86</v>
      </c>
      <c r="B196" s="79" t="s">
        <v>87</v>
      </c>
      <c r="C196" s="112" t="n">
        <v>12</v>
      </c>
      <c r="D196" s="81" t="n">
        <f aca="false">+D179</f>
        <v>119.95</v>
      </c>
      <c r="E196" s="77" t="n">
        <f aca="false">IFERROR(D196/C196,0)</f>
        <v>9.99583333333333</v>
      </c>
    </row>
    <row r="197" customFormat="false" ht="12.8" hidden="false" customHeight="false" outlineLevel="0" collapsed="false">
      <c r="A197" s="78" t="s">
        <v>89</v>
      </c>
      <c r="B197" s="79" t="s">
        <v>65</v>
      </c>
      <c r="C197" s="112" t="n">
        <v>6</v>
      </c>
      <c r="D197" s="81" t="n">
        <f aca="false">+D181</f>
        <v>43.19</v>
      </c>
      <c r="E197" s="77" t="n">
        <f aca="false">IFERROR(D197/C197,0)</f>
        <v>7.19833333333333</v>
      </c>
      <c r="G197" s="1"/>
    </row>
    <row r="198" customFormat="false" ht="12.8" hidden="false" customHeight="false" outlineLevel="0" collapsed="false">
      <c r="A198" s="78" t="s">
        <v>92</v>
      </c>
      <c r="B198" s="79" t="s">
        <v>93</v>
      </c>
      <c r="C198" s="112" t="n">
        <v>2</v>
      </c>
      <c r="D198" s="81" t="n">
        <f aca="false">+D184</f>
        <v>13.99</v>
      </c>
      <c r="E198" s="77" t="n">
        <f aca="false">IFERROR(D198/C198,0)</f>
        <v>6.995</v>
      </c>
      <c r="G198" s="1"/>
    </row>
    <row r="199" customFormat="false" ht="12.8" hidden="false" customHeight="false" outlineLevel="0" collapsed="false">
      <c r="A199" s="78" t="s">
        <v>94</v>
      </c>
      <c r="B199" s="79" t="s">
        <v>95</v>
      </c>
      <c r="C199" s="117" t="n">
        <v>1</v>
      </c>
      <c r="D199" s="118" t="n">
        <f aca="false">D185</f>
        <v>100</v>
      </c>
      <c r="E199" s="81" t="n">
        <f aca="false">C199*D199</f>
        <v>100</v>
      </c>
      <c r="G199" s="1"/>
    </row>
    <row r="200" customFormat="false" ht="12.8" hidden="false" customHeight="false" outlineLevel="0" collapsed="false">
      <c r="A200" s="78" t="s">
        <v>32</v>
      </c>
      <c r="B200" s="79" t="s">
        <v>33</v>
      </c>
      <c r="C200" s="117" t="n">
        <f aca="false">E32</f>
        <v>3</v>
      </c>
      <c r="D200" s="81" t="n">
        <f aca="false">+SUM(E192:E199)</f>
        <v>211.3725</v>
      </c>
      <c r="E200" s="81" t="n">
        <f aca="false">C200*D200</f>
        <v>634.1175</v>
      </c>
      <c r="G200" s="1"/>
    </row>
    <row r="201" customFormat="false" ht="12.8" hidden="false" customHeight="false" outlineLevel="0" collapsed="false">
      <c r="D201" s="88" t="s">
        <v>34</v>
      </c>
      <c r="E201" s="89" t="n">
        <f aca="false">'FATOR FU_OFICIAL'!F19</f>
        <v>1</v>
      </c>
      <c r="F201" s="90" t="n">
        <f aca="false">E200*E201</f>
        <v>634.1175</v>
      </c>
      <c r="G201" s="1"/>
    </row>
    <row r="202" customFormat="false" ht="11.25" hidden="false" customHeight="true" outlineLevel="0" collapsed="false">
      <c r="G202" s="1"/>
    </row>
    <row r="203" customFormat="false" ht="11.25" hidden="true" customHeight="true" outlineLevel="0" collapsed="false">
      <c r="A203" s="1" t="s">
        <v>235</v>
      </c>
      <c r="G203" s="1"/>
    </row>
    <row r="204" customFormat="false" ht="11.25" hidden="true" customHeight="true" outlineLevel="0" collapsed="false">
      <c r="G204" s="1"/>
    </row>
    <row r="205" customFormat="false" ht="11.25" hidden="true" customHeight="true" outlineLevel="0" collapsed="false">
      <c r="A205" s="70" t="s">
        <v>16</v>
      </c>
      <c r="B205" s="71" t="s">
        <v>17</v>
      </c>
      <c r="C205" s="111" t="s">
        <v>80</v>
      </c>
      <c r="D205" s="72" t="s">
        <v>18</v>
      </c>
      <c r="E205" s="72" t="s">
        <v>19</v>
      </c>
      <c r="F205" s="73" t="s">
        <v>20</v>
      </c>
      <c r="G205" s="1"/>
    </row>
    <row r="206" customFormat="false" ht="11.25" hidden="true" customHeight="true" outlineLevel="0" collapsed="false">
      <c r="A206" s="74" t="s">
        <v>81</v>
      </c>
      <c r="B206" s="75" t="s">
        <v>65</v>
      </c>
      <c r="C206" s="112" t="n">
        <v>6</v>
      </c>
      <c r="D206" s="77" t="n">
        <f aca="false">D192</f>
        <v>150</v>
      </c>
      <c r="E206" s="77" t="n">
        <f aca="false">IFERROR((D206/C206)*2,0)</f>
        <v>50</v>
      </c>
      <c r="G206" s="1"/>
    </row>
    <row r="207" customFormat="false" ht="11.25" hidden="true" customHeight="true" outlineLevel="0" collapsed="false">
      <c r="A207" s="78" t="s">
        <v>82</v>
      </c>
      <c r="B207" s="79" t="s">
        <v>65</v>
      </c>
      <c r="C207" s="112" t="n">
        <v>6</v>
      </c>
      <c r="D207" s="77" t="n">
        <f aca="false">D193</f>
        <v>64.66</v>
      </c>
      <c r="E207" s="77" t="n">
        <f aca="false">IFERROR((D207/C207)*2,0)</f>
        <v>21.5533333333333</v>
      </c>
      <c r="G207" s="1"/>
    </row>
    <row r="208" customFormat="false" ht="11.25" hidden="true" customHeight="true" outlineLevel="0" collapsed="false">
      <c r="A208" s="78" t="s">
        <v>83</v>
      </c>
      <c r="B208" s="79" t="s">
        <v>65</v>
      </c>
      <c r="C208" s="112" t="n">
        <v>6</v>
      </c>
      <c r="D208" s="77" t="n">
        <f aca="false">D194</f>
        <v>41.89</v>
      </c>
      <c r="E208" s="77" t="n">
        <f aca="false">IFERROR((D208/C208)*2,0)</f>
        <v>13.9633333333333</v>
      </c>
      <c r="G208" s="1"/>
    </row>
    <row r="209" customFormat="false" ht="11.25" hidden="true" customHeight="true" outlineLevel="0" collapsed="false">
      <c r="A209" s="78" t="s">
        <v>86</v>
      </c>
      <c r="B209" s="79" t="s">
        <v>87</v>
      </c>
      <c r="C209" s="112" t="n">
        <v>12</v>
      </c>
      <c r="D209" s="77" t="n">
        <f aca="false">D196</f>
        <v>119.95</v>
      </c>
      <c r="E209" s="77" t="n">
        <f aca="false">IFERROR(D209/C209,0)</f>
        <v>9.99583333333333</v>
      </c>
      <c r="G209" s="1"/>
    </row>
    <row r="210" customFormat="false" ht="11.25" hidden="true" customHeight="true" outlineLevel="0" collapsed="false">
      <c r="A210" s="78" t="s">
        <v>89</v>
      </c>
      <c r="B210" s="79" t="s">
        <v>65</v>
      </c>
      <c r="C210" s="112" t="n">
        <v>6</v>
      </c>
      <c r="D210" s="77" t="n">
        <f aca="false">D197</f>
        <v>43.19</v>
      </c>
      <c r="E210" s="77" t="n">
        <f aca="false">IFERROR(D210/C210,0)</f>
        <v>7.19833333333333</v>
      </c>
      <c r="G210" s="1"/>
    </row>
    <row r="211" customFormat="false" ht="11.25" hidden="true" customHeight="true" outlineLevel="0" collapsed="false">
      <c r="A211" s="78" t="s">
        <v>92</v>
      </c>
      <c r="B211" s="79" t="s">
        <v>93</v>
      </c>
      <c r="C211" s="112" t="n">
        <v>2</v>
      </c>
      <c r="D211" s="77" t="n">
        <f aca="false">D198</f>
        <v>13.99</v>
      </c>
      <c r="E211" s="77" t="n">
        <f aca="false">IFERROR(D211/C211,0)</f>
        <v>6.995</v>
      </c>
      <c r="G211" s="1"/>
    </row>
    <row r="212" customFormat="false" ht="11.25" hidden="true" customHeight="true" outlineLevel="0" collapsed="false">
      <c r="A212" s="78" t="s">
        <v>94</v>
      </c>
      <c r="B212" s="79" t="s">
        <v>95</v>
      </c>
      <c r="C212" s="117" t="n">
        <v>1</v>
      </c>
      <c r="D212" s="77" t="n">
        <f aca="false">D199</f>
        <v>100</v>
      </c>
      <c r="E212" s="81" t="n">
        <f aca="false">C212*D212</f>
        <v>100</v>
      </c>
      <c r="G212" s="1"/>
    </row>
    <row r="213" customFormat="false" ht="11.25" hidden="true" customHeight="true" outlineLevel="0" collapsed="false">
      <c r="A213" s="78" t="s">
        <v>32</v>
      </c>
      <c r="B213" s="79" t="s">
        <v>33</v>
      </c>
      <c r="C213" s="117" t="n">
        <f aca="false">SUM(E33:E34)</f>
        <v>0</v>
      </c>
      <c r="D213" s="81" t="n">
        <f aca="false">+SUM(E206:E212)</f>
        <v>209.705833333333</v>
      </c>
      <c r="E213" s="81" t="n">
        <f aca="false">C213*D213</f>
        <v>0</v>
      </c>
      <c r="G213" s="1"/>
    </row>
    <row r="214" customFormat="false" ht="11.25" hidden="false" customHeight="true" outlineLevel="0" collapsed="false">
      <c r="G214" s="1"/>
    </row>
    <row r="215" customFormat="false" ht="12.8" hidden="false" customHeight="false" outlineLevel="0" collapsed="false">
      <c r="A215" s="108" t="s">
        <v>98</v>
      </c>
      <c r="B215" s="119"/>
      <c r="C215" s="119"/>
      <c r="D215" s="120"/>
      <c r="E215" s="121"/>
      <c r="F215" s="122" t="n">
        <f aca="false">+F187+F201</f>
        <v>4037.9175</v>
      </c>
      <c r="G215" s="1"/>
    </row>
    <row r="216" customFormat="false" ht="11.25" hidden="false" customHeight="true" outlineLevel="0" collapsed="false">
      <c r="G216" s="1"/>
    </row>
    <row r="217" customFormat="false" ht="12.8" hidden="false" customHeight="false" outlineLevel="0" collapsed="false">
      <c r="A217" s="26" t="s">
        <v>99</v>
      </c>
      <c r="G217" s="1"/>
    </row>
    <row r="218" customFormat="false" ht="11.25" hidden="false" customHeight="true" outlineLevel="0" collapsed="false">
      <c r="B218" s="123"/>
      <c r="G218" s="1"/>
    </row>
    <row r="219" customFormat="false" ht="12.8" hidden="false" customHeight="false" outlineLevel="0" collapsed="false">
      <c r="A219" s="124" t="s">
        <v>236</v>
      </c>
      <c r="G219" s="1"/>
    </row>
    <row r="220" customFormat="false" ht="11.25" hidden="false" customHeight="true" outlineLevel="0" collapsed="false">
      <c r="G220" s="1"/>
    </row>
    <row r="221" customFormat="false" ht="12.8" hidden="false" customHeight="false" outlineLevel="0" collapsed="false">
      <c r="A221" s="125" t="s">
        <v>101</v>
      </c>
      <c r="G221" s="1"/>
    </row>
    <row r="222" customFormat="false" ht="12.8" hidden="false" customHeight="false" outlineLevel="0" collapsed="false">
      <c r="A222" s="70" t="s">
        <v>16</v>
      </c>
      <c r="B222" s="71" t="s">
        <v>17</v>
      </c>
      <c r="C222" s="71" t="s">
        <v>9</v>
      </c>
      <c r="D222" s="72" t="s">
        <v>18</v>
      </c>
      <c r="E222" s="72" t="s">
        <v>19</v>
      </c>
      <c r="F222" s="73" t="s">
        <v>20</v>
      </c>
      <c r="G222" s="1"/>
    </row>
    <row r="223" customFormat="false" ht="12.8" hidden="false" customHeight="false" outlineLevel="0" collapsed="false">
      <c r="A223" s="74" t="s">
        <v>102</v>
      </c>
      <c r="B223" s="75" t="s">
        <v>65</v>
      </c>
      <c r="C223" s="75" t="n">
        <v>1</v>
      </c>
      <c r="D223" s="76" t="n">
        <f aca="false">'VALORES BASE'!B3</f>
        <v>545875</v>
      </c>
      <c r="E223" s="77" t="n">
        <f aca="false">C223*D223</f>
        <v>545875</v>
      </c>
      <c r="G223" s="1"/>
    </row>
    <row r="224" customFormat="false" ht="12.8" hidden="false" customHeight="false" outlineLevel="0" collapsed="false">
      <c r="A224" s="78" t="s">
        <v>103</v>
      </c>
      <c r="B224" s="79" t="s">
        <v>104</v>
      </c>
      <c r="C224" s="92" t="n">
        <v>5</v>
      </c>
      <c r="D224" s="81"/>
      <c r="E224" s="81"/>
      <c r="G224" s="1"/>
    </row>
    <row r="225" customFormat="false" ht="12.8" hidden="false" customHeight="false" outlineLevel="0" collapsed="false">
      <c r="A225" s="78" t="s">
        <v>105</v>
      </c>
      <c r="B225" s="79" t="s">
        <v>104</v>
      </c>
      <c r="C225" s="92" t="n">
        <v>0</v>
      </c>
      <c r="D225" s="81"/>
      <c r="E225" s="81"/>
      <c r="F225" s="126"/>
      <c r="I225" s="127"/>
      <c r="J225" s="127"/>
    </row>
    <row r="226" customFormat="false" ht="12.8" hidden="false" customHeight="false" outlineLevel="0" collapsed="false">
      <c r="A226" s="78" t="s">
        <v>106</v>
      </c>
      <c r="B226" s="79" t="s">
        <v>5</v>
      </c>
      <c r="C226" s="86" t="n">
        <f aca="false">IFERROR(VLOOKUP(C224,'5. Depreciação'!A3:B17,2,0),0)</f>
        <v>55.68</v>
      </c>
      <c r="D226" s="81" t="n">
        <f aca="false">E223</f>
        <v>545875</v>
      </c>
      <c r="E226" s="81" t="n">
        <f aca="false">C226*D226/100</f>
        <v>303943.2</v>
      </c>
    </row>
    <row r="227" customFormat="false" ht="12.8" hidden="false" customHeight="false" outlineLevel="0" collapsed="false">
      <c r="A227" s="128" t="s">
        <v>107</v>
      </c>
      <c r="B227" s="129" t="s">
        <v>22</v>
      </c>
      <c r="C227" s="129" t="n">
        <f aca="false">C224*12</f>
        <v>60</v>
      </c>
      <c r="D227" s="130" t="n">
        <f aca="false">IF(C225&lt;=C224,E226,0)</f>
        <v>303943.2</v>
      </c>
      <c r="E227" s="130" t="n">
        <f aca="false">IFERROR(D227/C227,0)</f>
        <v>5065.72</v>
      </c>
    </row>
    <row r="228" customFormat="false" ht="12.8" hidden="false" customHeight="false" outlineLevel="0" collapsed="false">
      <c r="A228" s="74" t="s">
        <v>108</v>
      </c>
      <c r="B228" s="75" t="s">
        <v>65</v>
      </c>
      <c r="C228" s="75" t="n">
        <f aca="false">C223</f>
        <v>1</v>
      </c>
      <c r="D228" s="76" t="n">
        <f aca="false">'VALORES BASE'!B30</f>
        <v>247760</v>
      </c>
      <c r="E228" s="77" t="n">
        <f aca="false">C228*D228</f>
        <v>247760</v>
      </c>
      <c r="G228" s="1"/>
    </row>
    <row r="229" customFormat="false" ht="12.8" hidden="false" customHeight="false" outlineLevel="0" collapsed="false">
      <c r="A229" s="78" t="s">
        <v>109</v>
      </c>
      <c r="B229" s="79" t="s">
        <v>104</v>
      </c>
      <c r="C229" s="92" t="n">
        <v>5</v>
      </c>
      <c r="D229" s="81"/>
      <c r="E229" s="81"/>
    </row>
    <row r="230" customFormat="false" ht="12.8" hidden="false" customHeight="false" outlineLevel="0" collapsed="false">
      <c r="A230" s="78" t="s">
        <v>110</v>
      </c>
      <c r="B230" s="79" t="s">
        <v>104</v>
      </c>
      <c r="C230" s="92" t="n">
        <v>0</v>
      </c>
      <c r="D230" s="81"/>
      <c r="E230" s="81"/>
      <c r="F230" s="126"/>
      <c r="I230" s="127"/>
      <c r="J230" s="127"/>
    </row>
    <row r="231" customFormat="false" ht="12.8" hidden="false" customHeight="false" outlineLevel="0" collapsed="false">
      <c r="A231" s="78" t="s">
        <v>111</v>
      </c>
      <c r="B231" s="79" t="s">
        <v>5</v>
      </c>
      <c r="C231" s="132" t="n">
        <f aca="false">IFERROR(VLOOKUP(C229,'5. Depreciação'!A3:B17,2,0),0)</f>
        <v>55.68</v>
      </c>
      <c r="D231" s="81" t="n">
        <f aca="false">E228</f>
        <v>247760</v>
      </c>
      <c r="E231" s="81" t="n">
        <f aca="false">C231*D231/100</f>
        <v>137952.768</v>
      </c>
    </row>
    <row r="232" customFormat="false" ht="12.8" hidden="false" customHeight="false" outlineLevel="0" collapsed="false">
      <c r="A232" s="95" t="s">
        <v>112</v>
      </c>
      <c r="B232" s="133" t="s">
        <v>22</v>
      </c>
      <c r="C232" s="133" t="n">
        <f aca="false">C229*12</f>
        <v>60</v>
      </c>
      <c r="D232" s="96" t="n">
        <f aca="false">IF(C230&lt;=C229,E231,0)</f>
        <v>137952.768</v>
      </c>
      <c r="E232" s="96" t="n">
        <f aca="false">IFERROR(D232/C232,0)</f>
        <v>2299.2128</v>
      </c>
    </row>
    <row r="233" customFormat="false" ht="12.8" hidden="false" customHeight="false" outlineLevel="0" collapsed="false">
      <c r="A233" s="82" t="s">
        <v>113</v>
      </c>
      <c r="B233" s="83"/>
      <c r="C233" s="83"/>
      <c r="D233" s="84"/>
      <c r="E233" s="85" t="n">
        <f aca="false">E227+E232</f>
        <v>7364.9328</v>
      </c>
    </row>
    <row r="234" customFormat="false" ht="12.8" hidden="false" customHeight="false" outlineLevel="0" collapsed="false">
      <c r="A234" s="95" t="s">
        <v>114</v>
      </c>
      <c r="B234" s="133" t="s">
        <v>65</v>
      </c>
      <c r="C234" s="87" t="n">
        <f aca="false">E38</f>
        <v>3</v>
      </c>
      <c r="D234" s="96" t="n">
        <f aca="false">E233</f>
        <v>7364.9328</v>
      </c>
      <c r="E234" s="85" t="n">
        <f aca="false">C234*D234</f>
        <v>22094.7984</v>
      </c>
    </row>
    <row r="235" customFormat="false" ht="12.8" hidden="false" customHeight="false" outlineLevel="0" collapsed="false">
      <c r="A235" s="135"/>
      <c r="B235" s="135"/>
      <c r="C235" s="135"/>
      <c r="D235" s="88" t="s">
        <v>34</v>
      </c>
      <c r="E235" s="89" t="n">
        <f aca="false">'FATOR FU_OFICIAL'!F19</f>
        <v>1</v>
      </c>
      <c r="F235" s="122" t="n">
        <f aca="false">E234*E235</f>
        <v>22094.7984</v>
      </c>
    </row>
    <row r="236" customFormat="false" ht="11.25" hidden="false" customHeight="true" outlineLevel="0" collapsed="false"/>
    <row r="237" customFormat="false" ht="12.8" hidden="false" customHeight="false" outlineLevel="0" collapsed="false">
      <c r="A237" s="125" t="s">
        <v>115</v>
      </c>
    </row>
    <row r="238" customFormat="false" ht="12.8" hidden="false" customHeight="false" outlineLevel="0" collapsed="false">
      <c r="A238" s="136" t="s">
        <v>16</v>
      </c>
      <c r="B238" s="137" t="s">
        <v>17</v>
      </c>
      <c r="C238" s="137" t="s">
        <v>9</v>
      </c>
      <c r="D238" s="72" t="s">
        <v>18</v>
      </c>
      <c r="E238" s="138" t="s">
        <v>19</v>
      </c>
      <c r="F238" s="73" t="s">
        <v>20</v>
      </c>
      <c r="I238" s="127"/>
      <c r="J238" s="127"/>
    </row>
    <row r="239" customFormat="false" ht="12.8" hidden="false" customHeight="false" outlineLevel="0" collapsed="false">
      <c r="A239" s="78" t="s">
        <v>116</v>
      </c>
      <c r="B239" s="79" t="s">
        <v>65</v>
      </c>
      <c r="C239" s="75" t="n">
        <v>1</v>
      </c>
      <c r="D239" s="81" t="n">
        <f aca="false">D223</f>
        <v>545875</v>
      </c>
      <c r="E239" s="81" t="n">
        <f aca="false">C239*D239</f>
        <v>545875</v>
      </c>
      <c r="F239" s="126"/>
      <c r="I239" s="127"/>
      <c r="J239" s="127"/>
    </row>
    <row r="240" customFormat="false" ht="12.8" hidden="false" customHeight="false" outlineLevel="0" collapsed="false">
      <c r="A240" s="78" t="s">
        <v>117</v>
      </c>
      <c r="B240" s="79" t="s">
        <v>5</v>
      </c>
      <c r="C240" s="92" t="n">
        <f aca="false">'VALORES BASE'!B32</f>
        <v>14.5</v>
      </c>
      <c r="D240" s="81"/>
      <c r="E240" s="81"/>
      <c r="F240" s="126"/>
      <c r="I240" s="127"/>
      <c r="J240" s="127"/>
    </row>
    <row r="241" customFormat="false" ht="12.8" hidden="false" customHeight="false" outlineLevel="0" collapsed="false">
      <c r="A241" s="78" t="s">
        <v>118</v>
      </c>
      <c r="B241" s="79" t="s">
        <v>27</v>
      </c>
      <c r="C241" s="139" t="n">
        <f aca="false">IFERROR(IF(C225&lt;=C224,E223-(C226/(100*C224)*C225)*E223,E223-E226),0)</f>
        <v>545875</v>
      </c>
      <c r="D241" s="81"/>
      <c r="E241" s="81"/>
      <c r="F241" s="126"/>
      <c r="I241" s="127"/>
      <c r="J241" s="127"/>
    </row>
    <row r="242" customFormat="false" ht="12.8" hidden="false" customHeight="false" outlineLevel="0" collapsed="false">
      <c r="A242" s="78" t="s">
        <v>119</v>
      </c>
      <c r="B242" s="79" t="s">
        <v>27</v>
      </c>
      <c r="C242" s="81" t="n">
        <f aca="false">IFERROR(IF(C225&gt;=C224,C241,((((C241)-(E223-E226))*(((C224-C225)+1)/(2*(C224-C225))))+(E223-E226))),0)</f>
        <v>424297.72</v>
      </c>
      <c r="D242" s="81"/>
      <c r="E242" s="81"/>
      <c r="F242" s="126"/>
      <c r="I242" s="127"/>
      <c r="J242" s="127"/>
    </row>
    <row r="243" customFormat="false" ht="12.8" hidden="false" customHeight="false" outlineLevel="0" collapsed="false">
      <c r="A243" s="128" t="s">
        <v>120</v>
      </c>
      <c r="B243" s="129" t="s">
        <v>27</v>
      </c>
      <c r="C243" s="129"/>
      <c r="D243" s="130" t="n">
        <f aca="false">C240*C242/12/100</f>
        <v>5126.93078333333</v>
      </c>
      <c r="E243" s="130" t="n">
        <f aca="false">D243</f>
        <v>5126.93078333333</v>
      </c>
      <c r="F243" s="126"/>
      <c r="I243" s="127"/>
      <c r="J243" s="127"/>
    </row>
    <row r="244" customFormat="false" ht="12.8" hidden="false" customHeight="false" outlineLevel="0" collapsed="false">
      <c r="A244" s="74" t="s">
        <v>121</v>
      </c>
      <c r="B244" s="75" t="s">
        <v>65</v>
      </c>
      <c r="C244" s="75" t="n">
        <f aca="false">C228</f>
        <v>1</v>
      </c>
      <c r="D244" s="77" t="n">
        <f aca="false">D228</f>
        <v>247760</v>
      </c>
      <c r="E244" s="77" t="n">
        <f aca="false">C244*D244</f>
        <v>247760</v>
      </c>
      <c r="F244" s="126"/>
      <c r="I244" s="127"/>
      <c r="J244" s="127"/>
    </row>
    <row r="245" customFormat="false" ht="12.8" hidden="false" customHeight="false" outlineLevel="0" collapsed="false">
      <c r="A245" s="78" t="s">
        <v>117</v>
      </c>
      <c r="B245" s="79" t="s">
        <v>5</v>
      </c>
      <c r="C245" s="79" t="n">
        <f aca="false">C240</f>
        <v>14.5</v>
      </c>
      <c r="D245" s="81"/>
      <c r="E245" s="81"/>
      <c r="F245" s="126"/>
      <c r="I245" s="127"/>
      <c r="J245" s="127"/>
    </row>
    <row r="246" customFormat="false" ht="12.8" hidden="false" customHeight="false" outlineLevel="0" collapsed="false">
      <c r="A246" s="78" t="s">
        <v>122</v>
      </c>
      <c r="B246" s="79" t="s">
        <v>27</v>
      </c>
      <c r="C246" s="139" t="n">
        <f aca="false">IFERROR(IF(C230&lt;=C229,E228-(C231/(100*C229)*C230)*E228,E228-E231),0)</f>
        <v>247760</v>
      </c>
      <c r="D246" s="81"/>
      <c r="E246" s="81"/>
      <c r="F246" s="126"/>
      <c r="I246" s="127"/>
      <c r="J246" s="127"/>
    </row>
    <row r="247" customFormat="false" ht="12.8" hidden="false" customHeight="false" outlineLevel="0" collapsed="false">
      <c r="A247" s="78" t="s">
        <v>123</v>
      </c>
      <c r="B247" s="79" t="s">
        <v>27</v>
      </c>
      <c r="C247" s="81" t="n">
        <f aca="false">IFERROR(IF(C230&gt;=C229,C246,((((C246)-(E228-E231))*(((C229-C230)+1)/(2*(C229-C230))))+(E228-E231))),0)</f>
        <v>192578.8928</v>
      </c>
      <c r="D247" s="81"/>
      <c r="E247" s="81"/>
      <c r="F247" s="126"/>
      <c r="I247" s="127"/>
      <c r="J247" s="127"/>
    </row>
    <row r="248" customFormat="false" ht="12.8" hidden="false" customHeight="false" outlineLevel="0" collapsed="false">
      <c r="A248" s="95" t="s">
        <v>124</v>
      </c>
      <c r="B248" s="133" t="s">
        <v>27</v>
      </c>
      <c r="C248" s="133"/>
      <c r="D248" s="96" t="n">
        <f aca="false">C245*C247/12/100</f>
        <v>2326.99495466667</v>
      </c>
      <c r="E248" s="96" t="n">
        <f aca="false">D248</f>
        <v>2326.99495466667</v>
      </c>
      <c r="F248" s="126"/>
      <c r="I248" s="127"/>
      <c r="J248" s="127"/>
    </row>
    <row r="249" customFormat="false" ht="12.8" hidden="false" customHeight="false" outlineLevel="0" collapsed="false">
      <c r="A249" s="82" t="s">
        <v>113</v>
      </c>
      <c r="B249" s="83"/>
      <c r="C249" s="83"/>
      <c r="D249" s="84"/>
      <c r="E249" s="85" t="n">
        <f aca="false">E243+E248</f>
        <v>7453.925738</v>
      </c>
      <c r="F249" s="126"/>
      <c r="I249" s="127"/>
      <c r="J249" s="127"/>
    </row>
    <row r="250" customFormat="false" ht="12.8" hidden="false" customHeight="false" outlineLevel="0" collapsed="false">
      <c r="A250" s="95" t="s">
        <v>114</v>
      </c>
      <c r="B250" s="133" t="s">
        <v>65</v>
      </c>
      <c r="C250" s="79" t="n">
        <f aca="false">C234</f>
        <v>3</v>
      </c>
      <c r="D250" s="96" t="n">
        <f aca="false">E249</f>
        <v>7453.925738</v>
      </c>
      <c r="E250" s="85" t="n">
        <f aca="false">C250*D250</f>
        <v>22361.777214</v>
      </c>
      <c r="F250" s="126"/>
      <c r="I250" s="127"/>
      <c r="J250" s="127"/>
    </row>
    <row r="251" customFormat="false" ht="12.8" hidden="false" customHeight="false" outlineLevel="0" collapsed="false">
      <c r="C251" s="140"/>
      <c r="D251" s="88" t="s">
        <v>34</v>
      </c>
      <c r="E251" s="89" t="n">
        <f aca="false">'FATOR FU_OFICIAL'!F19</f>
        <v>1</v>
      </c>
      <c r="F251" s="122" t="n">
        <f aca="false">E250*E251</f>
        <v>22361.777214</v>
      </c>
      <c r="I251" s="127"/>
      <c r="J251" s="127"/>
    </row>
    <row r="252" customFormat="false" ht="11.25" hidden="false" customHeight="true" outlineLevel="0" collapsed="false">
      <c r="I252" s="127"/>
      <c r="J252" s="127"/>
    </row>
    <row r="253" customFormat="false" ht="12.8" hidden="false" customHeight="false" outlineLevel="0" collapsed="false">
      <c r="A253" s="69" t="s">
        <v>125</v>
      </c>
      <c r="I253" s="127"/>
      <c r="J253" s="127"/>
    </row>
    <row r="254" customFormat="false" ht="12.8" hidden="false" customHeight="false" outlineLevel="0" collapsed="false">
      <c r="A254" s="70" t="s">
        <v>16</v>
      </c>
      <c r="B254" s="71" t="s">
        <v>17</v>
      </c>
      <c r="C254" s="71" t="s">
        <v>9</v>
      </c>
      <c r="D254" s="72" t="s">
        <v>18</v>
      </c>
      <c r="E254" s="72" t="s">
        <v>19</v>
      </c>
      <c r="F254" s="73" t="s">
        <v>20</v>
      </c>
      <c r="I254" s="127"/>
      <c r="J254" s="127"/>
    </row>
    <row r="255" customFormat="false" ht="12.8" hidden="false" customHeight="false" outlineLevel="0" collapsed="false">
      <c r="A255" s="74" t="s">
        <v>126</v>
      </c>
      <c r="B255" s="75" t="s">
        <v>65</v>
      </c>
      <c r="C255" s="77" t="n">
        <f aca="false">C234</f>
        <v>3</v>
      </c>
      <c r="D255" s="77" t="n">
        <f aca="false">0.01*($E$223)</f>
        <v>5458.75</v>
      </c>
      <c r="E255" s="77" t="n">
        <f aca="false">C255*D255</f>
        <v>16376.25</v>
      </c>
      <c r="I255" s="127"/>
      <c r="J255" s="127"/>
    </row>
    <row r="256" customFormat="false" ht="12.8" hidden="false" customHeight="false" outlineLevel="0" collapsed="false">
      <c r="A256" s="78" t="s">
        <v>127</v>
      </c>
      <c r="B256" s="79" t="s">
        <v>65</v>
      </c>
      <c r="C256" s="77" t="n">
        <f aca="false">C234</f>
        <v>3</v>
      </c>
      <c r="D256" s="106" t="n">
        <f aca="false">'VALORES BASE'!B59</f>
        <v>183.142</v>
      </c>
      <c r="E256" s="81" t="n">
        <f aca="false">C256*D256</f>
        <v>549.426</v>
      </c>
      <c r="I256" s="127"/>
      <c r="J256" s="127"/>
    </row>
    <row r="257" customFormat="false" ht="12.8" hidden="false" customHeight="false" outlineLevel="0" collapsed="false">
      <c r="A257" s="78" t="s">
        <v>128</v>
      </c>
      <c r="B257" s="79" t="s">
        <v>65</v>
      </c>
      <c r="C257" s="77" t="n">
        <f aca="false">C234</f>
        <v>3</v>
      </c>
      <c r="D257" s="106" t="n">
        <f aca="false">'VALORES BASE'!B41</f>
        <v>3500</v>
      </c>
      <c r="E257" s="81" t="n">
        <f aca="false">C257*D257</f>
        <v>10500</v>
      </c>
      <c r="F257" s="84"/>
      <c r="I257" s="127"/>
      <c r="J257" s="127"/>
    </row>
    <row r="258" customFormat="false" ht="12.8" hidden="false" customHeight="false" outlineLevel="0" collapsed="false">
      <c r="A258" s="95" t="s">
        <v>129</v>
      </c>
      <c r="B258" s="133" t="s">
        <v>22</v>
      </c>
      <c r="C258" s="133" t="n">
        <v>12</v>
      </c>
      <c r="D258" s="96" t="n">
        <f aca="false">SUM(E255:E257)</f>
        <v>27425.676</v>
      </c>
      <c r="E258" s="96" t="n">
        <f aca="false">D258/C258</f>
        <v>2285.473</v>
      </c>
      <c r="I258" s="127"/>
      <c r="J258" s="127"/>
    </row>
    <row r="259" customFormat="false" ht="12.8" hidden="false" customHeight="false" outlineLevel="0" collapsed="false">
      <c r="D259" s="88" t="s">
        <v>34</v>
      </c>
      <c r="E259" s="89" t="n">
        <f aca="false">'FATOR FU_OFICIAL'!F19</f>
        <v>1</v>
      </c>
      <c r="F259" s="90" t="n">
        <f aca="false">E258*E259</f>
        <v>2285.473</v>
      </c>
      <c r="I259" s="127"/>
      <c r="J259" s="127"/>
    </row>
    <row r="260" customFormat="false" ht="11.25" hidden="false" customHeight="true" outlineLevel="0" collapsed="false">
      <c r="I260" s="127"/>
      <c r="J260" s="127"/>
    </row>
    <row r="261" customFormat="false" ht="12.8" hidden="false" customHeight="false" outlineLevel="0" collapsed="false">
      <c r="A261" s="69" t="s">
        <v>130</v>
      </c>
      <c r="B261" s="141"/>
      <c r="I261" s="127"/>
      <c r="J261" s="127"/>
    </row>
    <row r="262" customFormat="false" ht="12.8" hidden="false" customHeight="false" outlineLevel="0" collapsed="false">
      <c r="B262" s="141"/>
      <c r="I262" s="127"/>
      <c r="J262" s="127"/>
    </row>
    <row r="263" customFormat="false" ht="12.8" hidden="false" customHeight="false" outlineLevel="0" collapsed="false">
      <c r="A263" s="95" t="s">
        <v>131</v>
      </c>
      <c r="B263" s="142" t="n">
        <f aca="false">'Roteiros Coleta_URBANO'!N10 +'Roteiros Coleta_RURAL'!E6+'Roteiros Coleta_URBANO_CENTRAL'!F4</f>
        <v>2797.75190476191</v>
      </c>
      <c r="C263" s="1" t="s">
        <v>237</v>
      </c>
      <c r="I263" s="127"/>
      <c r="J263" s="127"/>
    </row>
    <row r="264" customFormat="false" ht="12.8" hidden="false" customHeight="false" outlineLevel="0" collapsed="false">
      <c r="B264" s="141"/>
      <c r="I264" s="127"/>
      <c r="J264" s="127"/>
    </row>
    <row r="265" customFormat="false" ht="12.8" hidden="false" customHeight="false" outlineLevel="0" collapsed="false">
      <c r="A265" s="70" t="s">
        <v>16</v>
      </c>
      <c r="B265" s="71" t="s">
        <v>17</v>
      </c>
      <c r="C265" s="71" t="s">
        <v>132</v>
      </c>
      <c r="D265" s="72" t="s">
        <v>18</v>
      </c>
      <c r="E265" s="72" t="s">
        <v>19</v>
      </c>
      <c r="F265" s="73" t="s">
        <v>20</v>
      </c>
      <c r="I265" s="127"/>
      <c r="J265" s="127"/>
    </row>
    <row r="266" customFormat="false" ht="12.8" hidden="false" customHeight="false" outlineLevel="0" collapsed="false">
      <c r="A266" s="74" t="s">
        <v>133</v>
      </c>
      <c r="B266" s="75" t="s">
        <v>134</v>
      </c>
      <c r="C266" s="143" t="n">
        <f aca="false">'VALORES BASE'!B60</f>
        <v>2.1</v>
      </c>
      <c r="D266" s="144" t="n">
        <f aca="false">'VALORES BASE'!B38</f>
        <v>7.03</v>
      </c>
      <c r="E266" s="77"/>
      <c r="I266" s="127"/>
      <c r="J266" s="127"/>
    </row>
    <row r="267" customFormat="false" ht="12.8" hidden="false" customHeight="false" outlineLevel="0" collapsed="false">
      <c r="A267" s="78" t="s">
        <v>135</v>
      </c>
      <c r="B267" s="79" t="s">
        <v>136</v>
      </c>
      <c r="C267" s="101" t="n">
        <f aca="false">B263</f>
        <v>2797.75190476191</v>
      </c>
      <c r="D267" s="145" t="n">
        <f aca="false">IFERROR(+D266/C266,"-")</f>
        <v>3.34761904761905</v>
      </c>
      <c r="E267" s="81" t="n">
        <f aca="false">IFERROR(C267*D267,"-")</f>
        <v>9365.80756689343</v>
      </c>
      <c r="I267" s="127"/>
      <c r="J267" s="127"/>
    </row>
    <row r="268" customFormat="false" ht="12.8" hidden="false" customHeight="false" outlineLevel="0" collapsed="false">
      <c r="A268" s="78" t="s">
        <v>137</v>
      </c>
      <c r="B268" s="79" t="s">
        <v>138</v>
      </c>
      <c r="C268" s="146" t="n">
        <v>3</v>
      </c>
      <c r="D268" s="106" t="n">
        <f aca="false">'VALORES BASE'!B42</f>
        <v>36.3</v>
      </c>
      <c r="E268" s="81"/>
      <c r="I268" s="127"/>
      <c r="J268" s="127"/>
    </row>
    <row r="269" customFormat="false" ht="12.8" hidden="false" customHeight="false" outlineLevel="0" collapsed="false">
      <c r="A269" s="78" t="s">
        <v>139</v>
      </c>
      <c r="B269" s="79" t="s">
        <v>136</v>
      </c>
      <c r="C269" s="101" t="n">
        <f aca="false">C267</f>
        <v>2797.75190476191</v>
      </c>
      <c r="D269" s="147" t="n">
        <f aca="false">+C268*D268/1000</f>
        <v>0.1089</v>
      </c>
      <c r="E269" s="81" t="n">
        <f aca="false">C269*D269</f>
        <v>304.675182428572</v>
      </c>
      <c r="I269" s="127"/>
      <c r="J269" s="127"/>
    </row>
    <row r="270" customFormat="false" ht="12.8" hidden="false" customHeight="false" outlineLevel="0" collapsed="false">
      <c r="A270" s="78" t="s">
        <v>140</v>
      </c>
      <c r="B270" s="79" t="s">
        <v>138</v>
      </c>
      <c r="C270" s="146" t="n">
        <v>0.66</v>
      </c>
      <c r="D270" s="106" t="n">
        <f aca="false">'VALORES BASE'!B43</f>
        <v>54.12</v>
      </c>
      <c r="E270" s="81"/>
      <c r="I270" s="127"/>
      <c r="J270" s="127"/>
    </row>
    <row r="271" customFormat="false" ht="12.8" hidden="false" customHeight="false" outlineLevel="0" collapsed="false">
      <c r="A271" s="78" t="s">
        <v>141</v>
      </c>
      <c r="B271" s="79" t="s">
        <v>136</v>
      </c>
      <c r="C271" s="101" t="n">
        <f aca="false">C267</f>
        <v>2797.75190476191</v>
      </c>
      <c r="D271" s="147" t="n">
        <f aca="false">+C270*D270/1000</f>
        <v>0.0357192</v>
      </c>
      <c r="E271" s="81" t="n">
        <f aca="false">C271*D271</f>
        <v>99.9334598365714</v>
      </c>
      <c r="I271" s="127"/>
      <c r="J271" s="127"/>
    </row>
    <row r="272" customFormat="false" ht="12.8" hidden="false" customHeight="false" outlineLevel="0" collapsed="false">
      <c r="A272" s="78" t="s">
        <v>142</v>
      </c>
      <c r="B272" s="79" t="s">
        <v>138</v>
      </c>
      <c r="C272" s="146" t="n">
        <f aca="false">'VALORES BASE'!B62</f>
        <v>12.8</v>
      </c>
      <c r="D272" s="106" t="n">
        <f aca="false">'VALORES BASE'!B44</f>
        <v>47.4</v>
      </c>
      <c r="E272" s="81"/>
      <c r="I272" s="127"/>
      <c r="J272" s="127"/>
    </row>
    <row r="273" customFormat="false" ht="12.8" hidden="false" customHeight="false" outlineLevel="0" collapsed="false">
      <c r="A273" s="78" t="s">
        <v>143</v>
      </c>
      <c r="B273" s="79" t="s">
        <v>136</v>
      </c>
      <c r="C273" s="101" t="n">
        <f aca="false">C267</f>
        <v>2797.75190476191</v>
      </c>
      <c r="D273" s="147" t="n">
        <f aca="false">+C272*D272/1000</f>
        <v>0.60672</v>
      </c>
      <c r="E273" s="81" t="n">
        <f aca="false">C273*D273</f>
        <v>1697.45203565714</v>
      </c>
      <c r="I273" s="127"/>
      <c r="J273" s="127"/>
    </row>
    <row r="274" customFormat="false" ht="12.8" hidden="false" customHeight="false" outlineLevel="0" collapsed="false">
      <c r="A274" s="78" t="s">
        <v>144</v>
      </c>
      <c r="B274" s="79" t="s">
        <v>145</v>
      </c>
      <c r="C274" s="146" t="n">
        <v>2</v>
      </c>
      <c r="D274" s="106" t="n">
        <f aca="false">'VALORES BASE'!B45</f>
        <v>36</v>
      </c>
      <c r="E274" s="81"/>
      <c r="I274" s="127"/>
      <c r="J274" s="127"/>
    </row>
    <row r="275" customFormat="false" ht="12.8" hidden="false" customHeight="false" outlineLevel="0" collapsed="false">
      <c r="A275" s="78" t="s">
        <v>146</v>
      </c>
      <c r="B275" s="79" t="s">
        <v>136</v>
      </c>
      <c r="C275" s="101" t="n">
        <f aca="false">C267</f>
        <v>2797.75190476191</v>
      </c>
      <c r="D275" s="147" t="n">
        <f aca="false">+C274*D274/1000</f>
        <v>0.072</v>
      </c>
      <c r="E275" s="81" t="n">
        <f aca="false">C275*D275</f>
        <v>201.438137142858</v>
      </c>
      <c r="I275" s="127"/>
      <c r="J275" s="127"/>
    </row>
    <row r="276" customFormat="false" ht="12.8" hidden="false" customHeight="false" outlineLevel="0" collapsed="false">
      <c r="A276" s="78" t="s">
        <v>147</v>
      </c>
      <c r="B276" s="79" t="s">
        <v>148</v>
      </c>
      <c r="C276" s="101" t="n">
        <f aca="false">(B263/C266)*(5/100)</f>
        <v>66.6131405895692</v>
      </c>
      <c r="D276" s="158" t="n">
        <f aca="false">'VALORES BASE'!B31</f>
        <v>8</v>
      </c>
      <c r="E276" s="81" t="n">
        <f aca="false">C276*D276</f>
        <v>532.905124716554</v>
      </c>
      <c r="I276" s="127"/>
      <c r="J276" s="127"/>
    </row>
    <row r="277" customFormat="false" ht="12.8" hidden="false" customHeight="false" outlineLevel="0" collapsed="false">
      <c r="A277" s="95" t="s">
        <v>149</v>
      </c>
      <c r="B277" s="133" t="s">
        <v>150</v>
      </c>
      <c r="C277" s="149"/>
      <c r="D277" s="150" t="n">
        <f aca="false">IFERROR(D267+D269+D271+D273+D275,0)</f>
        <v>4.17095824761905</v>
      </c>
      <c r="E277" s="81"/>
      <c r="I277" s="127"/>
      <c r="J277" s="127"/>
    </row>
    <row r="278" customFormat="false" ht="12.8" hidden="false" customHeight="false" outlineLevel="0" collapsed="false">
      <c r="F278" s="122" t="n">
        <f aca="false">SUM(E266:E276)</f>
        <v>12202.2115066751</v>
      </c>
      <c r="I278" s="127"/>
      <c r="J278" s="127"/>
    </row>
    <row r="279" customFormat="false" ht="11.25" hidden="false" customHeight="true" outlineLevel="0" collapsed="false">
      <c r="I279" s="127"/>
      <c r="J279" s="127"/>
    </row>
    <row r="280" customFormat="false" ht="12.8" hidden="false" customHeight="false" outlineLevel="0" collapsed="false">
      <c r="A280" s="69" t="s">
        <v>151</v>
      </c>
      <c r="I280" s="127"/>
      <c r="J280" s="127"/>
    </row>
    <row r="281" customFormat="false" ht="12.8" hidden="false" customHeight="false" outlineLevel="0" collapsed="false">
      <c r="A281" s="70" t="s">
        <v>16</v>
      </c>
      <c r="B281" s="71" t="s">
        <v>17</v>
      </c>
      <c r="C281" s="71" t="s">
        <v>9</v>
      </c>
      <c r="D281" s="72" t="s">
        <v>18</v>
      </c>
      <c r="E281" s="72" t="s">
        <v>19</v>
      </c>
      <c r="F281" s="73" t="s">
        <v>20</v>
      </c>
      <c r="I281" s="127"/>
      <c r="J281" s="127"/>
    </row>
    <row r="282" customFormat="false" ht="12.8" hidden="false" customHeight="false" outlineLevel="0" collapsed="false">
      <c r="A282" s="74" t="s">
        <v>152</v>
      </c>
      <c r="B282" s="75" t="s">
        <v>150</v>
      </c>
      <c r="C282" s="101" t="n">
        <f aca="false">C267</f>
        <v>2797.75190476191</v>
      </c>
      <c r="D282" s="76" t="n">
        <f aca="false">'VALORES BASE'!B46</f>
        <v>1.32</v>
      </c>
      <c r="E282" s="77" t="n">
        <f aca="false">C282*D282</f>
        <v>3693.03251428572</v>
      </c>
      <c r="I282" s="127"/>
      <c r="J282" s="127"/>
    </row>
    <row r="283" customFormat="false" ht="12.8" hidden="false" customHeight="false" outlineLevel="0" collapsed="false">
      <c r="F283" s="122" t="n">
        <f aca="false">E282</f>
        <v>3693.03251428572</v>
      </c>
      <c r="I283" s="127"/>
      <c r="J283" s="127"/>
    </row>
    <row r="284" customFormat="false" ht="11.25" hidden="false" customHeight="true" outlineLevel="0" collapsed="false">
      <c r="I284" s="127"/>
      <c r="J284" s="127"/>
    </row>
    <row r="285" customFormat="false" ht="12.8" hidden="false" customHeight="false" outlineLevel="0" collapsed="false">
      <c r="A285" s="69" t="s">
        <v>153</v>
      </c>
      <c r="I285" s="127"/>
      <c r="J285" s="127"/>
    </row>
    <row r="286" customFormat="false" ht="12.8" hidden="false" customHeight="false" outlineLevel="0" collapsed="false">
      <c r="A286" s="70" t="s">
        <v>16</v>
      </c>
      <c r="B286" s="71" t="s">
        <v>17</v>
      </c>
      <c r="C286" s="71" t="s">
        <v>9</v>
      </c>
      <c r="D286" s="72" t="s">
        <v>18</v>
      </c>
      <c r="E286" s="72" t="s">
        <v>19</v>
      </c>
      <c r="F286" s="73" t="s">
        <v>20</v>
      </c>
      <c r="I286" s="127"/>
      <c r="J286" s="127"/>
    </row>
    <row r="287" customFormat="false" ht="12.8" hidden="false" customHeight="false" outlineLevel="0" collapsed="false">
      <c r="A287" s="74" t="s">
        <v>154</v>
      </c>
      <c r="B287" s="75" t="s">
        <v>65</v>
      </c>
      <c r="C287" s="151" t="n">
        <v>6</v>
      </c>
      <c r="D287" s="76" t="n">
        <f aca="false">'VALORES BASE'!B16</f>
        <v>1823.73</v>
      </c>
      <c r="E287" s="77" t="n">
        <f aca="false">C287*D287</f>
        <v>10942.38</v>
      </c>
      <c r="I287" s="127"/>
      <c r="J287" s="127"/>
    </row>
    <row r="288" customFormat="false" ht="12.8" hidden="false" customHeight="false" outlineLevel="0" collapsed="false">
      <c r="A288" s="74" t="s">
        <v>155</v>
      </c>
      <c r="B288" s="75" t="s">
        <v>65</v>
      </c>
      <c r="C288" s="151" t="n">
        <v>3</v>
      </c>
      <c r="D288" s="77"/>
      <c r="E288" s="77"/>
      <c r="I288" s="127"/>
      <c r="J288" s="127"/>
    </row>
    <row r="289" customFormat="false" ht="12.8" hidden="false" customHeight="false" outlineLevel="0" collapsed="false">
      <c r="A289" s="74" t="s">
        <v>156</v>
      </c>
      <c r="B289" s="75" t="s">
        <v>65</v>
      </c>
      <c r="C289" s="77" t="n">
        <f aca="false">C287*C288</f>
        <v>18</v>
      </c>
      <c r="D289" s="76" t="n">
        <f aca="false">0.35*D287</f>
        <v>638.3055</v>
      </c>
      <c r="E289" s="77" t="n">
        <f aca="false">C289*D289</f>
        <v>11489.499</v>
      </c>
      <c r="I289" s="127"/>
      <c r="J289" s="127"/>
    </row>
    <row r="290" customFormat="false" ht="12.8" hidden="false" customHeight="false" outlineLevel="0" collapsed="false">
      <c r="A290" s="152" t="s">
        <v>157</v>
      </c>
      <c r="B290" s="79" t="s">
        <v>158</v>
      </c>
      <c r="C290" s="153" t="n">
        <f aca="false">'VALORES BASE'!B63</f>
        <v>65000</v>
      </c>
      <c r="D290" s="81" t="n">
        <f aca="false">E287+E289</f>
        <v>22431.879</v>
      </c>
      <c r="E290" s="81" t="n">
        <f aca="false">IFERROR(D290/C290,"-")</f>
        <v>0.345105830769231</v>
      </c>
      <c r="I290" s="127"/>
      <c r="J290" s="127"/>
    </row>
    <row r="291" customFormat="false" ht="12.8" hidden="false" customHeight="false" outlineLevel="0" collapsed="false">
      <c r="A291" s="78" t="s">
        <v>159</v>
      </c>
      <c r="B291" s="79" t="s">
        <v>136</v>
      </c>
      <c r="C291" s="101" t="n">
        <f aca="false">B263</f>
        <v>2797.75190476191</v>
      </c>
      <c r="D291" s="81" t="n">
        <f aca="false">E290</f>
        <v>0.345105830769231</v>
      </c>
      <c r="E291" s="81" t="n">
        <f aca="false">IFERROR(C291*D291,0)</f>
        <v>965.520495379056</v>
      </c>
      <c r="I291" s="127"/>
      <c r="J291" s="127"/>
    </row>
    <row r="292" customFormat="false" ht="12.8" hidden="false" customHeight="false" outlineLevel="0" collapsed="false">
      <c r="F292" s="122" t="n">
        <f aca="false">E291</f>
        <v>965.520495379056</v>
      </c>
      <c r="I292" s="127"/>
      <c r="J292" s="127"/>
    </row>
    <row r="293" customFormat="false" ht="11.25" hidden="false" customHeight="true" outlineLevel="0" collapsed="false">
      <c r="A293" s="69" t="s">
        <v>160</v>
      </c>
      <c r="I293" s="127"/>
      <c r="J293" s="127"/>
    </row>
    <row r="294" customFormat="false" ht="11.25" hidden="false" customHeight="true" outlineLevel="0" collapsed="false">
      <c r="A294" s="70" t="s">
        <v>16</v>
      </c>
      <c r="B294" s="71" t="s">
        <v>17</v>
      </c>
      <c r="C294" s="71" t="s">
        <v>9</v>
      </c>
      <c r="D294" s="72" t="s">
        <v>18</v>
      </c>
      <c r="E294" s="72" t="s">
        <v>19</v>
      </c>
      <c r="F294" s="73" t="s">
        <v>20</v>
      </c>
      <c r="I294" s="127"/>
      <c r="J294" s="127"/>
    </row>
    <row r="295" customFormat="false" ht="11.25" hidden="false" customHeight="true" outlineLevel="0" collapsed="false">
      <c r="A295" s="74" t="s">
        <v>161</v>
      </c>
      <c r="B295" s="75" t="s">
        <v>65</v>
      </c>
      <c r="C295" s="151" t="n">
        <v>1</v>
      </c>
      <c r="D295" s="76" t="n">
        <f aca="false">'VALORES BASE'!B17</f>
        <v>647</v>
      </c>
      <c r="E295" s="77" t="n">
        <f aca="false">C295*D295</f>
        <v>647</v>
      </c>
      <c r="I295" s="127"/>
      <c r="J295" s="127"/>
    </row>
    <row r="296" customFormat="false" ht="11.25" hidden="false" customHeight="true" outlineLevel="0" collapsed="false">
      <c r="A296" s="74" t="s">
        <v>114</v>
      </c>
      <c r="B296" s="75" t="s">
        <v>65</v>
      </c>
      <c r="C296" s="75" t="n">
        <f aca="false">E38</f>
        <v>3</v>
      </c>
      <c r="D296" s="77"/>
      <c r="E296" s="77" t="n">
        <f aca="false">PRODUCT(C296,E295)/60</f>
        <v>32.35</v>
      </c>
      <c r="I296" s="127"/>
      <c r="J296" s="127"/>
    </row>
    <row r="297" customFormat="false" ht="11.25" hidden="false" customHeight="true" outlineLevel="0" collapsed="false">
      <c r="A297" s="74" t="s">
        <v>162</v>
      </c>
      <c r="B297" s="75" t="s">
        <v>27</v>
      </c>
      <c r="C297" s="75"/>
      <c r="D297" s="75"/>
      <c r="E297" s="77" t="n">
        <f aca="false">E296</f>
        <v>32.35</v>
      </c>
      <c r="I297" s="127"/>
      <c r="J297" s="127"/>
    </row>
    <row r="298" customFormat="false" ht="11.25" hidden="false" customHeight="true" outlineLevel="0" collapsed="false">
      <c r="F298" s="122" t="n">
        <f aca="false">E297</f>
        <v>32.35</v>
      </c>
      <c r="I298" s="127"/>
      <c r="J298" s="127"/>
    </row>
    <row r="299" customFormat="false" ht="11.25" hidden="false" customHeight="true" outlineLevel="0" collapsed="false">
      <c r="I299" s="127"/>
      <c r="J299" s="127"/>
    </row>
    <row r="300" customFormat="false" ht="11.25" hidden="false" customHeight="true" outlineLevel="0" collapsed="false">
      <c r="A300" s="69" t="s">
        <v>238</v>
      </c>
      <c r="I300" s="127"/>
      <c r="J300" s="127"/>
    </row>
    <row r="301" customFormat="false" ht="11.25" hidden="false" customHeight="true" outlineLevel="0" collapsed="false">
      <c r="A301" s="70" t="s">
        <v>16</v>
      </c>
      <c r="B301" s="71" t="s">
        <v>17</v>
      </c>
      <c r="C301" s="71" t="s">
        <v>9</v>
      </c>
      <c r="D301" s="72" t="s">
        <v>18</v>
      </c>
      <c r="E301" s="72" t="s">
        <v>19</v>
      </c>
      <c r="F301" s="73" t="s">
        <v>20</v>
      </c>
      <c r="I301" s="127"/>
      <c r="J301" s="127"/>
    </row>
    <row r="302" customFormat="false" ht="11.25" hidden="false" customHeight="true" outlineLevel="0" collapsed="false">
      <c r="A302" s="74" t="s">
        <v>161</v>
      </c>
      <c r="B302" s="75" t="s">
        <v>65</v>
      </c>
      <c r="C302" s="151" t="n">
        <v>1</v>
      </c>
      <c r="D302" s="76" t="n">
        <f aca="false">'VALORES BASE'!B54</f>
        <v>2229</v>
      </c>
      <c r="E302" s="77" t="n">
        <f aca="false">(C302*D302)</f>
        <v>2229</v>
      </c>
      <c r="I302" s="127"/>
      <c r="J302" s="127"/>
    </row>
    <row r="303" customFormat="false" ht="11.25" hidden="false" customHeight="true" outlineLevel="0" collapsed="false">
      <c r="A303" s="74" t="s">
        <v>114</v>
      </c>
      <c r="B303" s="75" t="s">
        <v>65</v>
      </c>
      <c r="C303" s="99" t="n">
        <f aca="false">E38</f>
        <v>3</v>
      </c>
      <c r="D303" s="77"/>
      <c r="E303" s="77" t="n">
        <f aca="false">PRODUCT(C303,E302)/60</f>
        <v>111.45</v>
      </c>
      <c r="I303" s="127"/>
      <c r="J303" s="127"/>
    </row>
    <row r="304" customFormat="false" ht="11.25" hidden="false" customHeight="true" outlineLevel="0" collapsed="false">
      <c r="A304" s="74" t="s">
        <v>162</v>
      </c>
      <c r="B304" s="75" t="s">
        <v>27</v>
      </c>
      <c r="C304" s="75"/>
      <c r="D304" s="75"/>
      <c r="E304" s="77" t="n">
        <f aca="false">E303</f>
        <v>111.45</v>
      </c>
      <c r="I304" s="127"/>
      <c r="J304" s="127"/>
    </row>
    <row r="305" customFormat="false" ht="11.25" hidden="false" customHeight="true" outlineLevel="0" collapsed="false">
      <c r="F305" s="122" t="n">
        <f aca="false">E304</f>
        <v>111.45</v>
      </c>
      <c r="I305" s="127"/>
      <c r="J305" s="127"/>
    </row>
    <row r="306" customFormat="false" ht="11.25" hidden="false" customHeight="true" outlineLevel="0" collapsed="false">
      <c r="I306" s="127"/>
      <c r="J306" s="127"/>
    </row>
    <row r="307" customFormat="false" ht="11.25" hidden="false" customHeight="true" outlineLevel="0" collapsed="false">
      <c r="A307" s="69" t="s">
        <v>239</v>
      </c>
      <c r="I307" s="127"/>
      <c r="J307" s="127"/>
    </row>
    <row r="308" customFormat="false" ht="11.25" hidden="false" customHeight="true" outlineLevel="0" collapsed="false">
      <c r="A308" s="70" t="s">
        <v>16</v>
      </c>
      <c r="B308" s="71" t="s">
        <v>17</v>
      </c>
      <c r="C308" s="71" t="s">
        <v>9</v>
      </c>
      <c r="D308" s="72" t="s">
        <v>18</v>
      </c>
      <c r="E308" s="72" t="s">
        <v>19</v>
      </c>
      <c r="F308" s="73" t="s">
        <v>20</v>
      </c>
      <c r="I308" s="127"/>
      <c r="J308" s="127"/>
    </row>
    <row r="309" customFormat="false" ht="11.25" hidden="false" customHeight="true" outlineLevel="0" collapsed="false">
      <c r="A309" s="74" t="s">
        <v>161</v>
      </c>
      <c r="B309" s="75" t="s">
        <v>65</v>
      </c>
      <c r="C309" s="154" t="n">
        <f aca="false">E38</f>
        <v>3</v>
      </c>
      <c r="D309" s="76" t="n">
        <f aca="false">'VALORES BASE'!B47</f>
        <v>650</v>
      </c>
      <c r="E309" s="77" t="n">
        <f aca="false">(C309*D309)/60</f>
        <v>32.5</v>
      </c>
      <c r="I309" s="127"/>
      <c r="J309" s="127"/>
    </row>
    <row r="310" customFormat="false" ht="11.25" hidden="false" customHeight="true" outlineLevel="0" collapsed="false">
      <c r="A310" s="74" t="s">
        <v>164</v>
      </c>
      <c r="B310" s="75" t="s">
        <v>65</v>
      </c>
      <c r="C310" s="99" t="n">
        <f aca="false">C309</f>
        <v>3</v>
      </c>
      <c r="D310" s="76" t="n">
        <f aca="false">'VALORES BASE'!B48</f>
        <v>159.9</v>
      </c>
      <c r="E310" s="77" t="n">
        <f aca="false">C310*D310</f>
        <v>479.7</v>
      </c>
      <c r="I310" s="127"/>
      <c r="J310" s="127"/>
    </row>
    <row r="311" customFormat="false" ht="11.25" hidden="false" customHeight="true" outlineLevel="0" collapsed="false">
      <c r="A311" s="74" t="s">
        <v>162</v>
      </c>
      <c r="B311" s="75" t="s">
        <v>27</v>
      </c>
      <c r="C311" s="75"/>
      <c r="D311" s="75"/>
      <c r="E311" s="77" t="n">
        <f aca="false">E310+E309/12</f>
        <v>482.408333333333</v>
      </c>
      <c r="I311" s="127"/>
      <c r="J311" s="127"/>
    </row>
    <row r="312" customFormat="false" ht="11.25" hidden="false" customHeight="true" outlineLevel="0" collapsed="false">
      <c r="F312" s="122" t="n">
        <f aca="false">E311</f>
        <v>482.408333333333</v>
      </c>
      <c r="I312" s="127"/>
      <c r="J312" s="127"/>
    </row>
    <row r="313" customFormat="false" ht="11.25" hidden="false" customHeight="true" outlineLevel="0" collapsed="false">
      <c r="I313" s="127"/>
      <c r="J313" s="127"/>
    </row>
    <row r="314" customFormat="false" ht="11.25" hidden="true" customHeight="true" outlineLevel="0" collapsed="false">
      <c r="A314" s="157" t="s">
        <v>240</v>
      </c>
      <c r="I314" s="127"/>
      <c r="J314" s="127"/>
    </row>
    <row r="315" customFormat="false" ht="11.25" hidden="true" customHeight="true" outlineLevel="0" collapsed="false">
      <c r="I315" s="127"/>
      <c r="J315" s="127"/>
    </row>
    <row r="316" customFormat="false" ht="11.25" hidden="true" customHeight="true" outlineLevel="0" collapsed="false">
      <c r="A316" s="125" t="s">
        <v>166</v>
      </c>
      <c r="I316" s="127"/>
      <c r="J316" s="127"/>
    </row>
    <row r="317" customFormat="false" ht="11.25" hidden="true" customHeight="true" outlineLevel="0" collapsed="false">
      <c r="A317" s="70" t="s">
        <v>16</v>
      </c>
      <c r="B317" s="71" t="s">
        <v>17</v>
      </c>
      <c r="C317" s="71" t="s">
        <v>9</v>
      </c>
      <c r="D317" s="72" t="s">
        <v>18</v>
      </c>
      <c r="E317" s="72" t="s">
        <v>19</v>
      </c>
      <c r="F317" s="73" t="s">
        <v>20</v>
      </c>
      <c r="I317" s="127"/>
      <c r="J317" s="127"/>
    </row>
    <row r="318" customFormat="false" ht="11.25" hidden="true" customHeight="true" outlineLevel="0" collapsed="false">
      <c r="A318" s="74" t="s">
        <v>102</v>
      </c>
      <c r="B318" s="75" t="s">
        <v>65</v>
      </c>
      <c r="C318" s="75" t="n">
        <v>1</v>
      </c>
      <c r="D318" s="76" t="n">
        <f aca="false">'VALORES BASE'!B55</f>
        <v>256579</v>
      </c>
      <c r="E318" s="77" t="n">
        <f aca="false">C318*D318</f>
        <v>256579</v>
      </c>
      <c r="I318" s="127"/>
      <c r="J318" s="127"/>
    </row>
    <row r="319" customFormat="false" ht="11.25" hidden="true" customHeight="true" outlineLevel="0" collapsed="false">
      <c r="A319" s="78" t="s">
        <v>103</v>
      </c>
      <c r="B319" s="79" t="s">
        <v>104</v>
      </c>
      <c r="C319" s="92" t="n">
        <v>10</v>
      </c>
      <c r="D319" s="81"/>
      <c r="E319" s="81"/>
      <c r="I319" s="127"/>
      <c r="J319" s="127"/>
    </row>
    <row r="320" customFormat="false" ht="11.25" hidden="true" customHeight="true" outlineLevel="0" collapsed="false">
      <c r="A320" s="78" t="s">
        <v>105</v>
      </c>
      <c r="B320" s="79" t="s">
        <v>104</v>
      </c>
      <c r="C320" s="92" t="n">
        <v>0</v>
      </c>
      <c r="D320" s="81"/>
      <c r="E320" s="81"/>
      <c r="F320" s="126"/>
      <c r="I320" s="127"/>
      <c r="J320" s="127"/>
    </row>
    <row r="321" customFormat="false" ht="11.25" hidden="true" customHeight="true" outlineLevel="0" collapsed="false">
      <c r="A321" s="78" t="s">
        <v>106</v>
      </c>
      <c r="B321" s="79" t="s">
        <v>5</v>
      </c>
      <c r="C321" s="86" t="n">
        <f aca="false">IFERROR(VLOOKUP(C319,'5. Depreciação'!$A$3:$B$17,2,0),0)</f>
        <v>65.18</v>
      </c>
      <c r="D321" s="81" t="n">
        <f aca="false">E318</f>
        <v>256579</v>
      </c>
      <c r="E321" s="81" t="n">
        <f aca="false">C321*D321/100</f>
        <v>167238.1922</v>
      </c>
      <c r="I321" s="127"/>
      <c r="J321" s="127"/>
    </row>
    <row r="322" customFormat="false" ht="11.25" hidden="true" customHeight="true" outlineLevel="0" collapsed="false">
      <c r="A322" s="128" t="s">
        <v>107</v>
      </c>
      <c r="B322" s="129" t="s">
        <v>22</v>
      </c>
      <c r="C322" s="129" t="n">
        <f aca="false">C319*12</f>
        <v>120</v>
      </c>
      <c r="D322" s="130" t="n">
        <f aca="false">IF(C320&lt;=C319,E321,0)</f>
        <v>167238.1922</v>
      </c>
      <c r="E322" s="130" t="n">
        <f aca="false">IFERROR(D322/C322,0)</f>
        <v>1393.65160166667</v>
      </c>
      <c r="I322" s="127"/>
      <c r="J322" s="127"/>
    </row>
    <row r="323" customFormat="false" ht="11.25" hidden="true" customHeight="true" outlineLevel="0" collapsed="false">
      <c r="A323" s="74" t="s">
        <v>184</v>
      </c>
      <c r="B323" s="75" t="s">
        <v>65</v>
      </c>
      <c r="C323" s="75" t="n">
        <f aca="false">C318</f>
        <v>1</v>
      </c>
      <c r="D323" s="76" t="n">
        <f aca="false">'VALORES BASE'!B56</f>
        <v>10000</v>
      </c>
      <c r="E323" s="77" t="n">
        <f aca="false">C323*D323</f>
        <v>10000</v>
      </c>
      <c r="I323" s="127"/>
      <c r="J323" s="127"/>
    </row>
    <row r="324" customFormat="false" ht="11.25" hidden="true" customHeight="true" outlineLevel="0" collapsed="false">
      <c r="A324" s="78" t="s">
        <v>109</v>
      </c>
      <c r="B324" s="79" t="s">
        <v>104</v>
      </c>
      <c r="C324" s="92" t="n">
        <v>10</v>
      </c>
      <c r="D324" s="81"/>
      <c r="E324" s="81"/>
      <c r="I324" s="127"/>
      <c r="J324" s="127"/>
    </row>
    <row r="325" customFormat="false" ht="11.25" hidden="true" customHeight="true" outlineLevel="0" collapsed="false">
      <c r="A325" s="78" t="s">
        <v>110</v>
      </c>
      <c r="B325" s="79" t="s">
        <v>104</v>
      </c>
      <c r="C325" s="92" t="n">
        <v>0</v>
      </c>
      <c r="D325" s="81"/>
      <c r="E325" s="81"/>
      <c r="F325" s="126"/>
      <c r="I325" s="127"/>
      <c r="J325" s="127"/>
    </row>
    <row r="326" customFormat="false" ht="11.25" hidden="true" customHeight="true" outlineLevel="0" collapsed="false">
      <c r="A326" s="78" t="s">
        <v>111</v>
      </c>
      <c r="B326" s="79" t="s">
        <v>5</v>
      </c>
      <c r="C326" s="132" t="n">
        <f aca="false">IFERROR(VLOOKUP(C324,'5. Depreciação'!$A$3:$B$17,2,0),0)</f>
        <v>65.18</v>
      </c>
      <c r="D326" s="81" t="n">
        <f aca="false">E323</f>
        <v>10000</v>
      </c>
      <c r="E326" s="81" t="n">
        <f aca="false">C326*D326/100</f>
        <v>6518</v>
      </c>
      <c r="I326" s="127"/>
      <c r="J326" s="127"/>
    </row>
    <row r="327" customFormat="false" ht="11.25" hidden="true" customHeight="true" outlineLevel="0" collapsed="false">
      <c r="A327" s="95" t="s">
        <v>112</v>
      </c>
      <c r="B327" s="133" t="s">
        <v>22</v>
      </c>
      <c r="C327" s="133" t="n">
        <f aca="false">C324*12</f>
        <v>120</v>
      </c>
      <c r="D327" s="96" t="n">
        <f aca="false">IF(C325&lt;=C324,E326,0)</f>
        <v>6518</v>
      </c>
      <c r="E327" s="96" t="n">
        <f aca="false">IFERROR(D327/C327,0)</f>
        <v>54.3166666666667</v>
      </c>
      <c r="I327" s="127"/>
      <c r="J327" s="127"/>
    </row>
    <row r="328" customFormat="false" ht="11.25" hidden="true" customHeight="true" outlineLevel="0" collapsed="false">
      <c r="A328" s="128" t="s">
        <v>170</v>
      </c>
      <c r="B328" s="129" t="s">
        <v>22</v>
      </c>
      <c r="C328" s="129" t="n">
        <v>1</v>
      </c>
      <c r="D328" s="130"/>
      <c r="E328" s="130" t="n">
        <f aca="false">0.1*(E327+E322)</f>
        <v>144.796826833333</v>
      </c>
      <c r="I328" s="127"/>
      <c r="J328" s="127"/>
    </row>
    <row r="329" customFormat="false" ht="11.25" hidden="true" customHeight="true" outlineLevel="0" collapsed="false">
      <c r="A329" s="82" t="s">
        <v>113</v>
      </c>
      <c r="B329" s="83"/>
      <c r="C329" s="83"/>
      <c r="D329" s="84"/>
      <c r="E329" s="85" t="n">
        <f aca="false">E322+E327+E328</f>
        <v>1592.76509516667</v>
      </c>
      <c r="I329" s="127"/>
      <c r="J329" s="127"/>
    </row>
    <row r="330" customFormat="false" ht="11.25" hidden="true" customHeight="true" outlineLevel="0" collapsed="false">
      <c r="A330" s="95" t="s">
        <v>114</v>
      </c>
      <c r="B330" s="133" t="s">
        <v>65</v>
      </c>
      <c r="C330" s="87" t="n">
        <v>0</v>
      </c>
      <c r="D330" s="96" t="n">
        <f aca="false">E329</f>
        <v>1592.76509516667</v>
      </c>
      <c r="E330" s="85" t="n">
        <f aca="false">C330*D330</f>
        <v>0</v>
      </c>
      <c r="I330" s="127"/>
      <c r="J330" s="127"/>
    </row>
    <row r="331" customFormat="false" ht="11.25" hidden="true" customHeight="true" outlineLevel="0" collapsed="false">
      <c r="A331" s="135"/>
      <c r="B331" s="135"/>
      <c r="C331" s="135"/>
      <c r="D331" s="88" t="s">
        <v>34</v>
      </c>
      <c r="E331" s="89" t="n">
        <f aca="false">'FATOR FU_OFICIAL'!F23</f>
        <v>1</v>
      </c>
      <c r="F331" s="122" t="n">
        <f aca="false">E330*E331</f>
        <v>0</v>
      </c>
      <c r="I331" s="127"/>
      <c r="J331" s="127"/>
    </row>
    <row r="332" customFormat="false" ht="11.25" hidden="true" customHeight="true" outlineLevel="0" collapsed="false">
      <c r="I332" s="127"/>
      <c r="J332" s="127"/>
    </row>
    <row r="333" customFormat="false" ht="11.25" hidden="true" customHeight="true" outlineLevel="0" collapsed="false">
      <c r="A333" s="125" t="s">
        <v>171</v>
      </c>
      <c r="I333" s="127"/>
      <c r="J333" s="127"/>
    </row>
    <row r="334" customFormat="false" ht="11.25" hidden="true" customHeight="true" outlineLevel="0" collapsed="false">
      <c r="A334" s="136" t="s">
        <v>16</v>
      </c>
      <c r="B334" s="137" t="s">
        <v>17</v>
      </c>
      <c r="C334" s="137" t="s">
        <v>9</v>
      </c>
      <c r="D334" s="72" t="s">
        <v>18</v>
      </c>
      <c r="E334" s="138" t="s">
        <v>19</v>
      </c>
      <c r="F334" s="73" t="s">
        <v>20</v>
      </c>
      <c r="I334" s="127"/>
      <c r="J334" s="127"/>
    </row>
    <row r="335" customFormat="false" ht="11.25" hidden="true" customHeight="true" outlineLevel="0" collapsed="false">
      <c r="A335" s="78" t="s">
        <v>116</v>
      </c>
      <c r="B335" s="79" t="s">
        <v>65</v>
      </c>
      <c r="C335" s="75" t="n">
        <v>1</v>
      </c>
      <c r="D335" s="81" t="n">
        <f aca="false">D318</f>
        <v>256579</v>
      </c>
      <c r="E335" s="81" t="n">
        <f aca="false">C335*D335</f>
        <v>256579</v>
      </c>
      <c r="F335" s="126"/>
      <c r="I335" s="127"/>
      <c r="J335" s="127"/>
    </row>
    <row r="336" customFormat="false" ht="11.25" hidden="true" customHeight="true" outlineLevel="0" collapsed="false">
      <c r="A336" s="78" t="s">
        <v>117</v>
      </c>
      <c r="B336" s="79" t="s">
        <v>5</v>
      </c>
      <c r="C336" s="92" t="n">
        <f aca="false">'VALORES BASE'!B32</f>
        <v>14.5</v>
      </c>
      <c r="D336" s="81"/>
      <c r="E336" s="81"/>
      <c r="F336" s="126"/>
      <c r="I336" s="127"/>
      <c r="J336" s="127"/>
    </row>
    <row r="337" customFormat="false" ht="11.25" hidden="true" customHeight="true" outlineLevel="0" collapsed="false">
      <c r="A337" s="78" t="s">
        <v>118</v>
      </c>
      <c r="B337" s="79" t="s">
        <v>27</v>
      </c>
      <c r="C337" s="139" t="n">
        <f aca="false">IFERROR(IF(C320&lt;=C319,E318-(C321/(100*C319)*C320)*E318,E318-E321),0)</f>
        <v>256579</v>
      </c>
      <c r="D337" s="81"/>
      <c r="E337" s="81"/>
      <c r="F337" s="126"/>
      <c r="I337" s="127"/>
      <c r="J337" s="127"/>
    </row>
    <row r="338" customFormat="false" ht="11.25" hidden="true" customHeight="true" outlineLevel="0" collapsed="false">
      <c r="A338" s="78" t="s">
        <v>119</v>
      </c>
      <c r="B338" s="79" t="s">
        <v>27</v>
      </c>
      <c r="C338" s="81" t="n">
        <f aca="false">IFERROR(IF(C320&gt;=C319,C337,((((C337)-(E318-E321))*(((C319-C320)+1)/(2*(C319-C320))))+(E318-E321))),0)</f>
        <v>181321.81351</v>
      </c>
      <c r="D338" s="81"/>
      <c r="E338" s="81"/>
      <c r="F338" s="126"/>
      <c r="I338" s="127"/>
      <c r="J338" s="127"/>
    </row>
    <row r="339" customFormat="false" ht="11.25" hidden="true" customHeight="true" outlineLevel="0" collapsed="false">
      <c r="A339" s="128" t="s">
        <v>120</v>
      </c>
      <c r="B339" s="129" t="s">
        <v>27</v>
      </c>
      <c r="C339" s="129"/>
      <c r="D339" s="130" t="n">
        <f aca="false">C336*C338/12/100</f>
        <v>2190.97191324583</v>
      </c>
      <c r="E339" s="130" t="n">
        <f aca="false">D339</f>
        <v>2190.97191324583</v>
      </c>
      <c r="F339" s="126"/>
      <c r="I339" s="127"/>
      <c r="J339" s="127"/>
    </row>
    <row r="340" customFormat="false" ht="11.25" hidden="true" customHeight="true" outlineLevel="0" collapsed="false">
      <c r="A340" s="74" t="s">
        <v>121</v>
      </c>
      <c r="B340" s="75" t="s">
        <v>65</v>
      </c>
      <c r="C340" s="75" t="n">
        <f aca="false">C323</f>
        <v>1</v>
      </c>
      <c r="D340" s="77" t="n">
        <f aca="false">D323</f>
        <v>10000</v>
      </c>
      <c r="E340" s="77" t="n">
        <f aca="false">C340*D340</f>
        <v>10000</v>
      </c>
      <c r="F340" s="126"/>
      <c r="I340" s="127"/>
      <c r="J340" s="127"/>
    </row>
    <row r="341" customFormat="false" ht="11.25" hidden="true" customHeight="true" outlineLevel="0" collapsed="false">
      <c r="A341" s="78" t="s">
        <v>117</v>
      </c>
      <c r="B341" s="79" t="s">
        <v>5</v>
      </c>
      <c r="C341" s="79" t="n">
        <f aca="false">C336</f>
        <v>14.5</v>
      </c>
      <c r="D341" s="81"/>
      <c r="E341" s="81"/>
      <c r="F341" s="126"/>
      <c r="I341" s="127"/>
      <c r="J341" s="127"/>
    </row>
    <row r="342" customFormat="false" ht="11.25" hidden="true" customHeight="true" outlineLevel="0" collapsed="false">
      <c r="A342" s="78" t="s">
        <v>122</v>
      </c>
      <c r="B342" s="79" t="s">
        <v>27</v>
      </c>
      <c r="C342" s="139" t="n">
        <f aca="false">IFERROR(IF(C325&lt;=C324,E323-(C326/(100*C324)*C325)*E323,E323-E326),0)</f>
        <v>10000</v>
      </c>
      <c r="D342" s="81"/>
      <c r="E342" s="81"/>
      <c r="F342" s="126"/>
      <c r="I342" s="127"/>
      <c r="J342" s="127"/>
    </row>
    <row r="343" customFormat="false" ht="11.25" hidden="true" customHeight="true" outlineLevel="0" collapsed="false">
      <c r="A343" s="78" t="s">
        <v>123</v>
      </c>
      <c r="B343" s="79" t="s">
        <v>27</v>
      </c>
      <c r="C343" s="81" t="n">
        <f aca="false">IFERROR(IF(C325&gt;=C324,C342,((((C342)-(E323-E326))*(((C324-C325)+1)/(2*(C324-C325))))+(E323-E326))),0)</f>
        <v>7066.9</v>
      </c>
      <c r="D343" s="81"/>
      <c r="E343" s="81"/>
      <c r="F343" s="126"/>
      <c r="I343" s="127"/>
      <c r="J343" s="127"/>
    </row>
    <row r="344" customFormat="false" ht="11.25" hidden="true" customHeight="true" outlineLevel="0" collapsed="false">
      <c r="A344" s="95" t="s">
        <v>124</v>
      </c>
      <c r="B344" s="133" t="s">
        <v>27</v>
      </c>
      <c r="C344" s="133"/>
      <c r="D344" s="96" t="n">
        <f aca="false">C341*C343/12/100</f>
        <v>85.3917083333333</v>
      </c>
      <c r="E344" s="96" t="n">
        <f aca="false">D344</f>
        <v>85.3917083333333</v>
      </c>
      <c r="F344" s="126"/>
      <c r="I344" s="127"/>
      <c r="J344" s="127"/>
    </row>
    <row r="345" customFormat="false" ht="11.25" hidden="true" customHeight="true" outlineLevel="0" collapsed="false">
      <c r="A345" s="128" t="s">
        <v>170</v>
      </c>
      <c r="B345" s="129" t="s">
        <v>22</v>
      </c>
      <c r="C345" s="129" t="n">
        <v>1</v>
      </c>
      <c r="D345" s="130"/>
      <c r="E345" s="130" t="n">
        <f aca="false">0.1*(E344+E339)</f>
        <v>227.636362157917</v>
      </c>
      <c r="F345" s="126"/>
      <c r="I345" s="127"/>
      <c r="J345" s="127"/>
    </row>
    <row r="346" customFormat="false" ht="11.25" hidden="true" customHeight="true" outlineLevel="0" collapsed="false">
      <c r="A346" s="82" t="s">
        <v>113</v>
      </c>
      <c r="B346" s="83"/>
      <c r="C346" s="83"/>
      <c r="D346" s="84"/>
      <c r="E346" s="85" t="n">
        <f aca="false">E339+E344+E345</f>
        <v>2503.99998373708</v>
      </c>
      <c r="F346" s="126"/>
      <c r="I346" s="127"/>
      <c r="J346" s="127"/>
    </row>
    <row r="347" customFormat="false" ht="11.25" hidden="true" customHeight="true" outlineLevel="0" collapsed="false">
      <c r="A347" s="95" t="s">
        <v>114</v>
      </c>
      <c r="B347" s="133" t="s">
        <v>65</v>
      </c>
      <c r="C347" s="79" t="n">
        <f aca="false">C330</f>
        <v>0</v>
      </c>
      <c r="D347" s="96" t="n">
        <f aca="false">E346</f>
        <v>2503.99998373708</v>
      </c>
      <c r="E347" s="85" t="n">
        <f aca="false">C347*D347</f>
        <v>0</v>
      </c>
      <c r="F347" s="126"/>
      <c r="I347" s="127"/>
      <c r="J347" s="127"/>
    </row>
    <row r="348" customFormat="false" ht="11.25" hidden="true" customHeight="true" outlineLevel="0" collapsed="false">
      <c r="C348" s="140"/>
      <c r="D348" s="88" t="s">
        <v>34</v>
      </c>
      <c r="E348" s="89" t="n">
        <f aca="false">E331</f>
        <v>1</v>
      </c>
      <c r="F348" s="122" t="n">
        <f aca="false">E347*E348</f>
        <v>0</v>
      </c>
      <c r="I348" s="127"/>
      <c r="J348" s="127"/>
    </row>
    <row r="349" customFormat="false" ht="11.25" hidden="true" customHeight="true" outlineLevel="0" collapsed="false">
      <c r="I349" s="127"/>
      <c r="J349" s="127"/>
    </row>
    <row r="350" customFormat="false" ht="11.25" hidden="true" customHeight="true" outlineLevel="0" collapsed="false">
      <c r="A350" s="69" t="s">
        <v>173</v>
      </c>
      <c r="I350" s="127"/>
      <c r="J350" s="127"/>
    </row>
    <row r="351" customFormat="false" ht="11.25" hidden="true" customHeight="true" outlineLevel="0" collapsed="false">
      <c r="A351" s="70" t="s">
        <v>16</v>
      </c>
      <c r="B351" s="71" t="s">
        <v>17</v>
      </c>
      <c r="C351" s="71" t="s">
        <v>9</v>
      </c>
      <c r="D351" s="72" t="s">
        <v>18</v>
      </c>
      <c r="E351" s="72" t="s">
        <v>19</v>
      </c>
      <c r="F351" s="73" t="s">
        <v>20</v>
      </c>
      <c r="I351" s="127"/>
      <c r="J351" s="127"/>
    </row>
    <row r="352" customFormat="false" ht="11.25" hidden="true" customHeight="true" outlineLevel="0" collapsed="false">
      <c r="A352" s="74" t="s">
        <v>126</v>
      </c>
      <c r="B352" s="75" t="s">
        <v>65</v>
      </c>
      <c r="C352" s="77" t="n">
        <f aca="false">C330</f>
        <v>0</v>
      </c>
      <c r="D352" s="77" t="n">
        <f aca="false">0.03*E318</f>
        <v>7697.37</v>
      </c>
      <c r="E352" s="77" t="n">
        <f aca="false">C352*D352</f>
        <v>0</v>
      </c>
      <c r="I352" s="127"/>
      <c r="J352" s="127"/>
    </row>
    <row r="353" customFormat="false" ht="11.25" hidden="true" customHeight="true" outlineLevel="0" collapsed="false">
      <c r="A353" s="78" t="s">
        <v>127</v>
      </c>
      <c r="B353" s="79" t="s">
        <v>65</v>
      </c>
      <c r="C353" s="77" t="n">
        <v>0</v>
      </c>
      <c r="D353" s="106" t="n">
        <f aca="false">'VALORES BASE'!B39</f>
        <v>109.27</v>
      </c>
      <c r="E353" s="81" t="n">
        <f aca="false">C353*D353</f>
        <v>0</v>
      </c>
      <c r="I353" s="127"/>
      <c r="J353" s="127"/>
    </row>
    <row r="354" customFormat="false" ht="11.25" hidden="true" customHeight="true" outlineLevel="0" collapsed="false">
      <c r="A354" s="78" t="s">
        <v>128</v>
      </c>
      <c r="B354" s="79" t="s">
        <v>65</v>
      </c>
      <c r="C354" s="77" t="n">
        <f aca="false">C330</f>
        <v>0</v>
      </c>
      <c r="D354" s="106" t="n">
        <f aca="false">'VALORES BASE'!B41</f>
        <v>3500</v>
      </c>
      <c r="E354" s="81" t="n">
        <f aca="false">C354*D354</f>
        <v>0</v>
      </c>
      <c r="F354" s="84"/>
      <c r="I354" s="127"/>
      <c r="J354" s="127"/>
    </row>
    <row r="355" customFormat="false" ht="11.25" hidden="true" customHeight="true" outlineLevel="0" collapsed="false">
      <c r="A355" s="95" t="s">
        <v>129</v>
      </c>
      <c r="B355" s="133" t="s">
        <v>22</v>
      </c>
      <c r="C355" s="133" t="n">
        <v>12</v>
      </c>
      <c r="D355" s="96" t="n">
        <f aca="false">SUM(E352:E354)</f>
        <v>0</v>
      </c>
      <c r="E355" s="96" t="n">
        <f aca="false">D355/C355</f>
        <v>0</v>
      </c>
      <c r="I355" s="127"/>
      <c r="J355" s="127"/>
    </row>
    <row r="356" customFormat="false" ht="11.25" hidden="true" customHeight="true" outlineLevel="0" collapsed="false">
      <c r="D356" s="88" t="s">
        <v>34</v>
      </c>
      <c r="E356" s="89" t="n">
        <f aca="false">E348</f>
        <v>1</v>
      </c>
      <c r="F356" s="90" t="n">
        <f aca="false">E355*E356</f>
        <v>0</v>
      </c>
      <c r="I356" s="127"/>
      <c r="J356" s="127"/>
    </row>
    <row r="357" customFormat="false" ht="11.25" hidden="true" customHeight="true" outlineLevel="0" collapsed="false">
      <c r="I357" s="127"/>
      <c r="J357" s="127"/>
    </row>
    <row r="358" customFormat="false" ht="11.25" hidden="true" customHeight="true" outlineLevel="0" collapsed="false">
      <c r="A358" s="69" t="s">
        <v>174</v>
      </c>
      <c r="B358" s="141"/>
      <c r="I358" s="127"/>
      <c r="J358" s="127"/>
    </row>
    <row r="359" customFormat="false" ht="11.25" hidden="true" customHeight="true" outlineLevel="0" collapsed="false">
      <c r="B359" s="141"/>
      <c r="I359" s="127"/>
      <c r="J359" s="127"/>
    </row>
    <row r="360" customFormat="false" ht="11.25" hidden="true" customHeight="true" outlineLevel="0" collapsed="false">
      <c r="A360" s="95" t="s">
        <v>131</v>
      </c>
      <c r="B360" s="142" t="n">
        <v>0</v>
      </c>
      <c r="C360" s="1" t="s">
        <v>241</v>
      </c>
      <c r="I360" s="127"/>
      <c r="J360" s="127"/>
    </row>
    <row r="361" customFormat="false" ht="11.25" hidden="true" customHeight="true" outlineLevel="0" collapsed="false">
      <c r="B361" s="141"/>
      <c r="I361" s="127"/>
      <c r="J361" s="127"/>
    </row>
    <row r="362" customFormat="false" ht="11.25" hidden="true" customHeight="true" outlineLevel="0" collapsed="false">
      <c r="A362" s="70" t="s">
        <v>16</v>
      </c>
      <c r="B362" s="71" t="s">
        <v>17</v>
      </c>
      <c r="C362" s="71" t="s">
        <v>132</v>
      </c>
      <c r="D362" s="72" t="s">
        <v>18</v>
      </c>
      <c r="E362" s="72" t="s">
        <v>19</v>
      </c>
      <c r="F362" s="73" t="s">
        <v>20</v>
      </c>
      <c r="I362" s="127"/>
      <c r="J362" s="127"/>
    </row>
    <row r="363" customFormat="false" ht="11.25" hidden="true" customHeight="true" outlineLevel="0" collapsed="false">
      <c r="A363" s="74" t="s">
        <v>133</v>
      </c>
      <c r="B363" s="75" t="s">
        <v>134</v>
      </c>
      <c r="C363" s="143" t="n">
        <v>8</v>
      </c>
      <c r="D363" s="144" t="n">
        <f aca="false">'VALORES BASE'!B38</f>
        <v>7.03</v>
      </c>
      <c r="E363" s="77"/>
      <c r="I363" s="127"/>
      <c r="J363" s="127"/>
    </row>
    <row r="364" customFormat="false" ht="11.25" hidden="true" customHeight="true" outlineLevel="0" collapsed="false">
      <c r="A364" s="78" t="s">
        <v>135</v>
      </c>
      <c r="B364" s="79" t="s">
        <v>136</v>
      </c>
      <c r="C364" s="101" t="n">
        <f aca="false">B360</f>
        <v>0</v>
      </c>
      <c r="D364" s="145" t="n">
        <f aca="false">IFERROR(+D363/C363,"-")</f>
        <v>0.87875</v>
      </c>
      <c r="E364" s="81" t="n">
        <f aca="false">IFERROR(C364*D364,"-")</f>
        <v>0</v>
      </c>
      <c r="I364" s="127"/>
      <c r="J364" s="127"/>
    </row>
    <row r="365" customFormat="false" ht="11.25" hidden="true" customHeight="true" outlineLevel="0" collapsed="false">
      <c r="A365" s="78" t="s">
        <v>137</v>
      </c>
      <c r="B365" s="79" t="s">
        <v>138</v>
      </c>
      <c r="C365" s="146" t="n">
        <v>3</v>
      </c>
      <c r="D365" s="106" t="n">
        <f aca="false">'VALORES BASE'!B42</f>
        <v>36.3</v>
      </c>
      <c r="E365" s="81"/>
      <c r="I365" s="127"/>
      <c r="J365" s="127"/>
    </row>
    <row r="366" customFormat="false" ht="11.25" hidden="true" customHeight="true" outlineLevel="0" collapsed="false">
      <c r="A366" s="78" t="s">
        <v>139</v>
      </c>
      <c r="B366" s="79" t="s">
        <v>136</v>
      </c>
      <c r="C366" s="101" t="n">
        <f aca="false">C364</f>
        <v>0</v>
      </c>
      <c r="D366" s="147" t="n">
        <f aca="false">+C365*D365/1000</f>
        <v>0.1089</v>
      </c>
      <c r="E366" s="81" t="n">
        <f aca="false">C366*D366</f>
        <v>0</v>
      </c>
      <c r="I366" s="127"/>
      <c r="J366" s="127"/>
    </row>
    <row r="367" customFormat="false" ht="11.25" hidden="true" customHeight="true" outlineLevel="0" collapsed="false">
      <c r="A367" s="78" t="s">
        <v>140</v>
      </c>
      <c r="B367" s="79" t="s">
        <v>138</v>
      </c>
      <c r="C367" s="146" t="n">
        <v>0.66</v>
      </c>
      <c r="D367" s="106" t="n">
        <f aca="false">'VALORES BASE'!B43</f>
        <v>54.12</v>
      </c>
      <c r="E367" s="81"/>
      <c r="I367" s="127"/>
      <c r="J367" s="127"/>
    </row>
    <row r="368" customFormat="false" ht="11.25" hidden="true" customHeight="true" outlineLevel="0" collapsed="false">
      <c r="A368" s="78" t="s">
        <v>141</v>
      </c>
      <c r="B368" s="79" t="s">
        <v>136</v>
      </c>
      <c r="C368" s="101" t="n">
        <f aca="false">C364</f>
        <v>0</v>
      </c>
      <c r="D368" s="147" t="n">
        <f aca="false">+C367*D367/1000</f>
        <v>0.0357192</v>
      </c>
      <c r="E368" s="81" t="n">
        <f aca="false">C368*D368</f>
        <v>0</v>
      </c>
      <c r="I368" s="127"/>
      <c r="J368" s="127"/>
    </row>
    <row r="369" customFormat="false" ht="11.25" hidden="true" customHeight="true" outlineLevel="0" collapsed="false">
      <c r="A369" s="78" t="s">
        <v>142</v>
      </c>
      <c r="B369" s="79" t="s">
        <v>138</v>
      </c>
      <c r="C369" s="146" t="n">
        <v>3.48</v>
      </c>
      <c r="D369" s="106" t="n">
        <f aca="false">'VALORES BASE'!B44</f>
        <v>47.4</v>
      </c>
      <c r="E369" s="81"/>
      <c r="I369" s="127"/>
      <c r="J369" s="127"/>
    </row>
    <row r="370" customFormat="false" ht="11.25" hidden="true" customHeight="true" outlineLevel="0" collapsed="false">
      <c r="A370" s="78" t="s">
        <v>143</v>
      </c>
      <c r="B370" s="79" t="s">
        <v>136</v>
      </c>
      <c r="C370" s="101" t="n">
        <f aca="false">C364</f>
        <v>0</v>
      </c>
      <c r="D370" s="147" t="n">
        <f aca="false">+C369*D369/1000</f>
        <v>0.164952</v>
      </c>
      <c r="E370" s="81" t="n">
        <f aca="false">C370*D370</f>
        <v>0</v>
      </c>
      <c r="I370" s="127"/>
      <c r="J370" s="127"/>
    </row>
    <row r="371" customFormat="false" ht="11.25" hidden="true" customHeight="true" outlineLevel="0" collapsed="false">
      <c r="A371" s="78" t="s">
        <v>144</v>
      </c>
      <c r="B371" s="79" t="s">
        <v>145</v>
      </c>
      <c r="C371" s="146" t="n">
        <v>2</v>
      </c>
      <c r="D371" s="106" t="n">
        <f aca="false">'VALORES BASE'!B45</f>
        <v>36</v>
      </c>
      <c r="E371" s="81"/>
      <c r="I371" s="127"/>
      <c r="J371" s="127"/>
    </row>
    <row r="372" customFormat="false" ht="11.25" hidden="true" customHeight="true" outlineLevel="0" collapsed="false">
      <c r="A372" s="78" t="s">
        <v>146</v>
      </c>
      <c r="B372" s="79" t="s">
        <v>136</v>
      </c>
      <c r="C372" s="101" t="n">
        <f aca="false">C364</f>
        <v>0</v>
      </c>
      <c r="D372" s="147" t="n">
        <f aca="false">+C371*D371/1000</f>
        <v>0.072</v>
      </c>
      <c r="E372" s="81" t="n">
        <f aca="false">C372*D372</f>
        <v>0</v>
      </c>
      <c r="I372" s="127"/>
      <c r="J372" s="127"/>
    </row>
    <row r="373" customFormat="false" ht="11.25" hidden="true" customHeight="true" outlineLevel="0" collapsed="false">
      <c r="A373" s="78" t="s">
        <v>147</v>
      </c>
      <c r="B373" s="79" t="s">
        <v>148</v>
      </c>
      <c r="C373" s="101" t="n">
        <f aca="false">(B360/C363)*(5/100)</f>
        <v>0</v>
      </c>
      <c r="D373" s="158" t="n">
        <f aca="false">'VALORES BASE'!B31</f>
        <v>8</v>
      </c>
      <c r="E373" s="81" t="n">
        <f aca="false">C373*D373</f>
        <v>0</v>
      </c>
      <c r="I373" s="127"/>
      <c r="J373" s="127"/>
    </row>
    <row r="374" customFormat="false" ht="11.25" hidden="true" customHeight="true" outlineLevel="0" collapsed="false">
      <c r="A374" s="95" t="s">
        <v>149</v>
      </c>
      <c r="B374" s="133" t="s">
        <v>150</v>
      </c>
      <c r="C374" s="149"/>
      <c r="D374" s="150" t="n">
        <f aca="false">IFERROR(D364+D366+D368+D370+D372,0)</f>
        <v>1.2603212</v>
      </c>
      <c r="E374" s="81"/>
      <c r="I374" s="127"/>
      <c r="J374" s="127"/>
    </row>
    <row r="375" customFormat="false" ht="11.25" hidden="true" customHeight="true" outlineLevel="0" collapsed="false">
      <c r="F375" s="122" t="n">
        <f aca="false">SUM(E363:E373)</f>
        <v>0</v>
      </c>
      <c r="I375" s="127"/>
      <c r="J375" s="127"/>
    </row>
    <row r="376" customFormat="false" ht="11.25" hidden="true" customHeight="true" outlineLevel="0" collapsed="false">
      <c r="I376" s="127"/>
      <c r="J376" s="127"/>
    </row>
    <row r="377" customFormat="false" ht="11.25" hidden="true" customHeight="true" outlineLevel="0" collapsed="false">
      <c r="A377" s="69" t="s">
        <v>177</v>
      </c>
      <c r="I377" s="127"/>
      <c r="J377" s="127"/>
    </row>
    <row r="378" customFormat="false" ht="11.25" hidden="true" customHeight="true" outlineLevel="0" collapsed="false">
      <c r="A378" s="70" t="s">
        <v>16</v>
      </c>
      <c r="B378" s="71" t="s">
        <v>17</v>
      </c>
      <c r="C378" s="71" t="s">
        <v>9</v>
      </c>
      <c r="D378" s="72" t="s">
        <v>18</v>
      </c>
      <c r="E378" s="72" t="s">
        <v>19</v>
      </c>
      <c r="F378" s="73" t="s">
        <v>20</v>
      </c>
      <c r="I378" s="127"/>
      <c r="J378" s="127"/>
    </row>
    <row r="379" customFormat="false" ht="11.25" hidden="true" customHeight="true" outlineLevel="0" collapsed="false">
      <c r="A379" s="74" t="s">
        <v>152</v>
      </c>
      <c r="B379" s="75" t="s">
        <v>150</v>
      </c>
      <c r="C379" s="101" t="n">
        <f aca="false">C364</f>
        <v>0</v>
      </c>
      <c r="D379" s="76" t="n">
        <f aca="false">'VALORES BASE'!B46</f>
        <v>1.32</v>
      </c>
      <c r="E379" s="77" t="n">
        <f aca="false">C379*D379</f>
        <v>0</v>
      </c>
      <c r="I379" s="127"/>
      <c r="J379" s="127"/>
    </row>
    <row r="380" customFormat="false" ht="11.25" hidden="true" customHeight="true" outlineLevel="0" collapsed="false">
      <c r="F380" s="122" t="n">
        <f aca="false">E379</f>
        <v>0</v>
      </c>
      <c r="I380" s="127"/>
      <c r="J380" s="127"/>
    </row>
    <row r="381" customFormat="false" ht="11.25" hidden="true" customHeight="true" outlineLevel="0" collapsed="false">
      <c r="I381" s="127"/>
      <c r="J381" s="127"/>
    </row>
    <row r="382" customFormat="false" ht="11.25" hidden="true" customHeight="true" outlineLevel="0" collapsed="false">
      <c r="A382" s="69" t="s">
        <v>179</v>
      </c>
      <c r="I382" s="127"/>
      <c r="J382" s="127"/>
    </row>
    <row r="383" customFormat="false" ht="11.25" hidden="true" customHeight="true" outlineLevel="0" collapsed="false">
      <c r="A383" s="70" t="s">
        <v>16</v>
      </c>
      <c r="B383" s="71" t="s">
        <v>17</v>
      </c>
      <c r="C383" s="71" t="s">
        <v>9</v>
      </c>
      <c r="D383" s="72" t="s">
        <v>18</v>
      </c>
      <c r="E383" s="72" t="s">
        <v>19</v>
      </c>
      <c r="F383" s="73" t="s">
        <v>20</v>
      </c>
      <c r="I383" s="127"/>
      <c r="J383" s="127"/>
    </row>
    <row r="384" customFormat="false" ht="11.25" hidden="true" customHeight="true" outlineLevel="0" collapsed="false">
      <c r="A384" s="74" t="s">
        <v>193</v>
      </c>
      <c r="B384" s="75" t="s">
        <v>65</v>
      </c>
      <c r="C384" s="151" t="n">
        <v>4</v>
      </c>
      <c r="D384" s="76" t="n">
        <f aca="false">'VALORES BASE'!B57</f>
        <v>650</v>
      </c>
      <c r="E384" s="77" t="n">
        <f aca="false">C384*D384</f>
        <v>2600</v>
      </c>
      <c r="I384" s="127"/>
      <c r="J384" s="127"/>
    </row>
    <row r="385" customFormat="false" ht="11.25" hidden="true" customHeight="true" outlineLevel="0" collapsed="false">
      <c r="A385" s="74" t="s">
        <v>155</v>
      </c>
      <c r="B385" s="75" t="s">
        <v>65</v>
      </c>
      <c r="C385" s="151" t="n">
        <v>3</v>
      </c>
      <c r="D385" s="77"/>
      <c r="E385" s="77"/>
      <c r="I385" s="127"/>
      <c r="J385" s="127"/>
    </row>
    <row r="386" customFormat="false" ht="11.25" hidden="true" customHeight="true" outlineLevel="0" collapsed="false">
      <c r="A386" s="74" t="s">
        <v>156</v>
      </c>
      <c r="B386" s="75" t="s">
        <v>65</v>
      </c>
      <c r="C386" s="77" t="n">
        <f aca="false">C384*C385</f>
        <v>12</v>
      </c>
      <c r="D386" s="76" t="n">
        <f aca="false">0.35*D384</f>
        <v>227.5</v>
      </c>
      <c r="E386" s="77" t="n">
        <f aca="false">C386*D386</f>
        <v>2730</v>
      </c>
      <c r="I386" s="127"/>
      <c r="J386" s="127"/>
    </row>
    <row r="387" customFormat="false" ht="11.25" hidden="true" customHeight="true" outlineLevel="0" collapsed="false">
      <c r="A387" s="152" t="s">
        <v>181</v>
      </c>
      <c r="B387" s="79" t="s">
        <v>158</v>
      </c>
      <c r="C387" s="153" t="n">
        <v>80000</v>
      </c>
      <c r="D387" s="81" t="n">
        <f aca="false">E384+E386</f>
        <v>5330</v>
      </c>
      <c r="E387" s="81" t="n">
        <f aca="false">IFERROR(D387/C387,"-")</f>
        <v>0.066625</v>
      </c>
      <c r="I387" s="127"/>
      <c r="J387" s="127"/>
    </row>
    <row r="388" customFormat="false" ht="11.25" hidden="true" customHeight="true" outlineLevel="0" collapsed="false">
      <c r="A388" s="78" t="s">
        <v>159</v>
      </c>
      <c r="B388" s="79" t="s">
        <v>136</v>
      </c>
      <c r="C388" s="101" t="n">
        <f aca="false">B360</f>
        <v>0</v>
      </c>
      <c r="D388" s="81" t="n">
        <f aca="false">E387</f>
        <v>0.066625</v>
      </c>
      <c r="E388" s="81" t="n">
        <f aca="false">IFERROR(C388*D388,0)</f>
        <v>0</v>
      </c>
      <c r="I388" s="127"/>
      <c r="J388" s="127"/>
    </row>
    <row r="389" customFormat="false" ht="11.25" hidden="true" customHeight="true" outlineLevel="0" collapsed="false">
      <c r="F389" s="122" t="n">
        <f aca="false">E388</f>
        <v>0</v>
      </c>
      <c r="I389" s="127"/>
      <c r="J389" s="127"/>
    </row>
    <row r="390" customFormat="false" ht="12.8" hidden="true" customHeight="false" outlineLevel="0" collapsed="false">
      <c r="G390" s="1"/>
    </row>
    <row r="391" customFormat="false" ht="12.8" hidden="false" customHeight="false" outlineLevel="0" collapsed="false">
      <c r="G391" s="1"/>
    </row>
    <row r="392" customFormat="false" ht="12.8" hidden="false" customHeight="false" outlineLevel="0" collapsed="false">
      <c r="G392" s="1"/>
    </row>
    <row r="393" customFormat="false" ht="12.8" hidden="false" customHeight="true" outlineLevel="0" collapsed="false">
      <c r="A393" s="108" t="s">
        <v>194</v>
      </c>
      <c r="B393" s="109"/>
      <c r="C393" s="109"/>
      <c r="D393" s="38"/>
      <c r="E393" s="110"/>
      <c r="F393" s="122" t="n">
        <f aca="false">+SUM(F223:F389)</f>
        <v>64229.0214636732</v>
      </c>
      <c r="G393" s="1"/>
    </row>
    <row r="394" customFormat="false" ht="12.8" hidden="false" customHeight="false" outlineLevel="0" collapsed="false">
      <c r="G394" s="1"/>
    </row>
    <row r="395" customFormat="false" ht="12.8" hidden="false" customHeight="false" outlineLevel="0" collapsed="false">
      <c r="A395" s="65" t="s">
        <v>195</v>
      </c>
      <c r="B395" s="65"/>
      <c r="C395" s="65"/>
      <c r="D395" s="25"/>
      <c r="E395" s="25"/>
      <c r="F395" s="84"/>
      <c r="G395" s="1"/>
    </row>
    <row r="396" customFormat="false" ht="12.8" hidden="false" customHeight="false" outlineLevel="0" collapsed="false">
      <c r="G396" s="1"/>
    </row>
    <row r="397" customFormat="false" ht="12.8" hidden="false" customHeight="false" outlineLevel="0" collapsed="false">
      <c r="A397" s="70" t="s">
        <v>16</v>
      </c>
      <c r="B397" s="71" t="s">
        <v>17</v>
      </c>
      <c r="C397" s="71" t="s">
        <v>9</v>
      </c>
      <c r="D397" s="72" t="s">
        <v>18</v>
      </c>
      <c r="E397" s="72" t="s">
        <v>19</v>
      </c>
      <c r="F397" s="73" t="s">
        <v>20</v>
      </c>
      <c r="G397" s="1"/>
    </row>
    <row r="398" customFormat="false" ht="12.8" hidden="false" customHeight="false" outlineLevel="0" collapsed="false">
      <c r="A398" s="78" t="s">
        <v>196</v>
      </c>
      <c r="B398" s="79" t="s">
        <v>65</v>
      </c>
      <c r="C398" s="112" t="n">
        <v>0.5</v>
      </c>
      <c r="D398" s="76" t="n">
        <f aca="false">'VALORES BASE'!B23</f>
        <v>41.22</v>
      </c>
      <c r="E398" s="81" t="n">
        <f aca="false">C398*D398</f>
        <v>20.61</v>
      </c>
      <c r="F398" s="126" t="s">
        <v>242</v>
      </c>
      <c r="G398" s="1"/>
    </row>
    <row r="399" customFormat="false" ht="12.8" hidden="false" customHeight="false" outlineLevel="0" collapsed="false">
      <c r="A399" s="78" t="s">
        <v>197</v>
      </c>
      <c r="B399" s="79" t="s">
        <v>65</v>
      </c>
      <c r="C399" s="112" t="n">
        <v>0.5</v>
      </c>
      <c r="D399" s="76" t="n">
        <f aca="false">'VALORES BASE'!B24</f>
        <v>45.9</v>
      </c>
      <c r="E399" s="81" t="n">
        <f aca="false">C399*D399</f>
        <v>22.95</v>
      </c>
      <c r="F399" s="126" t="s">
        <v>242</v>
      </c>
      <c r="G399" s="1"/>
    </row>
    <row r="400" customFormat="false" ht="12.8" hidden="false" customHeight="false" outlineLevel="0" collapsed="false">
      <c r="A400" s="78" t="s">
        <v>198</v>
      </c>
      <c r="B400" s="79" t="s">
        <v>65</v>
      </c>
      <c r="C400" s="112" t="n">
        <f aca="false">1/2</f>
        <v>0.5</v>
      </c>
      <c r="D400" s="76" t="n">
        <f aca="false">'VALORES BASE'!B25</f>
        <v>51.29</v>
      </c>
      <c r="E400" s="81" t="n">
        <f aca="false">C400*D400</f>
        <v>25.645</v>
      </c>
      <c r="F400" s="126" t="s">
        <v>243</v>
      </c>
      <c r="G400" s="1"/>
    </row>
    <row r="401" customFormat="false" ht="12.8" hidden="false" customHeight="false" outlineLevel="0" collapsed="false">
      <c r="A401" s="78" t="s">
        <v>199</v>
      </c>
      <c r="B401" s="79" t="s">
        <v>200</v>
      </c>
      <c r="C401" s="112" t="n">
        <v>0.166666666666667</v>
      </c>
      <c r="D401" s="76" t="n">
        <f aca="false">'VALORES BASE'!B26</f>
        <v>20</v>
      </c>
      <c r="E401" s="81" t="n">
        <f aca="false">C401*D401</f>
        <v>3.33333333333334</v>
      </c>
      <c r="F401" s="126"/>
      <c r="G401" s="1"/>
    </row>
    <row r="402" customFormat="false" ht="12.8" hidden="false" customHeight="false" outlineLevel="0" collapsed="false">
      <c r="A402" s="78" t="s">
        <v>201</v>
      </c>
      <c r="B402" s="79" t="s">
        <v>200</v>
      </c>
      <c r="C402" s="112" t="n">
        <v>0.166666666666667</v>
      </c>
      <c r="D402" s="76" t="n">
        <f aca="false">'VALORES BASE'!B27</f>
        <v>260</v>
      </c>
      <c r="E402" s="81" t="n">
        <f aca="false">C402*D402</f>
        <v>43.3333333333334</v>
      </c>
      <c r="F402" s="126"/>
      <c r="G402" s="1"/>
    </row>
    <row r="403" customFormat="false" ht="13.8" hidden="false" customHeight="false" outlineLevel="0" collapsed="false">
      <c r="A403" s="160" t="s">
        <v>202</v>
      </c>
      <c r="B403" s="79" t="s">
        <v>203</v>
      </c>
      <c r="C403" s="153" t="n">
        <v>1</v>
      </c>
      <c r="D403" s="76" t="n">
        <v>1500</v>
      </c>
      <c r="E403" s="81" t="n">
        <f aca="false">(C403*D403)</f>
        <v>1500</v>
      </c>
      <c r="F403" s="126"/>
      <c r="G403" s="1"/>
    </row>
    <row r="404" customFormat="false" ht="12.8" hidden="false" customHeight="false" outlineLevel="0" collapsed="false">
      <c r="A404" s="65"/>
      <c r="B404" s="65"/>
      <c r="C404" s="65"/>
      <c r="D404" s="65"/>
      <c r="E404" s="25"/>
      <c r="F404" s="122" t="n">
        <f aca="false">SUM(E398:E403)</f>
        <v>1615.87166666667</v>
      </c>
      <c r="G404" s="1"/>
    </row>
    <row r="405" customFormat="false" ht="12.8" hidden="false" customHeight="false" outlineLevel="0" collapsed="false">
      <c r="G405" s="1"/>
    </row>
    <row r="406" customFormat="false" ht="12.8" hidden="false" customHeight="false" outlineLevel="0" collapsed="false">
      <c r="A406" s="108" t="s">
        <v>204</v>
      </c>
      <c r="B406" s="109"/>
      <c r="C406" s="109"/>
      <c r="D406" s="38"/>
      <c r="E406" s="110"/>
      <c r="F406" s="122" t="n">
        <f aca="false">+F404</f>
        <v>1615.87166666667</v>
      </c>
      <c r="G406" s="1"/>
    </row>
    <row r="407" customFormat="false" ht="12.8" hidden="false" customHeight="false" outlineLevel="0" collapsed="false">
      <c r="G407" s="1"/>
    </row>
    <row r="408" customFormat="false" ht="12.8" hidden="false" customHeight="false" outlineLevel="0" collapsed="false">
      <c r="A408" s="159" t="s">
        <v>205</v>
      </c>
      <c r="B408" s="65"/>
      <c r="C408" s="65"/>
      <c r="D408" s="25"/>
      <c r="E408" s="25"/>
      <c r="F408" s="84"/>
    </row>
    <row r="410" customFormat="false" ht="12.8" hidden="false" customHeight="true" outlineLevel="0" collapsed="false">
      <c r="A410" s="70" t="s">
        <v>16</v>
      </c>
      <c r="B410" s="71" t="s">
        <v>17</v>
      </c>
      <c r="C410" s="71" t="s">
        <v>9</v>
      </c>
      <c r="D410" s="72" t="s">
        <v>18</v>
      </c>
      <c r="E410" s="72" t="s">
        <v>19</v>
      </c>
      <c r="F410" s="73" t="s">
        <v>20</v>
      </c>
    </row>
    <row r="411" customFormat="false" ht="12.8" hidden="false" customHeight="false" outlineLevel="0" collapsed="false">
      <c r="A411" s="78" t="s">
        <v>206</v>
      </c>
      <c r="B411" s="161" t="s">
        <v>200</v>
      </c>
      <c r="C411" s="117" t="n">
        <f aca="false">C223</f>
        <v>1</v>
      </c>
      <c r="D411" s="106" t="n">
        <f aca="false">'VALORES BASE'!B52</f>
        <v>5000</v>
      </c>
      <c r="E411" s="81" t="n">
        <f aca="false">+D411*C411</f>
        <v>5000</v>
      </c>
      <c r="F411" s="126"/>
    </row>
    <row r="412" customFormat="false" ht="12.8" hidden="false" customHeight="false" outlineLevel="0" collapsed="false">
      <c r="A412" s="78" t="s">
        <v>207</v>
      </c>
      <c r="B412" s="161" t="s">
        <v>22</v>
      </c>
      <c r="C412" s="177" t="n">
        <v>60</v>
      </c>
      <c r="D412" s="162" t="n">
        <f aca="false">SUM(E411)</f>
        <v>5000</v>
      </c>
      <c r="E412" s="162" t="n">
        <f aca="false">+D412/C412</f>
        <v>83.3333333333333</v>
      </c>
      <c r="F412" s="126"/>
    </row>
    <row r="413" customFormat="false" ht="12.8" hidden="false" customHeight="false" outlineLevel="0" collapsed="false">
      <c r="A413" s="78" t="s">
        <v>208</v>
      </c>
      <c r="B413" s="79" t="s">
        <v>65</v>
      </c>
      <c r="C413" s="163" t="n">
        <f aca="false">SUM(E38)</f>
        <v>3</v>
      </c>
      <c r="D413" s="106" t="n">
        <f aca="false">'VALORES BASE'!B53</f>
        <v>150</v>
      </c>
      <c r="E413" s="81" t="n">
        <f aca="false">C413*D413</f>
        <v>450</v>
      </c>
      <c r="F413" s="126"/>
    </row>
    <row r="414" customFormat="false" ht="12.8" hidden="false" customHeight="false" outlineLevel="0" collapsed="false">
      <c r="A414" s="78" t="s">
        <v>209</v>
      </c>
      <c r="B414" s="161" t="s">
        <v>22</v>
      </c>
      <c r="C414" s="79" t="n">
        <v>1</v>
      </c>
      <c r="D414" s="162" t="n">
        <f aca="false">+E413</f>
        <v>450</v>
      </c>
      <c r="E414" s="162" t="n">
        <f aca="false">+D414/C414</f>
        <v>450</v>
      </c>
      <c r="F414" s="126"/>
    </row>
    <row r="415" customFormat="false" ht="12.8" hidden="false" customHeight="false" outlineLevel="0" collapsed="false">
      <c r="A415" s="164"/>
      <c r="B415" s="164"/>
      <c r="C415" s="164"/>
      <c r="D415" s="88" t="s">
        <v>34</v>
      </c>
      <c r="E415" s="89" t="n">
        <f aca="false">'FATOR FU_OFICIAL'!F23</f>
        <v>1</v>
      </c>
      <c r="F415" s="122" t="n">
        <f aca="false">(E412+E414)*E415</f>
        <v>533.333333333333</v>
      </c>
    </row>
    <row r="416" customFormat="false" ht="12.8" hidden="false" customHeight="false" outlineLevel="0" collapsed="false">
      <c r="G416" s="165"/>
      <c r="H416" s="166"/>
      <c r="I416" s="166"/>
      <c r="J416" s="166"/>
      <c r="K416" s="166"/>
      <c r="L416" s="166"/>
      <c r="M416" s="166"/>
      <c r="N416" s="166"/>
      <c r="O416" s="166"/>
      <c r="P416" s="166"/>
      <c r="Q416" s="166"/>
      <c r="R416" s="166"/>
      <c r="S416" s="166"/>
      <c r="T416" s="166"/>
      <c r="U416" s="166"/>
      <c r="V416" s="166"/>
      <c r="W416" s="166"/>
      <c r="X416" s="166"/>
      <c r="Y416" s="166"/>
      <c r="Z416" s="166"/>
      <c r="AA416" s="166"/>
      <c r="AB416" s="166"/>
      <c r="AC416" s="166"/>
      <c r="AD416" s="166"/>
      <c r="AE416" s="166"/>
      <c r="AF416" s="166"/>
      <c r="AG416" s="166"/>
      <c r="AH416" s="166"/>
      <c r="AI416" s="166"/>
      <c r="AJ416" s="166"/>
      <c r="AK416" s="166"/>
      <c r="AL416" s="166"/>
      <c r="AM416" s="166"/>
      <c r="AN416" s="166"/>
      <c r="AO416" s="166"/>
      <c r="AP416" s="166"/>
      <c r="AQ416" s="166"/>
      <c r="AR416" s="166"/>
      <c r="AS416" s="166"/>
      <c r="AT416" s="166"/>
      <c r="AU416" s="166"/>
      <c r="AV416" s="166"/>
      <c r="AW416" s="166"/>
      <c r="AX416" s="166"/>
      <c r="AY416" s="166"/>
      <c r="AZ416" s="166"/>
      <c r="BA416" s="166"/>
      <c r="BB416" s="166"/>
      <c r="BC416" s="166"/>
      <c r="BD416" s="166"/>
      <c r="BE416" s="166"/>
      <c r="BF416" s="166"/>
      <c r="BG416" s="166"/>
      <c r="BH416" s="166"/>
      <c r="BI416" s="166"/>
      <c r="BJ416" s="166"/>
      <c r="BK416" s="166"/>
      <c r="BL416" s="166"/>
      <c r="BM416" s="166"/>
      <c r="BN416" s="166"/>
      <c r="BO416" s="166"/>
      <c r="BP416" s="166"/>
      <c r="BQ416" s="166"/>
      <c r="BR416" s="166"/>
      <c r="BS416" s="166"/>
      <c r="BT416" s="166"/>
      <c r="BU416" s="166"/>
      <c r="BV416" s="166"/>
      <c r="BW416" s="166"/>
      <c r="BX416" s="166"/>
      <c r="BY416" s="166"/>
      <c r="BZ416" s="166"/>
      <c r="CA416" s="166"/>
      <c r="CB416" s="166"/>
      <c r="CC416" s="166"/>
      <c r="CD416" s="166"/>
      <c r="CE416" s="166"/>
      <c r="CF416" s="166"/>
      <c r="CG416" s="166"/>
      <c r="CH416" s="166"/>
      <c r="CI416" s="166"/>
      <c r="CJ416" s="166"/>
      <c r="CK416" s="166"/>
      <c r="CL416" s="166"/>
      <c r="CM416" s="166"/>
      <c r="CN416" s="166"/>
      <c r="CO416" s="166"/>
      <c r="CP416" s="166"/>
      <c r="CQ416" s="166"/>
      <c r="CR416" s="166"/>
      <c r="CS416" s="166"/>
      <c r="CT416" s="166"/>
      <c r="CU416" s="166"/>
      <c r="CV416" s="166"/>
      <c r="CW416" s="166"/>
      <c r="CX416" s="166"/>
      <c r="CY416" s="166"/>
      <c r="CZ416" s="166"/>
      <c r="DA416" s="166"/>
      <c r="DB416" s="166"/>
      <c r="DC416" s="166"/>
      <c r="DD416" s="166"/>
      <c r="DE416" s="166"/>
      <c r="DF416" s="166"/>
      <c r="DG416" s="166"/>
      <c r="DH416" s="166"/>
      <c r="DI416" s="166"/>
      <c r="DJ416" s="166"/>
      <c r="DK416" s="166"/>
      <c r="DL416" s="166"/>
      <c r="DM416" s="166"/>
      <c r="DN416" s="166"/>
      <c r="DO416" s="166"/>
      <c r="DP416" s="166"/>
      <c r="DQ416" s="166"/>
      <c r="DR416" s="166"/>
      <c r="DS416" s="166"/>
      <c r="DT416" s="166"/>
      <c r="DU416" s="166"/>
      <c r="DV416" s="166"/>
      <c r="DW416" s="166"/>
      <c r="DX416" s="166"/>
      <c r="DY416" s="166"/>
      <c r="DZ416" s="166"/>
      <c r="EA416" s="166"/>
      <c r="EB416" s="166"/>
      <c r="EC416" s="166"/>
      <c r="ED416" s="166"/>
      <c r="EE416" s="166"/>
      <c r="EF416" s="166"/>
      <c r="EG416" s="166"/>
      <c r="EH416" s="166"/>
      <c r="EI416" s="166"/>
      <c r="EJ416" s="166"/>
      <c r="EK416" s="166"/>
      <c r="EL416" s="166"/>
      <c r="EM416" s="166"/>
      <c r="EN416" s="166"/>
      <c r="EO416" s="166"/>
      <c r="EP416" s="166"/>
      <c r="EQ416" s="166"/>
      <c r="ER416" s="166"/>
      <c r="ES416" s="166"/>
      <c r="ET416" s="166"/>
      <c r="EU416" s="166"/>
      <c r="EV416" s="166"/>
      <c r="EW416" s="166"/>
      <c r="EX416" s="166"/>
      <c r="EY416" s="166"/>
      <c r="EZ416" s="166"/>
      <c r="FA416" s="166"/>
      <c r="FB416" s="166"/>
      <c r="FC416" s="166"/>
      <c r="FD416" s="166"/>
      <c r="FE416" s="166"/>
      <c r="FF416" s="166"/>
      <c r="FG416" s="166"/>
      <c r="FH416" s="166"/>
      <c r="FI416" s="166"/>
      <c r="FJ416" s="166"/>
      <c r="FK416" s="166"/>
      <c r="FL416" s="166"/>
      <c r="FM416" s="166"/>
      <c r="FN416" s="166"/>
      <c r="FO416" s="166"/>
      <c r="FP416" s="166"/>
      <c r="FQ416" s="166"/>
      <c r="FR416" s="166"/>
      <c r="FS416" s="166"/>
      <c r="FT416" s="166"/>
      <c r="FU416" s="166"/>
      <c r="FV416" s="166"/>
      <c r="FW416" s="166"/>
      <c r="FX416" s="166"/>
      <c r="FY416" s="166"/>
      <c r="FZ416" s="166"/>
      <c r="GA416" s="166"/>
      <c r="GB416" s="166"/>
      <c r="GC416" s="166"/>
      <c r="GD416" s="166"/>
      <c r="GE416" s="166"/>
      <c r="GF416" s="166"/>
      <c r="GG416" s="166"/>
      <c r="GH416" s="166"/>
      <c r="GI416" s="166"/>
      <c r="GJ416" s="166"/>
      <c r="GK416" s="166"/>
      <c r="GL416" s="166"/>
      <c r="GM416" s="166"/>
      <c r="GN416" s="166"/>
      <c r="GO416" s="166"/>
      <c r="GP416" s="166"/>
      <c r="GQ416" s="166"/>
      <c r="GR416" s="166"/>
      <c r="GS416" s="166"/>
      <c r="GT416" s="166"/>
      <c r="GU416" s="166"/>
      <c r="GV416" s="166"/>
      <c r="GW416" s="166"/>
      <c r="GX416" s="166"/>
      <c r="GY416" s="166"/>
      <c r="GZ416" s="166"/>
      <c r="HA416" s="166"/>
      <c r="HB416" s="166"/>
      <c r="HC416" s="166"/>
      <c r="HD416" s="166"/>
      <c r="HE416" s="166"/>
      <c r="HF416" s="166"/>
      <c r="HG416" s="166"/>
      <c r="HH416" s="166"/>
      <c r="HI416" s="166"/>
      <c r="HJ416" s="166"/>
      <c r="HK416" s="166"/>
      <c r="HL416" s="166"/>
      <c r="HM416" s="166"/>
      <c r="HN416" s="166"/>
      <c r="HO416" s="166"/>
      <c r="HP416" s="166"/>
      <c r="HQ416" s="166"/>
      <c r="HR416" s="166"/>
      <c r="HS416" s="166"/>
      <c r="HT416" s="166"/>
      <c r="HU416" s="166"/>
      <c r="HV416" s="166"/>
      <c r="HW416" s="166"/>
      <c r="HX416" s="166"/>
      <c r="HY416" s="166"/>
      <c r="HZ416" s="166"/>
      <c r="IA416" s="166"/>
      <c r="IB416" s="166"/>
      <c r="IC416" s="166"/>
      <c r="ID416" s="166"/>
      <c r="IE416" s="166"/>
      <c r="IF416" s="166"/>
      <c r="IG416" s="166"/>
      <c r="IH416" s="166"/>
      <c r="II416" s="166"/>
      <c r="IJ416" s="166"/>
      <c r="IK416" s="166"/>
      <c r="IL416" s="166"/>
      <c r="IM416" s="166"/>
      <c r="IN416" s="166"/>
      <c r="IO416" s="166"/>
      <c r="IP416" s="166"/>
      <c r="IQ416" s="166"/>
      <c r="IR416" s="166"/>
      <c r="IS416" s="166"/>
      <c r="IT416" s="166"/>
      <c r="IU416" s="166"/>
      <c r="IV416" s="166"/>
      <c r="IW416" s="166"/>
      <c r="IX416" s="166"/>
      <c r="IY416" s="166"/>
      <c r="IZ416" s="166"/>
      <c r="JA416" s="166"/>
      <c r="JB416" s="166"/>
      <c r="JC416" s="166"/>
      <c r="JD416" s="166"/>
      <c r="JE416" s="166"/>
      <c r="JF416" s="166"/>
      <c r="JG416" s="166"/>
      <c r="JH416" s="166"/>
      <c r="JI416" s="166"/>
      <c r="JJ416" s="166"/>
      <c r="JK416" s="166"/>
      <c r="JL416" s="166"/>
      <c r="JM416" s="166"/>
      <c r="JN416" s="166"/>
      <c r="JO416" s="166"/>
      <c r="JP416" s="166"/>
      <c r="JQ416" s="166"/>
      <c r="JR416" s="166"/>
      <c r="JS416" s="166"/>
      <c r="JT416" s="166"/>
      <c r="JU416" s="166"/>
      <c r="JV416" s="166"/>
      <c r="JW416" s="166"/>
      <c r="JX416" s="166"/>
      <c r="JY416" s="166"/>
      <c r="JZ416" s="166"/>
      <c r="KA416" s="166"/>
      <c r="KB416" s="166"/>
      <c r="KC416" s="166"/>
      <c r="KD416" s="166"/>
      <c r="KE416" s="166"/>
      <c r="KF416" s="166"/>
      <c r="KG416" s="166"/>
      <c r="KH416" s="166"/>
      <c r="KI416" s="166"/>
      <c r="KJ416" s="166"/>
      <c r="KK416" s="166"/>
      <c r="KL416" s="166"/>
      <c r="KM416" s="166"/>
      <c r="KN416" s="166"/>
      <c r="KO416" s="166"/>
      <c r="KP416" s="166"/>
      <c r="KQ416" s="166"/>
      <c r="KR416" s="166"/>
      <c r="KS416" s="166"/>
      <c r="KT416" s="166"/>
      <c r="KU416" s="166"/>
      <c r="KV416" s="166"/>
      <c r="KW416" s="166"/>
      <c r="KX416" s="166"/>
      <c r="KY416" s="166"/>
      <c r="KZ416" s="166"/>
      <c r="LA416" s="166"/>
      <c r="LB416" s="166"/>
      <c r="LC416" s="166"/>
      <c r="LD416" s="166"/>
      <c r="LE416" s="166"/>
      <c r="LF416" s="166"/>
      <c r="LG416" s="166"/>
      <c r="LH416" s="166"/>
      <c r="LI416" s="166"/>
      <c r="LJ416" s="166"/>
      <c r="LK416" s="166"/>
      <c r="LL416" s="166"/>
      <c r="LM416" s="166"/>
      <c r="LN416" s="166"/>
      <c r="LO416" s="166"/>
      <c r="LP416" s="166"/>
      <c r="LQ416" s="166"/>
      <c r="LR416" s="166"/>
      <c r="LS416" s="166"/>
      <c r="LT416" s="166"/>
      <c r="LU416" s="166"/>
      <c r="LV416" s="166"/>
      <c r="LW416" s="166"/>
      <c r="LX416" s="166"/>
      <c r="LY416" s="166"/>
      <c r="LZ416" s="166"/>
      <c r="MA416" s="166"/>
      <c r="MB416" s="166"/>
      <c r="MC416" s="166"/>
      <c r="MD416" s="166"/>
      <c r="ME416" s="166"/>
      <c r="MF416" s="166"/>
      <c r="MG416" s="166"/>
      <c r="MH416" s="166"/>
      <c r="MI416" s="166"/>
      <c r="MJ416" s="166"/>
      <c r="MK416" s="166"/>
      <c r="ML416" s="166"/>
      <c r="MM416" s="166"/>
      <c r="MN416" s="166"/>
      <c r="MO416" s="166"/>
      <c r="MP416" s="166"/>
      <c r="MQ416" s="166"/>
      <c r="MR416" s="166"/>
      <c r="MS416" s="166"/>
      <c r="MT416" s="166"/>
      <c r="MU416" s="166"/>
      <c r="MV416" s="166"/>
      <c r="MW416" s="166"/>
      <c r="MX416" s="166"/>
      <c r="MY416" s="166"/>
      <c r="MZ416" s="166"/>
      <c r="NA416" s="166"/>
      <c r="NB416" s="166"/>
      <c r="NC416" s="166"/>
      <c r="ND416" s="166"/>
      <c r="NE416" s="166"/>
      <c r="NF416" s="166"/>
      <c r="NG416" s="166"/>
      <c r="NH416" s="166"/>
      <c r="NI416" s="166"/>
      <c r="NJ416" s="166"/>
      <c r="NK416" s="166"/>
      <c r="NL416" s="166"/>
      <c r="NM416" s="166"/>
      <c r="NN416" s="166"/>
      <c r="NO416" s="166"/>
      <c r="NP416" s="166"/>
      <c r="NQ416" s="166"/>
      <c r="NR416" s="166"/>
      <c r="NS416" s="166"/>
      <c r="NT416" s="166"/>
      <c r="NU416" s="166"/>
      <c r="NV416" s="166"/>
      <c r="NW416" s="166"/>
      <c r="NX416" s="166"/>
      <c r="NY416" s="166"/>
      <c r="NZ416" s="166"/>
      <c r="OA416" s="166"/>
      <c r="OB416" s="166"/>
      <c r="OC416" s="166"/>
      <c r="OD416" s="166"/>
      <c r="OE416" s="166"/>
      <c r="OF416" s="166"/>
      <c r="OG416" s="166"/>
      <c r="OH416" s="166"/>
      <c r="OI416" s="166"/>
      <c r="OJ416" s="166"/>
      <c r="OK416" s="166"/>
      <c r="OL416" s="166"/>
      <c r="OM416" s="166"/>
      <c r="ON416" s="166"/>
      <c r="OO416" s="166"/>
      <c r="OP416" s="166"/>
      <c r="OQ416" s="166"/>
      <c r="OR416" s="166"/>
      <c r="OS416" s="166"/>
      <c r="OT416" s="166"/>
      <c r="OU416" s="166"/>
      <c r="OV416" s="166"/>
      <c r="OW416" s="166"/>
      <c r="OX416" s="166"/>
      <c r="OY416" s="166"/>
      <c r="OZ416" s="166"/>
      <c r="PA416" s="166"/>
      <c r="PB416" s="166"/>
      <c r="PC416" s="166"/>
      <c r="PD416" s="166"/>
      <c r="PE416" s="166"/>
      <c r="PF416" s="166"/>
      <c r="PG416" s="166"/>
      <c r="PH416" s="166"/>
      <c r="PI416" s="166"/>
      <c r="PJ416" s="166"/>
      <c r="PK416" s="166"/>
      <c r="PL416" s="166"/>
      <c r="PM416" s="166"/>
      <c r="PN416" s="166"/>
      <c r="PO416" s="166"/>
      <c r="PP416" s="166"/>
      <c r="PQ416" s="166"/>
      <c r="PR416" s="166"/>
      <c r="PS416" s="166"/>
      <c r="PT416" s="166"/>
      <c r="PU416" s="166"/>
      <c r="PV416" s="166"/>
      <c r="PW416" s="166"/>
      <c r="PX416" s="166"/>
      <c r="PY416" s="166"/>
      <c r="PZ416" s="166"/>
      <c r="QA416" s="166"/>
      <c r="QB416" s="166"/>
      <c r="QC416" s="166"/>
      <c r="QD416" s="166"/>
      <c r="QE416" s="166"/>
      <c r="QF416" s="166"/>
      <c r="QG416" s="166"/>
      <c r="QH416" s="166"/>
      <c r="QI416" s="166"/>
      <c r="QJ416" s="166"/>
      <c r="QK416" s="166"/>
      <c r="QL416" s="166"/>
      <c r="QM416" s="166"/>
      <c r="QN416" s="166"/>
      <c r="QO416" s="166"/>
      <c r="QP416" s="166"/>
      <c r="QQ416" s="166"/>
      <c r="QR416" s="166"/>
      <c r="QS416" s="166"/>
      <c r="QT416" s="166"/>
      <c r="QU416" s="166"/>
      <c r="QV416" s="166"/>
      <c r="QW416" s="166"/>
      <c r="QX416" s="166"/>
      <c r="QY416" s="166"/>
      <c r="QZ416" s="166"/>
      <c r="RA416" s="166"/>
      <c r="RB416" s="166"/>
      <c r="RC416" s="166"/>
      <c r="RD416" s="166"/>
      <c r="RE416" s="166"/>
      <c r="RF416" s="166"/>
      <c r="RG416" s="166"/>
      <c r="RH416" s="166"/>
      <c r="RI416" s="166"/>
      <c r="RJ416" s="166"/>
      <c r="RK416" s="166"/>
      <c r="RL416" s="166"/>
      <c r="RM416" s="166"/>
      <c r="RN416" s="166"/>
      <c r="RO416" s="166"/>
      <c r="RP416" s="166"/>
      <c r="RQ416" s="166"/>
      <c r="RR416" s="166"/>
      <c r="RS416" s="166"/>
      <c r="RT416" s="166"/>
      <c r="RU416" s="166"/>
      <c r="RV416" s="166"/>
      <c r="RW416" s="166"/>
      <c r="RX416" s="166"/>
      <c r="RY416" s="166"/>
      <c r="RZ416" s="166"/>
      <c r="SA416" s="166"/>
      <c r="SB416" s="166"/>
      <c r="SC416" s="166"/>
      <c r="SD416" s="166"/>
      <c r="SE416" s="166"/>
      <c r="SF416" s="166"/>
      <c r="SG416" s="166"/>
      <c r="SH416" s="166"/>
      <c r="SI416" s="166"/>
      <c r="SJ416" s="166"/>
      <c r="SK416" s="166"/>
      <c r="SL416" s="166"/>
      <c r="SM416" s="166"/>
      <c r="SN416" s="166"/>
      <c r="SO416" s="166"/>
      <c r="SP416" s="166"/>
      <c r="SQ416" s="166"/>
      <c r="SR416" s="166"/>
      <c r="SS416" s="166"/>
      <c r="ST416" s="166"/>
      <c r="SU416" s="166"/>
      <c r="SV416" s="166"/>
      <c r="SW416" s="166"/>
      <c r="SX416" s="166"/>
      <c r="SY416" s="166"/>
      <c r="SZ416" s="166"/>
      <c r="TA416" s="166"/>
      <c r="TB416" s="166"/>
      <c r="TC416" s="166"/>
      <c r="TD416" s="166"/>
      <c r="TE416" s="166"/>
      <c r="TF416" s="166"/>
      <c r="TG416" s="166"/>
      <c r="TH416" s="166"/>
      <c r="TI416" s="166"/>
      <c r="TJ416" s="166"/>
      <c r="TK416" s="166"/>
      <c r="TL416" s="166"/>
      <c r="TM416" s="166"/>
      <c r="TN416" s="166"/>
      <c r="TO416" s="166"/>
      <c r="TP416" s="166"/>
      <c r="TQ416" s="166"/>
      <c r="TR416" s="166"/>
      <c r="TS416" s="166"/>
      <c r="TT416" s="166"/>
      <c r="TU416" s="166"/>
      <c r="TV416" s="166"/>
      <c r="TW416" s="166"/>
      <c r="TX416" s="166"/>
      <c r="TY416" s="166"/>
      <c r="TZ416" s="166"/>
      <c r="UA416" s="166"/>
      <c r="UB416" s="166"/>
      <c r="UC416" s="166"/>
      <c r="UD416" s="166"/>
      <c r="UE416" s="166"/>
      <c r="UF416" s="166"/>
      <c r="UG416" s="166"/>
      <c r="UH416" s="166"/>
      <c r="UI416" s="166"/>
      <c r="UJ416" s="166"/>
      <c r="UK416" s="166"/>
      <c r="UL416" s="166"/>
      <c r="UM416" s="166"/>
      <c r="UN416" s="166"/>
      <c r="UO416" s="166"/>
      <c r="UP416" s="166"/>
      <c r="UQ416" s="166"/>
      <c r="UR416" s="166"/>
      <c r="US416" s="166"/>
      <c r="UT416" s="166"/>
      <c r="UU416" s="166"/>
      <c r="UV416" s="166"/>
      <c r="UW416" s="166"/>
      <c r="UX416" s="166"/>
      <c r="UY416" s="166"/>
      <c r="UZ416" s="166"/>
      <c r="VA416" s="166"/>
      <c r="VB416" s="166"/>
      <c r="VC416" s="166"/>
      <c r="VD416" s="166"/>
      <c r="VE416" s="166"/>
      <c r="VF416" s="166"/>
      <c r="VG416" s="166"/>
      <c r="VH416" s="166"/>
      <c r="VI416" s="166"/>
      <c r="VJ416" s="166"/>
      <c r="VK416" s="166"/>
      <c r="VL416" s="166"/>
      <c r="VM416" s="166"/>
      <c r="VN416" s="166"/>
      <c r="VO416" s="166"/>
      <c r="VP416" s="166"/>
      <c r="VQ416" s="166"/>
      <c r="VR416" s="166"/>
      <c r="VS416" s="166"/>
      <c r="VT416" s="166"/>
      <c r="VU416" s="166"/>
      <c r="VV416" s="166"/>
      <c r="VW416" s="166"/>
      <c r="VX416" s="166"/>
      <c r="VY416" s="166"/>
      <c r="VZ416" s="166"/>
      <c r="WA416" s="166"/>
      <c r="WB416" s="166"/>
      <c r="WC416" s="166"/>
      <c r="WD416" s="166"/>
      <c r="WE416" s="166"/>
      <c r="WF416" s="166"/>
      <c r="WG416" s="166"/>
      <c r="WH416" s="166"/>
      <c r="WI416" s="166"/>
      <c r="WJ416" s="166"/>
      <c r="WK416" s="166"/>
      <c r="WL416" s="166"/>
      <c r="WM416" s="166"/>
      <c r="WN416" s="166"/>
      <c r="WO416" s="166"/>
      <c r="WP416" s="166"/>
      <c r="WQ416" s="166"/>
      <c r="WR416" s="166"/>
      <c r="WS416" s="166"/>
      <c r="WT416" s="166"/>
      <c r="WU416" s="166"/>
      <c r="WV416" s="166"/>
      <c r="WW416" s="166"/>
      <c r="WX416" s="166"/>
      <c r="WY416" s="166"/>
      <c r="WZ416" s="166"/>
      <c r="XA416" s="166"/>
      <c r="XB416" s="166"/>
      <c r="XC416" s="166"/>
      <c r="XD416" s="166"/>
      <c r="XE416" s="166"/>
      <c r="XF416" s="166"/>
      <c r="XG416" s="166"/>
      <c r="XH416" s="166"/>
      <c r="XI416" s="166"/>
      <c r="XJ416" s="166"/>
      <c r="XK416" s="166"/>
      <c r="XL416" s="166"/>
      <c r="XM416" s="166"/>
      <c r="XN416" s="166"/>
      <c r="XO416" s="166"/>
      <c r="XP416" s="166"/>
      <c r="XQ416" s="166"/>
      <c r="XR416" s="166"/>
      <c r="XS416" s="166"/>
      <c r="XT416" s="166"/>
      <c r="XU416" s="166"/>
      <c r="XV416" s="166"/>
      <c r="XW416" s="166"/>
      <c r="XX416" s="166"/>
      <c r="XY416" s="166"/>
      <c r="XZ416" s="166"/>
      <c r="YA416" s="166"/>
      <c r="YB416" s="166"/>
      <c r="YC416" s="166"/>
      <c r="YD416" s="166"/>
      <c r="YE416" s="166"/>
      <c r="YF416" s="166"/>
      <c r="YG416" s="166"/>
      <c r="YH416" s="166"/>
      <c r="YI416" s="166"/>
      <c r="YJ416" s="166"/>
      <c r="YK416" s="166"/>
      <c r="YL416" s="166"/>
      <c r="YM416" s="166"/>
      <c r="YN416" s="166"/>
      <c r="YO416" s="166"/>
      <c r="YP416" s="166"/>
      <c r="YQ416" s="166"/>
      <c r="YR416" s="166"/>
      <c r="YS416" s="166"/>
      <c r="YT416" s="166"/>
      <c r="YU416" s="166"/>
      <c r="YV416" s="166"/>
      <c r="YW416" s="166"/>
      <c r="YX416" s="166"/>
      <c r="YY416" s="166"/>
      <c r="YZ416" s="166"/>
      <c r="ZA416" s="166"/>
      <c r="ZB416" s="166"/>
      <c r="ZC416" s="166"/>
      <c r="ZD416" s="166"/>
      <c r="ZE416" s="166"/>
      <c r="ZF416" s="166"/>
      <c r="ZG416" s="166"/>
      <c r="ZH416" s="166"/>
      <c r="ZI416" s="166"/>
      <c r="ZJ416" s="166"/>
      <c r="ZK416" s="166"/>
      <c r="ZL416" s="166"/>
      <c r="ZM416" s="166"/>
      <c r="ZN416" s="166"/>
      <c r="ZO416" s="166"/>
      <c r="ZP416" s="166"/>
      <c r="ZQ416" s="166"/>
      <c r="ZR416" s="166"/>
      <c r="ZS416" s="166"/>
      <c r="ZT416" s="166"/>
      <c r="ZU416" s="166"/>
      <c r="ZV416" s="166"/>
      <c r="ZW416" s="166"/>
      <c r="ZX416" s="166"/>
      <c r="ZY416" s="166"/>
      <c r="ZZ416" s="166"/>
      <c r="AAA416" s="166"/>
      <c r="AAB416" s="166"/>
      <c r="AAC416" s="166"/>
      <c r="AAD416" s="166"/>
      <c r="AAE416" s="166"/>
      <c r="AAF416" s="166"/>
      <c r="AAG416" s="166"/>
      <c r="AAH416" s="166"/>
      <c r="AAI416" s="166"/>
      <c r="AAJ416" s="166"/>
      <c r="AAK416" s="166"/>
      <c r="AAL416" s="166"/>
      <c r="AAM416" s="166"/>
      <c r="AAN416" s="166"/>
      <c r="AAO416" s="166"/>
      <c r="AAP416" s="166"/>
      <c r="AAQ416" s="166"/>
      <c r="AAR416" s="166"/>
      <c r="AAS416" s="166"/>
      <c r="AAT416" s="166"/>
      <c r="AAU416" s="166"/>
      <c r="AAV416" s="166"/>
      <c r="AAW416" s="166"/>
      <c r="AAX416" s="166"/>
      <c r="AAY416" s="166"/>
      <c r="AAZ416" s="166"/>
      <c r="ABA416" s="166"/>
      <c r="ABB416" s="166"/>
      <c r="ABC416" s="166"/>
      <c r="ABD416" s="166"/>
      <c r="ABE416" s="166"/>
      <c r="ABF416" s="166"/>
      <c r="ABG416" s="166"/>
      <c r="ABH416" s="166"/>
      <c r="ABI416" s="166"/>
      <c r="ABJ416" s="166"/>
      <c r="ABK416" s="166"/>
      <c r="ABL416" s="166"/>
      <c r="ABM416" s="166"/>
      <c r="ABN416" s="166"/>
      <c r="ABO416" s="166"/>
      <c r="ABP416" s="166"/>
      <c r="ABQ416" s="166"/>
      <c r="ABR416" s="166"/>
      <c r="ABS416" s="166"/>
      <c r="ABT416" s="166"/>
      <c r="ABU416" s="166"/>
      <c r="ABV416" s="166"/>
      <c r="ABW416" s="166"/>
      <c r="ABX416" s="166"/>
      <c r="ABY416" s="166"/>
      <c r="ABZ416" s="166"/>
      <c r="ACA416" s="166"/>
      <c r="ACB416" s="166"/>
      <c r="ACC416" s="166"/>
      <c r="ACD416" s="166"/>
      <c r="ACE416" s="166"/>
      <c r="ACF416" s="166"/>
      <c r="ACG416" s="166"/>
      <c r="ACH416" s="166"/>
      <c r="ACI416" s="166"/>
      <c r="ACJ416" s="166"/>
      <c r="ACK416" s="166"/>
      <c r="ACL416" s="166"/>
      <c r="ACM416" s="166"/>
      <c r="ACN416" s="166"/>
      <c r="ACO416" s="166"/>
      <c r="ACP416" s="166"/>
      <c r="ACQ416" s="166"/>
      <c r="ACR416" s="166"/>
      <c r="ACS416" s="166"/>
      <c r="ACT416" s="166"/>
      <c r="ACU416" s="166"/>
      <c r="ACV416" s="166"/>
      <c r="ACW416" s="166"/>
      <c r="ACX416" s="166"/>
      <c r="ACY416" s="166"/>
      <c r="ACZ416" s="166"/>
      <c r="ADA416" s="166"/>
      <c r="ADB416" s="166"/>
      <c r="ADC416" s="166"/>
      <c r="ADD416" s="166"/>
      <c r="ADE416" s="166"/>
      <c r="ADF416" s="166"/>
      <c r="ADG416" s="166"/>
      <c r="ADH416" s="166"/>
      <c r="ADI416" s="166"/>
      <c r="ADJ416" s="166"/>
      <c r="ADK416" s="166"/>
      <c r="ADL416" s="166"/>
      <c r="ADM416" s="166"/>
      <c r="ADN416" s="166"/>
      <c r="ADO416" s="166"/>
      <c r="ADP416" s="166"/>
      <c r="ADQ416" s="166"/>
      <c r="ADR416" s="166"/>
      <c r="ADS416" s="166"/>
      <c r="ADT416" s="166"/>
      <c r="ADU416" s="166"/>
      <c r="ADV416" s="166"/>
      <c r="ADW416" s="166"/>
      <c r="ADX416" s="166"/>
      <c r="ADY416" s="166"/>
      <c r="ADZ416" s="166"/>
      <c r="AEA416" s="166"/>
      <c r="AEB416" s="166"/>
      <c r="AEC416" s="166"/>
      <c r="AED416" s="166"/>
      <c r="AEE416" s="166"/>
      <c r="AEF416" s="166"/>
      <c r="AEG416" s="166"/>
      <c r="AEH416" s="166"/>
      <c r="AEI416" s="166"/>
      <c r="AEJ416" s="166"/>
      <c r="AEK416" s="166"/>
      <c r="AEL416" s="166"/>
      <c r="AEM416" s="166"/>
      <c r="AEN416" s="166"/>
      <c r="AEO416" s="166"/>
      <c r="AEP416" s="166"/>
      <c r="AEQ416" s="166"/>
      <c r="AER416" s="166"/>
      <c r="AES416" s="166"/>
      <c r="AET416" s="166"/>
      <c r="AEU416" s="166"/>
      <c r="AEV416" s="166"/>
      <c r="AEW416" s="166"/>
      <c r="AEX416" s="166"/>
      <c r="AEY416" s="166"/>
      <c r="AEZ416" s="166"/>
      <c r="AFA416" s="166"/>
      <c r="AFB416" s="166"/>
      <c r="AFC416" s="166"/>
      <c r="AFD416" s="166"/>
      <c r="AFE416" s="166"/>
      <c r="AFF416" s="166"/>
      <c r="AFG416" s="166"/>
      <c r="AFH416" s="166"/>
      <c r="AFI416" s="166"/>
      <c r="AFJ416" s="166"/>
      <c r="AFK416" s="166"/>
      <c r="AFL416" s="166"/>
      <c r="AFM416" s="166"/>
      <c r="AFN416" s="166"/>
      <c r="AFO416" s="166"/>
      <c r="AFP416" s="166"/>
      <c r="AFQ416" s="166"/>
      <c r="AFR416" s="166"/>
      <c r="AFS416" s="166"/>
      <c r="AFT416" s="166"/>
      <c r="AFU416" s="166"/>
      <c r="AFV416" s="166"/>
      <c r="AFW416" s="166"/>
      <c r="AFX416" s="166"/>
      <c r="AFY416" s="166"/>
      <c r="AFZ416" s="166"/>
      <c r="AGA416" s="166"/>
      <c r="AGB416" s="166"/>
      <c r="AGC416" s="166"/>
      <c r="AGD416" s="166"/>
      <c r="AGE416" s="166"/>
      <c r="AGF416" s="166"/>
      <c r="AGG416" s="166"/>
      <c r="AGH416" s="166"/>
      <c r="AGI416" s="166"/>
      <c r="AGJ416" s="166"/>
      <c r="AGK416" s="166"/>
      <c r="AGL416" s="166"/>
      <c r="AGM416" s="166"/>
      <c r="AGN416" s="166"/>
      <c r="AGO416" s="166"/>
      <c r="AGP416" s="166"/>
      <c r="AGQ416" s="166"/>
      <c r="AGR416" s="166"/>
      <c r="AGS416" s="166"/>
      <c r="AGT416" s="166"/>
      <c r="AGU416" s="166"/>
      <c r="AGV416" s="166"/>
      <c r="AGW416" s="166"/>
      <c r="AGX416" s="166"/>
      <c r="AGY416" s="166"/>
      <c r="AGZ416" s="166"/>
      <c r="AHA416" s="166"/>
      <c r="AHB416" s="166"/>
      <c r="AHC416" s="166"/>
      <c r="AHD416" s="166"/>
      <c r="AHE416" s="166"/>
      <c r="AHF416" s="166"/>
      <c r="AHG416" s="166"/>
      <c r="AHH416" s="166"/>
      <c r="AHI416" s="166"/>
      <c r="AHJ416" s="166"/>
      <c r="AHK416" s="166"/>
      <c r="AHL416" s="166"/>
      <c r="AHM416" s="166"/>
      <c r="AHN416" s="166"/>
      <c r="AHO416" s="166"/>
      <c r="AHP416" s="166"/>
      <c r="AHQ416" s="166"/>
      <c r="AHR416" s="166"/>
      <c r="AHS416" s="166"/>
      <c r="AHT416" s="166"/>
      <c r="AHU416" s="166"/>
      <c r="AHV416" s="166"/>
      <c r="AHW416" s="166"/>
      <c r="AHX416" s="166"/>
      <c r="AHY416" s="166"/>
      <c r="AHZ416" s="166"/>
      <c r="AIA416" s="166"/>
      <c r="AIB416" s="166"/>
      <c r="AIC416" s="166"/>
      <c r="AID416" s="166"/>
      <c r="AIE416" s="166"/>
      <c r="AIF416" s="166"/>
      <c r="AIG416" s="166"/>
      <c r="AIH416" s="166"/>
      <c r="AII416" s="166"/>
      <c r="AIJ416" s="166"/>
      <c r="AIK416" s="166"/>
      <c r="AIL416" s="166"/>
      <c r="AIM416" s="166"/>
      <c r="AIN416" s="166"/>
      <c r="AIO416" s="166"/>
      <c r="AIP416" s="166"/>
      <c r="AIQ416" s="166"/>
      <c r="AIR416" s="166"/>
      <c r="AIS416" s="166"/>
      <c r="AIT416" s="166"/>
      <c r="AIU416" s="166"/>
      <c r="AIV416" s="166"/>
      <c r="AIW416" s="166"/>
      <c r="AIX416" s="166"/>
      <c r="AIY416" s="166"/>
      <c r="AIZ416" s="166"/>
      <c r="AJA416" s="166"/>
      <c r="AJB416" s="166"/>
      <c r="AJC416" s="166"/>
      <c r="AJD416" s="166"/>
      <c r="AJE416" s="166"/>
      <c r="AJF416" s="166"/>
      <c r="AJG416" s="166"/>
      <c r="AJH416" s="166"/>
      <c r="AJI416" s="166"/>
      <c r="AJJ416" s="166"/>
      <c r="AJK416" s="166"/>
      <c r="AJL416" s="166"/>
      <c r="AJM416" s="166"/>
      <c r="AJN416" s="166"/>
      <c r="AJO416" s="166"/>
      <c r="AJP416" s="166"/>
      <c r="AJQ416" s="166"/>
      <c r="AJR416" s="166"/>
      <c r="AJS416" s="166"/>
      <c r="AJT416" s="166"/>
      <c r="AJU416" s="166"/>
      <c r="AJV416" s="166"/>
      <c r="AJW416" s="166"/>
      <c r="AJX416" s="166"/>
      <c r="AJY416" s="166"/>
      <c r="AJZ416" s="166"/>
      <c r="AKA416" s="166"/>
      <c r="AKB416" s="166"/>
      <c r="AKC416" s="166"/>
      <c r="AKD416" s="166"/>
      <c r="AKE416" s="166"/>
      <c r="AKF416" s="166"/>
      <c r="AKG416" s="166"/>
      <c r="AKH416" s="166"/>
      <c r="AKI416" s="166"/>
      <c r="AKJ416" s="166"/>
      <c r="AKK416" s="166"/>
      <c r="AKL416" s="166"/>
      <c r="AKM416" s="166"/>
      <c r="AKN416" s="166"/>
      <c r="AKO416" s="166"/>
      <c r="AKP416" s="166"/>
      <c r="AKQ416" s="166"/>
      <c r="AKR416" s="166"/>
      <c r="AKS416" s="166"/>
      <c r="AKT416" s="166"/>
      <c r="AKU416" s="166"/>
      <c r="AKV416" s="166"/>
      <c r="AKW416" s="166"/>
      <c r="AKX416" s="166"/>
      <c r="AKY416" s="166"/>
      <c r="AKZ416" s="166"/>
      <c r="ALA416" s="166"/>
      <c r="ALB416" s="166"/>
      <c r="ALC416" s="166"/>
      <c r="ALD416" s="166"/>
      <c r="ALE416" s="166"/>
      <c r="ALF416" s="166"/>
      <c r="ALG416" s="166"/>
      <c r="ALH416" s="166"/>
      <c r="ALI416" s="166"/>
      <c r="ALJ416" s="166"/>
      <c r="ALK416" s="166"/>
      <c r="ALL416" s="166"/>
      <c r="ALM416" s="166"/>
      <c r="ALN416" s="166"/>
      <c r="ALO416" s="166"/>
      <c r="ALP416" s="166"/>
      <c r="ALQ416" s="166"/>
      <c r="ALR416" s="166"/>
      <c r="ALS416" s="166"/>
      <c r="ALT416" s="166"/>
      <c r="ALU416" s="166"/>
      <c r="ALV416" s="166"/>
      <c r="ALW416" s="166"/>
      <c r="ALX416" s="166"/>
      <c r="ALY416" s="166"/>
      <c r="ALZ416" s="166"/>
      <c r="AMA416" s="166"/>
      <c r="AMB416" s="166"/>
      <c r="AMC416" s="166"/>
      <c r="AMD416" s="166"/>
      <c r="AME416" s="166"/>
      <c r="AMF416" s="166"/>
      <c r="AMG416" s="166"/>
      <c r="AMH416" s="166"/>
      <c r="AMI416" s="166"/>
      <c r="AMJ416" s="166"/>
    </row>
    <row r="417" customFormat="false" ht="12.8" hidden="false" customHeight="false" outlineLevel="0" collapsed="false">
      <c r="A417" s="108" t="s">
        <v>210</v>
      </c>
      <c r="B417" s="109"/>
      <c r="C417" s="109"/>
      <c r="D417" s="38"/>
      <c r="E417" s="110"/>
      <c r="F417" s="122" t="n">
        <f aca="false">+F415</f>
        <v>533.333333333333</v>
      </c>
    </row>
    <row r="419" customFormat="false" ht="12.8" hidden="false" customHeight="false" outlineLevel="0" collapsed="false">
      <c r="A419" s="159" t="s">
        <v>211</v>
      </c>
      <c r="B419" s="65"/>
      <c r="C419" s="65"/>
      <c r="D419" s="25"/>
      <c r="E419" s="25"/>
      <c r="F419" s="84"/>
    </row>
    <row r="421" customFormat="false" ht="12.8" hidden="false" customHeight="false" outlineLevel="0" collapsed="false">
      <c r="A421" s="70" t="s">
        <v>16</v>
      </c>
      <c r="B421" s="71" t="s">
        <v>17</v>
      </c>
      <c r="C421" s="71" t="s">
        <v>9</v>
      </c>
      <c r="D421" s="72" t="s">
        <v>18</v>
      </c>
      <c r="E421" s="72" t="s">
        <v>19</v>
      </c>
      <c r="F421" s="73" t="s">
        <v>20</v>
      </c>
    </row>
    <row r="422" customFormat="false" ht="12.8" hidden="false" customHeight="false" outlineLevel="0" collapsed="false">
      <c r="A422" s="78" t="s">
        <v>212</v>
      </c>
      <c r="B422" s="161" t="s">
        <v>65</v>
      </c>
      <c r="C422" s="117" t="n">
        <f aca="false">'Estimativa Pesagem Ticket'!C4</f>
        <v>105</v>
      </c>
      <c r="D422" s="106" t="n">
        <f aca="false">'VALORES BASE'!B36</f>
        <v>30</v>
      </c>
      <c r="E422" s="81" t="n">
        <f aca="false">+D422*C422</f>
        <v>3150</v>
      </c>
      <c r="F422" s="126"/>
    </row>
    <row r="423" customFormat="false" ht="12.8" hidden="false" customHeight="false" outlineLevel="0" collapsed="false">
      <c r="A423" s="164"/>
      <c r="B423" s="164"/>
      <c r="C423" s="164"/>
      <c r="D423" s="88"/>
      <c r="E423" s="88"/>
      <c r="F423" s="122" t="n">
        <f aca="false">E422</f>
        <v>3150</v>
      </c>
    </row>
    <row r="425" customFormat="false" ht="12.8" hidden="false" customHeight="false" outlineLevel="0" collapsed="false">
      <c r="A425" s="108" t="s">
        <v>213</v>
      </c>
      <c r="B425" s="109"/>
      <c r="C425" s="109"/>
      <c r="D425" s="38"/>
      <c r="E425" s="110"/>
      <c r="F425" s="122" t="n">
        <f aca="false">+F423</f>
        <v>3150</v>
      </c>
    </row>
    <row r="428" customFormat="false" ht="12.8" hidden="false" customHeight="false" outlineLevel="0" collapsed="false">
      <c r="A428" s="108" t="s">
        <v>214</v>
      </c>
      <c r="B428" s="119"/>
      <c r="C428" s="119"/>
      <c r="D428" s="120"/>
      <c r="E428" s="121"/>
      <c r="F428" s="105" t="n">
        <f aca="false">+F167+F215+F393+F406+F417+F425</f>
        <v>160502.085790647</v>
      </c>
    </row>
    <row r="430" customFormat="false" ht="12.8" hidden="false" customHeight="false" outlineLevel="0" collapsed="false">
      <c r="A430" s="26" t="s">
        <v>215</v>
      </c>
    </row>
    <row r="432" customFormat="false" ht="12.8" hidden="false" customHeight="false" outlineLevel="0" collapsed="false">
      <c r="A432" s="70" t="s">
        <v>16</v>
      </c>
      <c r="B432" s="71" t="s">
        <v>17</v>
      </c>
      <c r="C432" s="71" t="s">
        <v>9</v>
      </c>
      <c r="D432" s="72" t="s">
        <v>18</v>
      </c>
      <c r="E432" s="72" t="s">
        <v>19</v>
      </c>
      <c r="F432" s="73" t="s">
        <v>20</v>
      </c>
    </row>
    <row r="433" customFormat="false" ht="12.8" hidden="false" customHeight="false" outlineLevel="0" collapsed="false">
      <c r="A433" s="74" t="s">
        <v>216</v>
      </c>
      <c r="B433" s="75" t="s">
        <v>5</v>
      </c>
      <c r="C433" s="86" t="n">
        <f aca="false">'4.BDI'!C13*100</f>
        <v>27.14</v>
      </c>
      <c r="D433" s="77" t="n">
        <f aca="false">+F428</f>
        <v>160502.085790647</v>
      </c>
      <c r="E433" s="77" t="n">
        <f aca="false">C433*D433/100</f>
        <v>43560.2660835816</v>
      </c>
    </row>
    <row r="434" customFormat="false" ht="12.8" hidden="false" customHeight="false" outlineLevel="0" collapsed="false">
      <c r="F434" s="122" t="n">
        <f aca="false">+E433</f>
        <v>43560.2660835816</v>
      </c>
    </row>
    <row r="435" customFormat="false" ht="11.25" hidden="false" customHeight="true" outlineLevel="0" collapsed="false"/>
    <row r="436" customFormat="false" ht="12.8" hidden="false" customHeight="false" outlineLevel="0" collapsed="false">
      <c r="A436" s="108" t="s">
        <v>217</v>
      </c>
      <c r="B436" s="119"/>
      <c r="C436" s="119"/>
      <c r="D436" s="120"/>
      <c r="E436" s="121"/>
      <c r="F436" s="105" t="n">
        <f aca="false">F434</f>
        <v>43560.2660835816</v>
      </c>
    </row>
    <row r="437" customFormat="false" ht="12.8" hidden="false" customHeight="false" outlineLevel="0" collapsed="false">
      <c r="A437" s="65"/>
      <c r="B437" s="65"/>
      <c r="C437" s="65"/>
      <c r="D437" s="25"/>
      <c r="E437" s="25"/>
      <c r="F437" s="84"/>
    </row>
    <row r="439" customFormat="false" ht="12.8" hidden="false" customHeight="false" outlineLevel="0" collapsed="false">
      <c r="A439" s="108" t="s">
        <v>218</v>
      </c>
      <c r="B439" s="119"/>
      <c r="C439" s="119"/>
      <c r="D439" s="120"/>
      <c r="E439" s="121"/>
      <c r="F439" s="167" t="n">
        <f aca="false">F428+F436</f>
        <v>204062.351874229</v>
      </c>
    </row>
    <row r="440" customFormat="false" ht="15" hidden="false" customHeight="false" outlineLevel="0" collapsed="false">
      <c r="A440" s="168"/>
      <c r="B440" s="168"/>
      <c r="C440" s="168"/>
      <c r="D440" s="169"/>
      <c r="E440" s="169"/>
      <c r="F440" s="169"/>
    </row>
    <row r="441" customFormat="false" ht="12.8" hidden="false" customHeight="false" outlineLevel="0" collapsed="false">
      <c r="A441" s="170" t="s">
        <v>219</v>
      </c>
      <c r="B441" s="171"/>
      <c r="C441" s="171"/>
      <c r="D441" s="172" t="n">
        <f aca="false">'SERIE HISTORICA'!D14</f>
        <v>439.2875</v>
      </c>
      <c r="E441" s="173" t="s">
        <v>220</v>
      </c>
    </row>
    <row r="443" customFormat="false" ht="12.8" hidden="false" customHeight="false" outlineLevel="0" collapsed="false">
      <c r="A443" s="108" t="s">
        <v>221</v>
      </c>
      <c r="B443" s="109"/>
      <c r="C443" s="109"/>
      <c r="D443" s="38"/>
      <c r="E443" s="174" t="s">
        <v>222</v>
      </c>
      <c r="F443" s="175" t="n">
        <f aca="false">IFERROR(F439/D441,"-")</f>
        <v>464.530294793794</v>
      </c>
    </row>
    <row r="453" customFormat="false" ht="12.8" hidden="false" customHeight="true" outlineLevel="0" collapsed="false"/>
    <row r="458" customFormat="false" ht="12.8" hidden="false" customHeight="true" outlineLevel="0" collapsed="false"/>
    <row r="470" customFormat="false" ht="9" hidden="false" customHeight="true" outlineLevel="0" collapsed="false"/>
  </sheetData>
  <mergeCells count="7">
    <mergeCell ref="A2:F2"/>
    <mergeCell ref="A3:F3"/>
    <mergeCell ref="A5:F5"/>
    <mergeCell ref="A19:C19"/>
    <mergeCell ref="A28:E28"/>
    <mergeCell ref="A29:D29"/>
    <mergeCell ref="A37:D37"/>
  </mergeCells>
  <hyperlinks>
    <hyperlink ref="A221" location="AbaDeprec" display="3.1.1. Depreciação"/>
    <hyperlink ref="A237" location="AbaRemun" display="3.1.2. Remuneração do Capital"/>
  </hyperlink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31527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&amp;R&amp;P de &amp;N</oddFooter>
  </headerFooter>
  <rowBreaks count="4" manualBreakCount="4">
    <brk id="41" man="true" max="16383" min="0"/>
    <brk id="125" man="true" max="16383" min="0"/>
    <brk id="216" man="true" max="16383" min="0"/>
    <brk id="284" man="true" max="16383" min="0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4" activeCellId="0" sqref="E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10.78"/>
    <col collapsed="false" customWidth="true" hidden="false" outlineLevel="0" max="2" min="2" style="178" width="28.97"/>
    <col collapsed="false" customWidth="true" hidden="false" outlineLevel="0" max="3" min="3" style="3" width="15.16"/>
    <col collapsed="false" customWidth="true" hidden="false" outlineLevel="0" max="4" min="4" style="3" width="18.08"/>
    <col collapsed="false" customWidth="true" hidden="false" outlineLevel="0" max="5" min="5" style="3" width="20.73"/>
    <col collapsed="false" customWidth="true" hidden="false" outlineLevel="0" max="6" min="6" style="3" width="19.91"/>
  </cols>
  <sheetData>
    <row r="1" customFormat="false" ht="34.8" hidden="false" customHeight="true" outlineLevel="0" collapsed="false">
      <c r="A1" s="179" t="s">
        <v>244</v>
      </c>
      <c r="B1" s="179" t="s">
        <v>245</v>
      </c>
      <c r="C1" s="179" t="s">
        <v>246</v>
      </c>
      <c r="D1" s="179" t="s">
        <v>247</v>
      </c>
      <c r="E1" s="180" t="s">
        <v>248</v>
      </c>
      <c r="F1" s="180" t="s">
        <v>249</v>
      </c>
    </row>
    <row r="2" customFormat="false" ht="51.85" hidden="false" customHeight="true" outlineLevel="0" collapsed="false">
      <c r="A2" s="180" t="s">
        <v>250</v>
      </c>
      <c r="B2" s="181" t="s">
        <v>251</v>
      </c>
      <c r="C2" s="182" t="n">
        <f aca="false">ORGÂNICOS!F537</f>
        <v>575.478602914533</v>
      </c>
      <c r="D2" s="183" t="n">
        <f aca="false">'SERIE HISTORICA'!C14</f>
        <v>640.915833333333</v>
      </c>
      <c r="E2" s="184" t="n">
        <f aca="false">ORGÂNICOS!F533</f>
        <v>368833.34835247</v>
      </c>
      <c r="F2" s="182" t="n">
        <f aca="false">E2*12</f>
        <v>4426000.18022964</v>
      </c>
      <c r="G2" s="185"/>
    </row>
    <row r="3" customFormat="false" ht="51.85" hidden="false" customHeight="true" outlineLevel="0" collapsed="false">
      <c r="A3" s="180" t="s">
        <v>252</v>
      </c>
      <c r="B3" s="186" t="s">
        <v>253</v>
      </c>
      <c r="C3" s="182" t="n">
        <f aca="false">RECICLÁVEIS!F443</f>
        <v>464.530294793794</v>
      </c>
      <c r="D3" s="183" t="n">
        <f aca="false">'SERIE HISTORICA'!D14</f>
        <v>439.2875</v>
      </c>
      <c r="E3" s="184" t="n">
        <f aca="false">RECICLÁVEIS!F439</f>
        <v>204062.351874229</v>
      </c>
      <c r="F3" s="182" t="n">
        <f aca="false">E3*12</f>
        <v>2448748.22249074</v>
      </c>
    </row>
    <row r="4" customFormat="false" ht="12.8" hidden="false" customHeight="false" outlineLevel="0" collapsed="false">
      <c r="A4" s="187" t="s">
        <v>254</v>
      </c>
      <c r="B4" s="187"/>
      <c r="C4" s="187"/>
      <c r="D4" s="187"/>
      <c r="E4" s="188" t="n">
        <f aca="false">SUM(E3,E2)</f>
        <v>572895.700226699</v>
      </c>
      <c r="F4" s="188" t="n">
        <f aca="false">SUM(F3,F2)</f>
        <v>6874748.40272038</v>
      </c>
    </row>
    <row r="6" customFormat="false" ht="12.8" hidden="false" customHeight="false" outlineLevel="0" collapsed="false">
      <c r="E6" s="185"/>
    </row>
    <row r="7" customFormat="false" ht="12.8" hidden="false" customHeight="false" outlineLevel="0" collapsed="false">
      <c r="B7" s="189"/>
    </row>
    <row r="8" customFormat="false" ht="12.8" hidden="false" customHeight="false" outlineLevel="0" collapsed="false">
      <c r="B8" s="189"/>
    </row>
    <row r="10" customFormat="false" ht="12.8" hidden="false" customHeight="false" outlineLevel="0" collapsed="false">
      <c r="B10" s="190"/>
    </row>
    <row r="13" customFormat="false" ht="12.8" hidden="false" customHeight="false" outlineLevel="0" collapsed="false">
      <c r="H13" s="185"/>
    </row>
    <row r="14" customFormat="false" ht="12.8" hidden="false" customHeight="false" outlineLevel="0" collapsed="false">
      <c r="H14" s="185"/>
    </row>
    <row r="17" customFormat="false" ht="12.8" hidden="false" customHeight="false" outlineLevel="0" collapsed="false">
      <c r="B17" s="191"/>
    </row>
  </sheetData>
  <mergeCells count="1">
    <mergeCell ref="A4:D4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22" activeCellId="0" sqref="D22"/>
    </sheetView>
  </sheetViews>
  <sheetFormatPr defaultColWidth="11.53515625" defaultRowHeight="12.8" customHeight="false" zeroHeight="false" outlineLevelRow="0" outlineLevelCol="0"/>
  <sheetData>
    <row r="1" customFormat="false" ht="12.8" hidden="false" customHeight="false" outlineLevel="0" collapsed="false">
      <c r="A1" s="192" t="s">
        <v>22</v>
      </c>
      <c r="B1" s="192" t="s">
        <v>255</v>
      </c>
      <c r="C1" s="192" t="s">
        <v>256</v>
      </c>
      <c r="D1" s="192" t="s">
        <v>257</v>
      </c>
      <c r="E1" s="192" t="s">
        <v>254</v>
      </c>
    </row>
    <row r="2" customFormat="false" ht="12.8" hidden="false" customHeight="false" outlineLevel="0" collapsed="false">
      <c r="A2" s="192" t="s">
        <v>258</v>
      </c>
      <c r="B2" s="192" t="n">
        <v>2025</v>
      </c>
      <c r="C2" s="192" t="n">
        <v>611.57</v>
      </c>
      <c r="D2" s="192" t="n">
        <v>455.01</v>
      </c>
      <c r="E2" s="192" t="n">
        <f aca="false">SUM(C2,D2)</f>
        <v>1066.58</v>
      </c>
    </row>
    <row r="3" customFormat="false" ht="12.8" hidden="false" customHeight="false" outlineLevel="0" collapsed="false">
      <c r="A3" s="192" t="s">
        <v>259</v>
      </c>
      <c r="B3" s="192" t="n">
        <v>2025</v>
      </c>
      <c r="C3" s="192" t="n">
        <v>651.42</v>
      </c>
      <c r="D3" s="192" t="n">
        <v>493.79</v>
      </c>
      <c r="E3" s="192" t="n">
        <f aca="false">SUM(C3,D3)</f>
        <v>1145.21</v>
      </c>
    </row>
    <row r="4" customFormat="false" ht="12.8" hidden="false" customHeight="false" outlineLevel="0" collapsed="false">
      <c r="A4" s="192" t="s">
        <v>260</v>
      </c>
      <c r="B4" s="192" t="n">
        <v>2025</v>
      </c>
      <c r="C4" s="192" t="n">
        <v>620.12</v>
      </c>
      <c r="D4" s="192" t="n">
        <v>420.99</v>
      </c>
      <c r="E4" s="192" t="n">
        <f aca="false">SUM(C4,D4)</f>
        <v>1041.11</v>
      </c>
    </row>
    <row r="5" customFormat="false" ht="12.8" hidden="false" customHeight="false" outlineLevel="0" collapsed="false">
      <c r="A5" s="192" t="s">
        <v>261</v>
      </c>
      <c r="B5" s="192" t="n">
        <v>2025</v>
      </c>
      <c r="C5" s="192" t="n">
        <v>624.25</v>
      </c>
      <c r="D5" s="192" t="n">
        <v>420.75</v>
      </c>
      <c r="E5" s="192" t="n">
        <f aca="false">SUM(C5,D5)</f>
        <v>1045</v>
      </c>
    </row>
    <row r="6" customFormat="false" ht="12.8" hidden="false" customHeight="false" outlineLevel="0" collapsed="false">
      <c r="A6" s="192" t="s">
        <v>262</v>
      </c>
      <c r="B6" s="192" t="n">
        <v>2025</v>
      </c>
      <c r="C6" s="192" t="n">
        <v>636.4</v>
      </c>
      <c r="D6" s="192" t="n">
        <v>439.86</v>
      </c>
      <c r="E6" s="192" t="n">
        <f aca="false">SUM(C6,D6)</f>
        <v>1076.26</v>
      </c>
    </row>
    <row r="7" customFormat="false" ht="12.8" hidden="false" customHeight="false" outlineLevel="0" collapsed="false">
      <c r="A7" s="192" t="s">
        <v>263</v>
      </c>
      <c r="B7" s="192" t="n">
        <v>2025</v>
      </c>
      <c r="C7" s="192" t="n">
        <v>632.53</v>
      </c>
      <c r="D7" s="192" t="n">
        <v>441.96</v>
      </c>
      <c r="E7" s="192" t="n">
        <f aca="false">SUM(C7,D7)</f>
        <v>1074.49</v>
      </c>
    </row>
    <row r="8" customFormat="false" ht="12.8" hidden="false" customHeight="false" outlineLevel="0" collapsed="false">
      <c r="A8" s="192" t="s">
        <v>264</v>
      </c>
      <c r="B8" s="192" t="n">
        <v>2025</v>
      </c>
      <c r="C8" s="192" t="n">
        <v>795.78</v>
      </c>
      <c r="D8" s="192" t="n">
        <v>505.51</v>
      </c>
      <c r="E8" s="192" t="n">
        <f aca="false">SUM(C8,D8)</f>
        <v>1301.29</v>
      </c>
    </row>
    <row r="9" customFormat="false" ht="12.8" hidden="false" customHeight="false" outlineLevel="0" collapsed="false">
      <c r="A9" s="192" t="s">
        <v>265</v>
      </c>
      <c r="B9" s="192" t="n">
        <v>2026</v>
      </c>
      <c r="C9" s="192" t="n">
        <v>587.93</v>
      </c>
      <c r="D9" s="192" t="n">
        <v>510.41</v>
      </c>
      <c r="E9" s="192" t="n">
        <f aca="false">SUM(C9,D9)</f>
        <v>1098.34</v>
      </c>
    </row>
    <row r="10" customFormat="false" ht="12.8" hidden="false" customHeight="false" outlineLevel="0" collapsed="false">
      <c r="A10" s="192" t="s">
        <v>266</v>
      </c>
      <c r="B10" s="192" t="n">
        <v>2026</v>
      </c>
      <c r="C10" s="192" t="n">
        <v>550.43</v>
      </c>
      <c r="D10" s="192" t="n">
        <v>376.53</v>
      </c>
      <c r="E10" s="192" t="n">
        <f aca="false">SUM(C10,D10)</f>
        <v>926.96</v>
      </c>
    </row>
    <row r="11" customFormat="false" ht="12.8" hidden="false" customHeight="false" outlineLevel="0" collapsed="false">
      <c r="A11" s="192" t="s">
        <v>267</v>
      </c>
      <c r="B11" s="192" t="n">
        <v>2026</v>
      </c>
      <c r="C11" s="192" t="n">
        <v>690.76</v>
      </c>
      <c r="D11" s="192" t="n">
        <v>413.82</v>
      </c>
      <c r="E11" s="192" t="n">
        <f aca="false">SUM(C11,D11)</f>
        <v>1104.58</v>
      </c>
    </row>
    <row r="12" customFormat="false" ht="12.8" hidden="false" customHeight="false" outlineLevel="0" collapsed="false">
      <c r="A12" s="192" t="s">
        <v>268</v>
      </c>
      <c r="B12" s="192" t="n">
        <v>2026</v>
      </c>
      <c r="C12" s="192" t="n">
        <v>666.12</v>
      </c>
      <c r="D12" s="192" t="n">
        <v>422.48</v>
      </c>
      <c r="E12" s="192" t="n">
        <f aca="false">SUM(C12,D12)</f>
        <v>1088.6</v>
      </c>
    </row>
    <row r="13" customFormat="false" ht="12.8" hidden="false" customHeight="false" outlineLevel="0" collapsed="false">
      <c r="A13" s="192" t="s">
        <v>269</v>
      </c>
      <c r="B13" s="192" t="n">
        <v>2026</v>
      </c>
      <c r="C13" s="192" t="n">
        <v>623.68</v>
      </c>
      <c r="D13" s="192" t="n">
        <v>370.34</v>
      </c>
      <c r="E13" s="192" t="n">
        <f aca="false">SUM(C13,D13)</f>
        <v>994.02</v>
      </c>
    </row>
    <row r="14" customFormat="false" ht="12.8" hidden="false" customHeight="false" outlineLevel="0" collapsed="false">
      <c r="B14" s="192" t="s">
        <v>270</v>
      </c>
      <c r="C14" s="193" t="n">
        <f aca="false">AVERAGE(C2:C13)</f>
        <v>640.915833333333</v>
      </c>
      <c r="D14" s="193" t="n">
        <f aca="false">AVERAGE(D2:D13)</f>
        <v>439.2875</v>
      </c>
      <c r="E14" s="193" t="n">
        <f aca="false">AVERAGE(E2:E13)</f>
        <v>1080.20333333333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8"/>
  <sheetViews>
    <sheetView showFormulas="false" showGridLines="true" showRowColHeaders="true" showZeros="true" rightToLeft="false" tabSelected="false" showOutlineSymbols="true" defaultGridColor="true" view="pageBreakPreview" topLeftCell="A10" colorId="64" zoomScale="100" zoomScaleNormal="100" zoomScalePageLayoutView="100" workbookViewId="0">
      <selection pane="topLeft" activeCell="A74" activeCellId="0" sqref="A7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51.05"/>
    <col collapsed="false" customWidth="true" hidden="false" outlineLevel="0" max="2" min="2" style="3" width="20.35"/>
    <col collapsed="false" customWidth="true" hidden="false" outlineLevel="0" max="3" min="3" style="3" width="22.25"/>
  </cols>
  <sheetData>
    <row r="1" customFormat="false" ht="12.8" hidden="false" customHeight="false" outlineLevel="0" collapsed="false">
      <c r="A1" s="194" t="s">
        <v>271</v>
      </c>
      <c r="B1" s="195" t="n">
        <v>2082.31</v>
      </c>
      <c r="C1" s="194" t="s">
        <v>272</v>
      </c>
    </row>
    <row r="2" customFormat="false" ht="12.8" hidden="false" customHeight="false" outlineLevel="0" collapsed="false">
      <c r="A2" s="194" t="s">
        <v>273</v>
      </c>
      <c r="B2" s="195" t="n">
        <v>3012</v>
      </c>
      <c r="C2" s="194"/>
    </row>
    <row r="3" customFormat="false" ht="12.8" hidden="false" customHeight="false" outlineLevel="0" collapsed="false">
      <c r="A3" s="194" t="s">
        <v>274</v>
      </c>
      <c r="B3" s="195" t="n">
        <f aca="false">'CAMINHOES FIPE'!B13</f>
        <v>545875</v>
      </c>
      <c r="C3" s="194" t="s">
        <v>275</v>
      </c>
    </row>
    <row r="4" customFormat="false" ht="12.8" hidden="false" customHeight="false" outlineLevel="0" collapsed="false">
      <c r="A4" s="194" t="s">
        <v>276</v>
      </c>
      <c r="B4" s="196" t="n">
        <v>110623</v>
      </c>
      <c r="C4" s="197" t="s">
        <v>277</v>
      </c>
    </row>
    <row r="5" customFormat="false" ht="12.8" hidden="false" customHeight="false" outlineLevel="0" collapsed="false">
      <c r="A5" s="198" t="s">
        <v>81</v>
      </c>
      <c r="B5" s="195" t="n">
        <v>150</v>
      </c>
      <c r="C5" s="194"/>
    </row>
    <row r="6" customFormat="false" ht="12.8" hidden="false" customHeight="false" outlineLevel="0" collapsed="false">
      <c r="A6" s="198" t="s">
        <v>82</v>
      </c>
      <c r="B6" s="195" t="n">
        <v>64.66</v>
      </c>
      <c r="C6" s="194"/>
    </row>
    <row r="7" customFormat="false" ht="12.8" hidden="false" customHeight="false" outlineLevel="0" collapsed="false">
      <c r="A7" s="198" t="s">
        <v>83</v>
      </c>
      <c r="B7" s="195" t="n">
        <v>41.89</v>
      </c>
      <c r="C7" s="194"/>
    </row>
    <row r="8" customFormat="false" ht="12.8" hidden="false" customHeight="false" outlineLevel="0" collapsed="false">
      <c r="A8" s="198" t="s">
        <v>84</v>
      </c>
      <c r="B8" s="195" t="n">
        <v>165</v>
      </c>
      <c r="C8" s="194"/>
    </row>
    <row r="9" customFormat="false" ht="12.8" hidden="false" customHeight="false" outlineLevel="0" collapsed="false">
      <c r="A9" s="198" t="s">
        <v>86</v>
      </c>
      <c r="B9" s="195" t="n">
        <v>119.95</v>
      </c>
      <c r="C9" s="194"/>
    </row>
    <row r="10" customFormat="false" ht="12.8" hidden="false" customHeight="false" outlineLevel="0" collapsed="false">
      <c r="A10" s="198" t="s">
        <v>88</v>
      </c>
      <c r="B10" s="195" t="n">
        <v>7.2</v>
      </c>
      <c r="C10" s="194"/>
    </row>
    <row r="11" customFormat="false" ht="12.8" hidden="false" customHeight="false" outlineLevel="0" collapsed="false">
      <c r="A11" s="198" t="s">
        <v>89</v>
      </c>
      <c r="B11" s="195" t="n">
        <v>43.19</v>
      </c>
      <c r="C11" s="194"/>
    </row>
    <row r="12" customFormat="false" ht="12.8" hidden="false" customHeight="false" outlineLevel="0" collapsed="false">
      <c r="A12" s="197" t="s">
        <v>90</v>
      </c>
      <c r="B12" s="195" t="n">
        <v>19.13</v>
      </c>
      <c r="C12" s="194"/>
    </row>
    <row r="13" customFormat="false" ht="12.8" hidden="false" customHeight="false" outlineLevel="0" collapsed="false">
      <c r="A13" s="198" t="s">
        <v>91</v>
      </c>
      <c r="B13" s="195" t="n">
        <v>28.39</v>
      </c>
      <c r="C13" s="194"/>
    </row>
    <row r="14" customFormat="false" ht="12.8" hidden="false" customHeight="false" outlineLevel="0" collapsed="false">
      <c r="A14" s="198" t="s">
        <v>92</v>
      </c>
      <c r="B14" s="195" t="n">
        <v>13.99</v>
      </c>
      <c r="C14" s="194"/>
    </row>
    <row r="15" customFormat="false" ht="12.8" hidden="false" customHeight="false" outlineLevel="0" collapsed="false">
      <c r="A15" s="198" t="s">
        <v>94</v>
      </c>
      <c r="B15" s="195" t="n">
        <v>100</v>
      </c>
      <c r="C15" s="194"/>
    </row>
    <row r="16" customFormat="false" ht="12.8" hidden="false" customHeight="false" outlineLevel="0" collapsed="false">
      <c r="A16" s="198" t="s">
        <v>154</v>
      </c>
      <c r="B16" s="195" t="n">
        <v>1823.73</v>
      </c>
      <c r="C16" s="194"/>
    </row>
    <row r="17" customFormat="false" ht="12.8" hidden="false" customHeight="false" outlineLevel="0" collapsed="false">
      <c r="A17" s="194" t="s">
        <v>278</v>
      </c>
      <c r="B17" s="195" t="n">
        <v>647</v>
      </c>
      <c r="C17" s="194"/>
    </row>
    <row r="18" customFormat="false" ht="12.8" hidden="false" customHeight="false" outlineLevel="0" collapsed="false">
      <c r="A18" s="194" t="s">
        <v>57</v>
      </c>
      <c r="B18" s="195" t="n">
        <v>6.5</v>
      </c>
      <c r="C18" s="194"/>
    </row>
    <row r="19" customFormat="false" ht="12.8" hidden="false" customHeight="false" outlineLevel="0" collapsed="false">
      <c r="A19" s="194" t="s">
        <v>279</v>
      </c>
      <c r="B19" s="195" t="n">
        <v>27.15</v>
      </c>
      <c r="C19" s="194"/>
    </row>
    <row r="20" customFormat="false" ht="12.8" hidden="false" customHeight="false" outlineLevel="0" collapsed="false">
      <c r="A20" s="194" t="s">
        <v>280</v>
      </c>
      <c r="B20" s="195" t="n">
        <v>35.75</v>
      </c>
      <c r="C20" s="194"/>
    </row>
    <row r="21" customFormat="false" ht="12.8" hidden="false" customHeight="false" outlineLevel="0" collapsed="false">
      <c r="A21" s="194" t="s">
        <v>281</v>
      </c>
      <c r="B21" s="195" t="n">
        <v>400</v>
      </c>
      <c r="C21" s="194"/>
    </row>
    <row r="22" customFormat="false" ht="12.8" hidden="false" customHeight="false" outlineLevel="0" collapsed="false">
      <c r="A22" s="194" t="s">
        <v>282</v>
      </c>
      <c r="B22" s="195" t="n">
        <v>400</v>
      </c>
      <c r="C22" s="194"/>
    </row>
    <row r="23" customFormat="false" ht="12.8" hidden="false" customHeight="false" outlineLevel="0" collapsed="false">
      <c r="A23" s="198" t="s">
        <v>196</v>
      </c>
      <c r="B23" s="195" t="n">
        <v>41.22</v>
      </c>
      <c r="C23" s="194"/>
    </row>
    <row r="24" customFormat="false" ht="12.8" hidden="false" customHeight="false" outlineLevel="0" collapsed="false">
      <c r="A24" s="198" t="s">
        <v>197</v>
      </c>
      <c r="B24" s="195" t="n">
        <v>45.9</v>
      </c>
      <c r="C24" s="194"/>
    </row>
    <row r="25" customFormat="false" ht="12.8" hidden="false" customHeight="false" outlineLevel="0" collapsed="false">
      <c r="A25" s="198" t="s">
        <v>198</v>
      </c>
      <c r="B25" s="195" t="n">
        <v>51.29</v>
      </c>
      <c r="C25" s="194"/>
    </row>
    <row r="26" customFormat="false" ht="12.8" hidden="false" customHeight="false" outlineLevel="0" collapsed="false">
      <c r="A26" s="198" t="s">
        <v>199</v>
      </c>
      <c r="B26" s="195" t="n">
        <v>20</v>
      </c>
      <c r="C26" s="194"/>
    </row>
    <row r="27" customFormat="false" ht="12.8" hidden="false" customHeight="false" outlineLevel="0" collapsed="false">
      <c r="A27" s="198" t="s">
        <v>201</v>
      </c>
      <c r="B27" s="195" t="n">
        <v>260</v>
      </c>
      <c r="C27" s="194"/>
    </row>
    <row r="28" customFormat="false" ht="12.8" hidden="false" customHeight="false" outlineLevel="0" collapsed="false">
      <c r="A28" s="197" t="s">
        <v>206</v>
      </c>
      <c r="B28" s="195" t="n">
        <v>2100</v>
      </c>
      <c r="C28" s="194"/>
    </row>
    <row r="29" customFormat="false" ht="12.8" hidden="false" customHeight="false" outlineLevel="0" collapsed="false">
      <c r="A29" s="197" t="s">
        <v>208</v>
      </c>
      <c r="B29" s="195" t="n">
        <v>92</v>
      </c>
      <c r="C29" s="194"/>
    </row>
    <row r="30" customFormat="false" ht="12.8" hidden="false" customHeight="false" outlineLevel="0" collapsed="false">
      <c r="A30" s="197" t="s">
        <v>108</v>
      </c>
      <c r="B30" s="195" t="n">
        <v>247760</v>
      </c>
      <c r="C30" s="194"/>
    </row>
    <row r="31" customFormat="false" ht="12.8" hidden="false" customHeight="false" outlineLevel="0" collapsed="false">
      <c r="A31" s="194" t="s">
        <v>283</v>
      </c>
      <c r="B31" s="195" t="n">
        <v>8</v>
      </c>
      <c r="C31" s="194"/>
    </row>
    <row r="32" customFormat="false" ht="12.8" hidden="false" customHeight="false" outlineLevel="0" collapsed="false">
      <c r="A32" s="194" t="s">
        <v>284</v>
      </c>
      <c r="B32" s="197" t="n">
        <v>14.5</v>
      </c>
      <c r="C32" s="194"/>
    </row>
    <row r="33" customFormat="false" ht="12.8" hidden="false" customHeight="false" outlineLevel="0" collapsed="false">
      <c r="A33" s="3" t="s">
        <v>285</v>
      </c>
      <c r="B33" s="185" t="n">
        <v>5</v>
      </c>
    </row>
    <row r="34" customFormat="false" ht="12.8" hidden="false" customHeight="false" outlineLevel="0" collapsed="false">
      <c r="A34" s="3" t="s">
        <v>286</v>
      </c>
      <c r="B34" s="3" t="n">
        <v>2140</v>
      </c>
    </row>
    <row r="35" customFormat="false" ht="12.8" hidden="false" customHeight="false" outlineLevel="0" collapsed="false">
      <c r="A35" s="3" t="s">
        <v>287</v>
      </c>
      <c r="B35" s="3" t="n">
        <v>400</v>
      </c>
    </row>
    <row r="36" customFormat="false" ht="12.8" hidden="false" customHeight="false" outlineLevel="0" collapsed="false">
      <c r="A36" s="3" t="s">
        <v>288</v>
      </c>
      <c r="B36" s="185" t="n">
        <v>30</v>
      </c>
    </row>
    <row r="37" customFormat="false" ht="12.8" hidden="false" customHeight="false" outlineLevel="0" collapsed="false">
      <c r="A37" s="3" t="s">
        <v>289</v>
      </c>
      <c r="B37" s="3" t="n">
        <v>6.44</v>
      </c>
    </row>
    <row r="38" customFormat="false" ht="12.8" hidden="false" customHeight="false" outlineLevel="0" collapsed="false">
      <c r="A38" s="3" t="s">
        <v>290</v>
      </c>
      <c r="B38" s="3" t="n">
        <v>7.03</v>
      </c>
    </row>
    <row r="39" customFormat="false" ht="12.8" hidden="false" customHeight="false" outlineLevel="0" collapsed="false">
      <c r="A39" s="3" t="s">
        <v>291</v>
      </c>
      <c r="B39" s="116" t="n">
        <v>109.27</v>
      </c>
    </row>
    <row r="40" customFormat="false" ht="12.8" hidden="false" customHeight="false" outlineLevel="0" collapsed="false">
      <c r="A40" s="3" t="s">
        <v>292</v>
      </c>
      <c r="B40" s="3" t="n">
        <v>1621</v>
      </c>
    </row>
    <row r="41" customFormat="false" ht="12.8" hidden="false" customHeight="false" outlineLevel="0" collapsed="false">
      <c r="A41" s="3" t="s">
        <v>293</v>
      </c>
      <c r="B41" s="3" t="n">
        <v>3500</v>
      </c>
    </row>
    <row r="42" customFormat="false" ht="12.8" hidden="false" customHeight="false" outlineLevel="0" collapsed="false">
      <c r="A42" s="3" t="s">
        <v>294</v>
      </c>
      <c r="B42" s="3" t="n">
        <v>36.3</v>
      </c>
    </row>
    <row r="43" customFormat="false" ht="12.8" hidden="false" customHeight="false" outlineLevel="0" collapsed="false">
      <c r="A43" s="3" t="s">
        <v>295</v>
      </c>
      <c r="B43" s="3" t="n">
        <v>54.12</v>
      </c>
    </row>
    <row r="44" customFormat="false" ht="12.8" hidden="false" customHeight="false" outlineLevel="0" collapsed="false">
      <c r="A44" s="3" t="s">
        <v>296</v>
      </c>
      <c r="B44" s="3" t="n">
        <v>47.4</v>
      </c>
    </row>
    <row r="45" customFormat="false" ht="12.8" hidden="false" customHeight="false" outlineLevel="0" collapsed="false">
      <c r="A45" s="3" t="s">
        <v>297</v>
      </c>
      <c r="B45" s="3" t="n">
        <v>36</v>
      </c>
    </row>
    <row r="46" customFormat="false" ht="12.8" hidden="false" customHeight="false" outlineLevel="0" collapsed="false">
      <c r="A46" s="3" t="s">
        <v>298</v>
      </c>
      <c r="B46" s="3" t="n">
        <v>1.32</v>
      </c>
    </row>
    <row r="47" customFormat="false" ht="12.8" hidden="false" customHeight="false" outlineLevel="0" collapsed="false">
      <c r="A47" s="3" t="s">
        <v>299</v>
      </c>
      <c r="B47" s="3" t="n">
        <v>650</v>
      </c>
    </row>
    <row r="48" customFormat="false" ht="12.8" hidden="false" customHeight="false" outlineLevel="0" collapsed="false">
      <c r="A48" s="3" t="s">
        <v>300</v>
      </c>
      <c r="B48" s="3" t="n">
        <v>159.9</v>
      </c>
    </row>
    <row r="49" customFormat="false" ht="12.8" hidden="false" customHeight="false" outlineLevel="0" collapsed="false">
      <c r="A49" s="3" t="s">
        <v>301</v>
      </c>
      <c r="B49" s="3" t="n">
        <v>2194</v>
      </c>
    </row>
    <row r="50" customFormat="false" ht="12.8" hidden="false" customHeight="false" outlineLevel="0" collapsed="false">
      <c r="A50" s="3" t="s">
        <v>302</v>
      </c>
      <c r="B50" s="3" t="n">
        <v>349.9</v>
      </c>
    </row>
    <row r="51" customFormat="false" ht="12.8" hidden="false" customHeight="false" outlineLevel="0" collapsed="false">
      <c r="A51" s="3" t="s">
        <v>303</v>
      </c>
      <c r="B51" s="3" t="n">
        <v>0.5</v>
      </c>
    </row>
    <row r="52" customFormat="false" ht="12.8" hidden="false" customHeight="false" outlineLevel="0" collapsed="false">
      <c r="A52" s="3" t="s">
        <v>304</v>
      </c>
      <c r="B52" s="3" t="n">
        <v>5000</v>
      </c>
    </row>
    <row r="53" customFormat="false" ht="12.8" hidden="false" customHeight="false" outlineLevel="0" collapsed="false">
      <c r="A53" s="3" t="s">
        <v>305</v>
      </c>
      <c r="B53" s="3" t="n">
        <v>150</v>
      </c>
    </row>
    <row r="54" customFormat="false" ht="12.8" hidden="false" customHeight="false" outlineLevel="0" collapsed="false">
      <c r="A54" s="3" t="s">
        <v>306</v>
      </c>
      <c r="B54" s="116" t="n">
        <v>2229</v>
      </c>
    </row>
    <row r="55" customFormat="false" ht="12.8" hidden="false" customHeight="false" outlineLevel="0" collapsed="false">
      <c r="A55" s="3" t="s">
        <v>307</v>
      </c>
      <c r="B55" s="199" t="n">
        <v>256579</v>
      </c>
    </row>
    <row r="56" customFormat="false" ht="12.8" hidden="false" customHeight="false" outlineLevel="0" collapsed="false">
      <c r="A56" s="3" t="s">
        <v>308</v>
      </c>
      <c r="B56" s="185" t="n">
        <v>10000</v>
      </c>
    </row>
    <row r="57" customFormat="false" ht="12.8" hidden="false" customHeight="false" outlineLevel="0" collapsed="false">
      <c r="A57" s="3" t="s">
        <v>309</v>
      </c>
      <c r="B57" s="3" t="n">
        <v>650</v>
      </c>
    </row>
    <row r="58" customFormat="false" ht="12.8" hidden="false" customHeight="false" outlineLevel="0" collapsed="false">
      <c r="A58" s="3" t="s">
        <v>310</v>
      </c>
      <c r="B58" s="3" t="n">
        <v>7.92</v>
      </c>
    </row>
    <row r="59" customFormat="false" ht="12.8" hidden="false" customHeight="false" outlineLevel="0" collapsed="false">
      <c r="A59" s="3" t="s">
        <v>311</v>
      </c>
      <c r="B59" s="3" t="n">
        <f aca="false">(478.55+4*109.29)/5</f>
        <v>183.142</v>
      </c>
    </row>
    <row r="60" customFormat="false" ht="12.8" hidden="false" customHeight="false" outlineLevel="0" collapsed="false">
      <c r="A60" s="3" t="s">
        <v>312</v>
      </c>
      <c r="B60" s="3" t="n">
        <v>2.1</v>
      </c>
    </row>
    <row r="61" customFormat="false" ht="12.8" hidden="false" customHeight="false" outlineLevel="0" collapsed="false">
      <c r="A61" s="3" t="s">
        <v>313</v>
      </c>
      <c r="B61" s="3" t="n">
        <v>16.47</v>
      </c>
    </row>
    <row r="62" customFormat="false" ht="12.8" hidden="false" customHeight="false" outlineLevel="0" collapsed="false">
      <c r="A62" s="3" t="s">
        <v>314</v>
      </c>
      <c r="B62" s="3" t="n">
        <v>12.8</v>
      </c>
    </row>
    <row r="63" customFormat="false" ht="12.8" hidden="false" customHeight="false" outlineLevel="0" collapsed="false">
      <c r="A63" s="3" t="s">
        <v>315</v>
      </c>
      <c r="B63" s="3" t="n">
        <v>65000</v>
      </c>
    </row>
    <row r="64" customFormat="false" ht="12.8" hidden="false" customHeight="false" outlineLevel="0" collapsed="false">
      <c r="A64" s="3" t="s">
        <v>316</v>
      </c>
      <c r="B64" s="3" t="n">
        <f aca="false">1.08*7.33</f>
        <v>7.9164</v>
      </c>
    </row>
    <row r="65" customFormat="false" ht="12.8" hidden="false" customHeight="false" outlineLevel="0" collapsed="false">
      <c r="A65" s="3" t="s">
        <v>317</v>
      </c>
      <c r="B65" s="3" t="n">
        <v>28</v>
      </c>
    </row>
    <row r="66" customFormat="false" ht="12.8" hidden="false" customHeight="false" outlineLevel="0" collapsed="false">
      <c r="A66" s="3" t="s">
        <v>318</v>
      </c>
      <c r="B66" s="185" t="n">
        <f aca="false">B2/30</f>
        <v>100.4</v>
      </c>
    </row>
    <row r="67" customFormat="false" ht="12.8" hidden="false" customHeight="false" outlineLevel="0" collapsed="false">
      <c r="A67" s="3" t="s">
        <v>319</v>
      </c>
      <c r="B67" s="185" t="n">
        <v>80</v>
      </c>
    </row>
    <row r="68" customFormat="false" ht="12.8" hidden="false" customHeight="false" outlineLevel="0" collapsed="false">
      <c r="A68" s="3" t="s">
        <v>320</v>
      </c>
      <c r="B68" s="3" t="n">
        <v>25.52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22" activeCellId="0" sqref="C22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17.69"/>
    <col collapsed="false" customWidth="true" hidden="false" outlineLevel="0" max="2" min="2" style="3" width="36.34"/>
    <col collapsed="false" customWidth="true" hidden="false" outlineLevel="0" max="3" min="3" style="3" width="19.74"/>
    <col collapsed="false" customWidth="true" hidden="false" outlineLevel="0" max="4" min="4" style="3" width="17.13"/>
  </cols>
  <sheetData>
    <row r="1" customFormat="false" ht="12.8" hidden="false" customHeight="false" outlineLevel="0" collapsed="false">
      <c r="A1" s="194" t="s">
        <v>321</v>
      </c>
      <c r="B1" s="194" t="s">
        <v>322</v>
      </c>
      <c r="C1" s="194" t="s">
        <v>323</v>
      </c>
      <c r="D1" s="194" t="s">
        <v>324</v>
      </c>
    </row>
    <row r="2" customFormat="false" ht="12.8" hidden="false" customHeight="false" outlineLevel="0" collapsed="false">
      <c r="A2" s="194" t="s">
        <v>325</v>
      </c>
      <c r="B2" s="194" t="s">
        <v>326</v>
      </c>
      <c r="C2" s="194" t="s">
        <v>327</v>
      </c>
      <c r="D2" s="196" t="n">
        <v>545875</v>
      </c>
    </row>
    <row r="3" customFormat="false" ht="12.8" hidden="false" customHeight="false" outlineLevel="0" collapsed="false">
      <c r="A3" s="194" t="s">
        <v>325</v>
      </c>
      <c r="B3" s="194" t="s">
        <v>328</v>
      </c>
      <c r="C3" s="194" t="s">
        <v>329</v>
      </c>
      <c r="D3" s="196" t="n">
        <v>578293</v>
      </c>
    </row>
    <row r="4" customFormat="false" ht="12.8" hidden="false" customHeight="false" outlineLevel="0" collapsed="false">
      <c r="A4" s="194" t="s">
        <v>325</v>
      </c>
      <c r="B4" s="194" t="s">
        <v>330</v>
      </c>
      <c r="C4" s="194" t="s">
        <v>331</v>
      </c>
      <c r="D4" s="196" t="n">
        <v>629451</v>
      </c>
    </row>
    <row r="5" customFormat="false" ht="12.8" hidden="false" customHeight="false" outlineLevel="0" collapsed="false">
      <c r="A5" s="194" t="s">
        <v>332</v>
      </c>
      <c r="B5" s="194" t="s">
        <v>333</v>
      </c>
      <c r="C5" s="194" t="s">
        <v>334</v>
      </c>
      <c r="D5" s="196" t="n">
        <v>553750</v>
      </c>
    </row>
    <row r="6" customFormat="false" ht="12.8" hidden="false" customHeight="false" outlineLevel="0" collapsed="false">
      <c r="A6" s="194" t="s">
        <v>332</v>
      </c>
      <c r="B6" s="194" t="s">
        <v>335</v>
      </c>
      <c r="C6" s="194" t="s">
        <v>336</v>
      </c>
      <c r="D6" s="196" t="n">
        <v>513800</v>
      </c>
    </row>
    <row r="7" customFormat="false" ht="12.8" hidden="false" customHeight="false" outlineLevel="0" collapsed="false">
      <c r="A7" s="194" t="s">
        <v>337</v>
      </c>
      <c r="B7" s="194" t="s">
        <v>338</v>
      </c>
      <c r="C7" s="194" t="s">
        <v>339</v>
      </c>
      <c r="D7" s="196" t="n">
        <v>454500</v>
      </c>
    </row>
    <row r="8" customFormat="false" ht="12.8" hidden="false" customHeight="false" outlineLevel="0" collapsed="false">
      <c r="A8" s="194" t="s">
        <v>340</v>
      </c>
      <c r="B8" s="194" t="s">
        <v>341</v>
      </c>
      <c r="C8" s="194" t="s">
        <v>342</v>
      </c>
      <c r="D8" s="196" t="n">
        <v>444375</v>
      </c>
    </row>
    <row r="9" customFormat="false" ht="12.8" hidden="false" customHeight="false" outlineLevel="0" collapsed="false">
      <c r="A9" s="194" t="s">
        <v>340</v>
      </c>
      <c r="B9" s="194" t="s">
        <v>343</v>
      </c>
      <c r="C9" s="194" t="s">
        <v>344</v>
      </c>
      <c r="D9" s="196" t="n">
        <v>483750</v>
      </c>
    </row>
    <row r="10" customFormat="false" ht="12.8" hidden="false" customHeight="false" outlineLevel="0" collapsed="false">
      <c r="A10" s="194" t="s">
        <v>345</v>
      </c>
      <c r="B10" s="194" t="s">
        <v>346</v>
      </c>
      <c r="C10" s="194" t="s">
        <v>347</v>
      </c>
      <c r="D10" s="196" t="n">
        <v>627840</v>
      </c>
    </row>
    <row r="12" customFormat="false" ht="12.8" hidden="false" customHeight="false" outlineLevel="0" collapsed="false">
      <c r="A12" s="194" t="s">
        <v>348</v>
      </c>
      <c r="B12" s="200" t="n">
        <f aca="false">AVERAGE(D2:D10)</f>
        <v>536848.222222222</v>
      </c>
    </row>
    <row r="13" customFormat="false" ht="12.8" hidden="false" customHeight="false" outlineLevel="0" collapsed="false">
      <c r="A13" s="194" t="s">
        <v>349</v>
      </c>
      <c r="B13" s="201" t="n">
        <f aca="false">MEDIAN(D2:D10)</f>
        <v>545875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N10" activeCellId="0" sqref="N1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9.58"/>
    <col collapsed="false" customWidth="true" hidden="false" outlineLevel="0" max="2" min="2" style="3" width="5.56"/>
    <col collapsed="false" customWidth="true" hidden="false" outlineLevel="0" max="3" min="3" style="3" width="7.26"/>
    <col collapsed="false" customWidth="true" hidden="false" outlineLevel="0" max="4" min="4" style="3" width="7.88"/>
    <col collapsed="false" customWidth="true" hidden="false" outlineLevel="0" max="5" min="5" style="3" width="17.96"/>
    <col collapsed="false" customWidth="true" hidden="false" outlineLevel="0" max="6" min="6" style="178" width="30.95"/>
    <col collapsed="false" customWidth="true" hidden="false" outlineLevel="0" max="7" min="7" style="3" width="4.31"/>
    <col collapsed="false" customWidth="true" hidden="false" outlineLevel="0" max="8" min="8" style="3" width="9.04"/>
    <col collapsed="false" customWidth="true" hidden="false" outlineLevel="0" max="9" min="9" style="3" width="7.65"/>
    <col collapsed="false" customWidth="true" hidden="false" outlineLevel="0" max="10" min="10" style="3" width="9.15"/>
    <col collapsed="false" customWidth="true" hidden="false" outlineLevel="0" max="11" min="11" style="178" width="29.06"/>
    <col collapsed="false" customWidth="true" hidden="false" outlineLevel="0" max="12" min="12" style="3" width="16.69"/>
    <col collapsed="false" customWidth="true" hidden="false" outlineLevel="0" max="13" min="13" style="3" width="17.99"/>
    <col collapsed="false" customWidth="true" hidden="false" outlineLevel="0" max="14" min="14" style="3" width="19.48"/>
  </cols>
  <sheetData>
    <row r="1" customFormat="false" ht="39.35" hidden="false" customHeight="true" outlineLevel="0" collapsed="false">
      <c r="A1" s="202" t="s">
        <v>350</v>
      </c>
      <c r="B1" s="202"/>
      <c r="C1" s="202" t="s">
        <v>351</v>
      </c>
      <c r="D1" s="202"/>
      <c r="E1" s="202"/>
      <c r="F1" s="202"/>
      <c r="H1" s="202" t="s">
        <v>352</v>
      </c>
      <c r="I1" s="202"/>
      <c r="J1" s="202"/>
      <c r="K1" s="202"/>
      <c r="L1" s="202" t="s">
        <v>353</v>
      </c>
      <c r="M1" s="202" t="s">
        <v>354</v>
      </c>
      <c r="N1" s="202" t="s">
        <v>355</v>
      </c>
    </row>
    <row r="2" customFormat="false" ht="30.9" hidden="false" customHeight="true" outlineLevel="0" collapsed="false">
      <c r="A2" s="203" t="s">
        <v>356</v>
      </c>
      <c r="B2" s="203"/>
      <c r="C2" s="203"/>
      <c r="D2" s="203" t="s">
        <v>357</v>
      </c>
      <c r="E2" s="203" t="s">
        <v>358</v>
      </c>
      <c r="F2" s="204" t="s">
        <v>359</v>
      </c>
      <c r="G2" s="205"/>
      <c r="H2" s="203" t="s">
        <v>356</v>
      </c>
      <c r="I2" s="203" t="s">
        <v>357</v>
      </c>
      <c r="J2" s="203" t="s">
        <v>358</v>
      </c>
      <c r="K2" s="206" t="s">
        <v>359</v>
      </c>
      <c r="L2" s="202"/>
      <c r="M2" s="202"/>
      <c r="N2" s="202"/>
    </row>
    <row r="3" customFormat="false" ht="70.3" hidden="false" customHeight="true" outlineLevel="0" collapsed="false">
      <c r="A3" s="207" t="n">
        <v>1</v>
      </c>
      <c r="B3" s="207"/>
      <c r="C3" s="207"/>
      <c r="D3" s="208" t="s">
        <v>360</v>
      </c>
      <c r="E3" s="208" t="s">
        <v>361</v>
      </c>
      <c r="F3" s="209" t="s">
        <v>362</v>
      </c>
      <c r="G3" s="210"/>
      <c r="H3" s="207" t="n">
        <v>1</v>
      </c>
      <c r="I3" s="208" t="s">
        <v>360</v>
      </c>
      <c r="J3" s="208" t="s">
        <v>363</v>
      </c>
      <c r="K3" s="211" t="s">
        <v>362</v>
      </c>
      <c r="L3" s="212" t="n">
        <v>40.11</v>
      </c>
      <c r="M3" s="212" t="n">
        <f aca="false">L3*3*B13</f>
        <v>522.8625</v>
      </c>
      <c r="N3" s="212" t="n">
        <f aca="false">L3*2*$B$13</f>
        <v>348.575</v>
      </c>
    </row>
    <row r="4" customFormat="false" ht="62.8" hidden="false" customHeight="true" outlineLevel="0" collapsed="false">
      <c r="A4" s="207" t="n">
        <v>2</v>
      </c>
      <c r="B4" s="207"/>
      <c r="C4" s="207"/>
      <c r="D4" s="208" t="s">
        <v>360</v>
      </c>
      <c r="E4" s="208" t="s">
        <v>361</v>
      </c>
      <c r="F4" s="209" t="s">
        <v>364</v>
      </c>
      <c r="G4" s="210"/>
      <c r="H4" s="207" t="n">
        <v>2</v>
      </c>
      <c r="I4" s="208" t="s">
        <v>360</v>
      </c>
      <c r="J4" s="208" t="s">
        <v>363</v>
      </c>
      <c r="K4" s="211" t="s">
        <v>364</v>
      </c>
      <c r="L4" s="212" t="n">
        <v>29.05</v>
      </c>
      <c r="M4" s="212" t="n">
        <f aca="false">L4*3*B13</f>
        <v>378.6875</v>
      </c>
      <c r="N4" s="212" t="n">
        <f aca="false">L4*2*$B$13</f>
        <v>252.458333333333</v>
      </c>
    </row>
    <row r="5" customFormat="false" ht="59.05" hidden="false" customHeight="true" outlineLevel="0" collapsed="false">
      <c r="A5" s="207" t="n">
        <v>3</v>
      </c>
      <c r="B5" s="207"/>
      <c r="C5" s="207"/>
      <c r="D5" s="208" t="s">
        <v>360</v>
      </c>
      <c r="E5" s="208" t="s">
        <v>361</v>
      </c>
      <c r="F5" s="209" t="s">
        <v>365</v>
      </c>
      <c r="G5" s="210"/>
      <c r="H5" s="207" t="n">
        <v>3</v>
      </c>
      <c r="I5" s="208" t="s">
        <v>366</v>
      </c>
      <c r="J5" s="208" t="s">
        <v>363</v>
      </c>
      <c r="K5" s="211" t="s">
        <v>365</v>
      </c>
      <c r="L5" s="212" t="n">
        <v>41.64</v>
      </c>
      <c r="M5" s="212" t="n">
        <f aca="false">L5*3*B13</f>
        <v>542.807142857143</v>
      </c>
      <c r="N5" s="212" t="n">
        <f aca="false">L5*2*$B$13</f>
        <v>361.871428571429</v>
      </c>
    </row>
    <row r="6" customFormat="false" ht="48.75" hidden="false" customHeight="true" outlineLevel="0" collapsed="false">
      <c r="A6" s="207" t="n">
        <v>4</v>
      </c>
      <c r="B6" s="207"/>
      <c r="C6" s="207"/>
      <c r="D6" s="208" t="s">
        <v>360</v>
      </c>
      <c r="E6" s="208" t="s">
        <v>361</v>
      </c>
      <c r="F6" s="209" t="s">
        <v>367</v>
      </c>
      <c r="G6" s="210"/>
      <c r="H6" s="207" t="n">
        <v>4</v>
      </c>
      <c r="I6" s="208" t="s">
        <v>360</v>
      </c>
      <c r="J6" s="208" t="s">
        <v>363</v>
      </c>
      <c r="K6" s="211" t="s">
        <v>367</v>
      </c>
      <c r="L6" s="212" t="n">
        <v>50.97</v>
      </c>
      <c r="M6" s="212" t="n">
        <f aca="false">L6*3*B13</f>
        <v>664.430357142857</v>
      </c>
      <c r="N6" s="212" t="n">
        <f aca="false">L6*2*$B$13</f>
        <v>442.953571428572</v>
      </c>
    </row>
    <row r="7" customFormat="false" ht="56.85" hidden="false" customHeight="true" outlineLevel="0" collapsed="false">
      <c r="A7" s="207" t="n">
        <v>5</v>
      </c>
      <c r="B7" s="207"/>
      <c r="C7" s="207"/>
      <c r="D7" s="208" t="s">
        <v>360</v>
      </c>
      <c r="E7" s="208" t="s">
        <v>368</v>
      </c>
      <c r="F7" s="209" t="s">
        <v>369</v>
      </c>
      <c r="G7" s="210"/>
      <c r="H7" s="207" t="n">
        <v>5</v>
      </c>
      <c r="I7" s="208" t="s">
        <v>360</v>
      </c>
      <c r="J7" s="208" t="s">
        <v>370</v>
      </c>
      <c r="K7" s="211" t="s">
        <v>369</v>
      </c>
      <c r="L7" s="212" t="n">
        <v>23.36</v>
      </c>
      <c r="M7" s="212" t="n">
        <f aca="false">L7*3*B13</f>
        <v>304.514285714286</v>
      </c>
      <c r="N7" s="212" t="n">
        <f aca="false">L7*2*$B$13</f>
        <v>203.009523809524</v>
      </c>
    </row>
    <row r="8" customFormat="false" ht="59.35" hidden="false" customHeight="true" outlineLevel="0" collapsed="false">
      <c r="A8" s="207" t="n">
        <v>6</v>
      </c>
      <c r="B8" s="207"/>
      <c r="C8" s="207"/>
      <c r="D8" s="208" t="s">
        <v>360</v>
      </c>
      <c r="E8" s="208" t="s">
        <v>368</v>
      </c>
      <c r="F8" s="209" t="s">
        <v>371</v>
      </c>
      <c r="G8" s="210"/>
      <c r="H8" s="207" t="n">
        <v>6</v>
      </c>
      <c r="I8" s="208" t="s">
        <v>366</v>
      </c>
      <c r="J8" s="208" t="s">
        <v>370</v>
      </c>
      <c r="K8" s="211" t="s">
        <v>371</v>
      </c>
      <c r="L8" s="212" t="n">
        <v>43.73</v>
      </c>
      <c r="M8" s="212" t="n">
        <f aca="false">L8*3*B13</f>
        <v>570.051785714286</v>
      </c>
      <c r="N8" s="212" t="n">
        <f aca="false">L8*2*$B$13</f>
        <v>380.034523809524</v>
      </c>
    </row>
    <row r="9" customFormat="false" ht="74.35" hidden="false" customHeight="true" outlineLevel="0" collapsed="false">
      <c r="A9" s="207" t="n">
        <v>7</v>
      </c>
      <c r="B9" s="207"/>
      <c r="C9" s="207"/>
      <c r="D9" s="208" t="s">
        <v>360</v>
      </c>
      <c r="E9" s="208" t="s">
        <v>368</v>
      </c>
      <c r="F9" s="209" t="s">
        <v>372</v>
      </c>
      <c r="G9" s="213"/>
      <c r="H9" s="207" t="n">
        <v>7</v>
      </c>
      <c r="I9" s="208" t="s">
        <v>360</v>
      </c>
      <c r="J9" s="208" t="s">
        <v>370</v>
      </c>
      <c r="K9" s="214" t="s">
        <v>373</v>
      </c>
      <c r="L9" s="212" t="n">
        <v>60.1</v>
      </c>
      <c r="M9" s="212" t="n">
        <f aca="false">L9*3*B13</f>
        <v>783.446428571429</v>
      </c>
      <c r="N9" s="212" t="n">
        <f aca="false">L9*2*$B$13</f>
        <v>522.297619047619</v>
      </c>
    </row>
    <row r="10" customFormat="false" ht="26.85" hidden="false" customHeight="true" outlineLevel="0" collapsed="false">
      <c r="A10" s="202" t="s">
        <v>254</v>
      </c>
      <c r="B10" s="202"/>
      <c r="C10" s="202"/>
      <c r="D10" s="202"/>
      <c r="E10" s="202"/>
      <c r="F10" s="202"/>
      <c r="G10" s="202"/>
      <c r="H10" s="202"/>
      <c r="I10" s="202"/>
      <c r="J10" s="202"/>
      <c r="K10" s="202"/>
      <c r="L10" s="202"/>
      <c r="M10" s="212" t="n">
        <f aca="false">SUM(M3:M9)</f>
        <v>3766.8</v>
      </c>
      <c r="N10" s="212" t="n">
        <f aca="false">SUM(N3:N9)</f>
        <v>2511.2</v>
      </c>
    </row>
    <row r="11" customFormat="false" ht="6.25" hidden="false" customHeight="true" outlineLevel="0" collapsed="false">
      <c r="A11" s="202"/>
      <c r="B11" s="202"/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12"/>
      <c r="N11" s="212"/>
    </row>
    <row r="13" customFormat="false" ht="35.05" hidden="false" customHeight="false" outlineLevel="0" collapsed="false">
      <c r="A13" s="178" t="s">
        <v>374</v>
      </c>
      <c r="B13" s="3" t="n">
        <f aca="false">365/12/7</f>
        <v>4.3452380952381</v>
      </c>
    </row>
    <row r="14" customFormat="false" ht="12.8" hidden="false" customHeight="false" outlineLevel="0" collapsed="false">
      <c r="C14" s="215"/>
    </row>
  </sheetData>
  <mergeCells count="16">
    <mergeCell ref="A1:F1"/>
    <mergeCell ref="H1:K1"/>
    <mergeCell ref="L1:L2"/>
    <mergeCell ref="M1:M2"/>
    <mergeCell ref="N1:N2"/>
    <mergeCell ref="A2:C2"/>
    <mergeCell ref="A3:C3"/>
    <mergeCell ref="A4:C4"/>
    <mergeCell ref="A5:C5"/>
    <mergeCell ref="A6:C6"/>
    <mergeCell ref="A7:C7"/>
    <mergeCell ref="A8:C8"/>
    <mergeCell ref="A9:C9"/>
    <mergeCell ref="A10:L11"/>
    <mergeCell ref="M10:M11"/>
    <mergeCell ref="N10:N1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  <colBreaks count="1" manualBreakCount="1">
    <brk id="7" man="true" max="65535" min="0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6" activeCellId="0" sqref="E6"/>
    </sheetView>
  </sheetViews>
  <sheetFormatPr defaultColWidth="11.53515625" defaultRowHeight="12.8" customHeight="false" zeroHeight="false" outlineLevelRow="0" outlineLevelCol="0"/>
  <cols>
    <col collapsed="false" customWidth="false" hidden="false" outlineLevel="0" max="1" min="1" style="216" width="11.53"/>
    <col collapsed="false" customWidth="true" hidden="false" outlineLevel="0" max="2" min="2" style="216" width="41.03"/>
    <col collapsed="false" customWidth="true" hidden="false" outlineLevel="0" max="3" min="3" style="217" width="43.03"/>
    <col collapsed="false" customWidth="true" hidden="false" outlineLevel="0" max="4" min="4" style="217" width="37.55"/>
    <col collapsed="false" customWidth="true" hidden="false" outlineLevel="0" max="5" min="5" style="3" width="37.55"/>
    <col collapsed="false" customWidth="false" hidden="false" outlineLevel="0" max="64" min="6" style="216" width="11.53"/>
  </cols>
  <sheetData>
    <row r="1" customFormat="false" ht="26.25" hidden="false" customHeight="true" outlineLevel="0" collapsed="false">
      <c r="A1" s="218" t="s">
        <v>375</v>
      </c>
      <c r="B1" s="218"/>
      <c r="C1" s="218"/>
      <c r="D1" s="218"/>
      <c r="E1" s="202" t="s">
        <v>353</v>
      </c>
    </row>
    <row r="2" customFormat="false" ht="30.9" hidden="false" customHeight="true" outlineLevel="0" collapsed="false">
      <c r="A2" s="219" t="s">
        <v>356</v>
      </c>
      <c r="B2" s="219" t="s">
        <v>358</v>
      </c>
      <c r="C2" s="220" t="s">
        <v>376</v>
      </c>
      <c r="D2" s="220" t="s">
        <v>359</v>
      </c>
      <c r="E2" s="202"/>
    </row>
    <row r="3" customFormat="false" ht="46.85" hidden="false" customHeight="true" outlineLevel="0" collapsed="false">
      <c r="A3" s="207" t="n">
        <v>1</v>
      </c>
      <c r="B3" s="208" t="s">
        <v>377</v>
      </c>
      <c r="C3" s="211" t="s">
        <v>378</v>
      </c>
      <c r="D3" s="211" t="s">
        <v>379</v>
      </c>
      <c r="E3" s="207" t="n">
        <v>43.78</v>
      </c>
    </row>
    <row r="4" customFormat="false" ht="67.5" hidden="false" customHeight="true" outlineLevel="0" collapsed="false">
      <c r="A4" s="207" t="n">
        <v>2</v>
      </c>
      <c r="B4" s="208" t="s">
        <v>380</v>
      </c>
      <c r="C4" s="211" t="s">
        <v>381</v>
      </c>
      <c r="D4" s="211" t="s">
        <v>382</v>
      </c>
      <c r="E4" s="207" t="n">
        <v>64.52</v>
      </c>
    </row>
    <row r="5" customFormat="false" ht="71.25" hidden="false" customHeight="true" outlineLevel="0" collapsed="false">
      <c r="A5" s="207" t="n">
        <v>3</v>
      </c>
      <c r="B5" s="208" t="s">
        <v>383</v>
      </c>
      <c r="C5" s="211" t="s">
        <v>384</v>
      </c>
      <c r="D5" s="211" t="s">
        <v>385</v>
      </c>
      <c r="E5" s="207" t="n">
        <v>52.24</v>
      </c>
    </row>
    <row r="6" customFormat="false" ht="18.75" hidden="false" customHeight="true" outlineLevel="0" collapsed="false">
      <c r="B6" s="208" t="s">
        <v>386</v>
      </c>
      <c r="C6" s="208"/>
      <c r="D6" s="208"/>
      <c r="E6" s="207" t="n">
        <f aca="false">SUM(E3:E5)</f>
        <v>160.54</v>
      </c>
    </row>
  </sheetData>
  <mergeCells count="2">
    <mergeCell ref="A1:D1"/>
    <mergeCell ref="E1:E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11" activeCellId="0" sqref="B1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4" min="4" style="3" width="13.29"/>
    <col collapsed="false" customWidth="true" hidden="false" outlineLevel="0" max="5" min="5" style="3" width="18.93"/>
    <col collapsed="false" customWidth="true" hidden="false" outlineLevel="0" max="6" min="6" style="3" width="22.68"/>
  </cols>
  <sheetData>
    <row r="1" customFormat="false" ht="12.8" hidden="false" customHeight="false" outlineLevel="0" collapsed="false">
      <c r="A1" s="194" t="s">
        <v>387</v>
      </c>
      <c r="B1" s="194" t="s">
        <v>388</v>
      </c>
      <c r="C1" s="194" t="s">
        <v>389</v>
      </c>
      <c r="D1" s="194" t="s">
        <v>390</v>
      </c>
      <c r="E1" s="194" t="s">
        <v>391</v>
      </c>
      <c r="F1" s="194" t="s">
        <v>392</v>
      </c>
    </row>
    <row r="2" customFormat="false" ht="12.8" hidden="false" customHeight="false" outlineLevel="0" collapsed="false">
      <c r="A2" s="194" t="n">
        <v>5.9</v>
      </c>
      <c r="B2" s="194" t="n">
        <v>1</v>
      </c>
      <c r="C2" s="194" t="n">
        <v>3</v>
      </c>
      <c r="D2" s="194" t="n">
        <v>2</v>
      </c>
      <c r="E2" s="221" t="n">
        <f aca="false">A2*C2*$B$11</f>
        <v>76.9107142857143</v>
      </c>
      <c r="F2" s="221" t="n">
        <f aca="false">A2*D2*$B$11</f>
        <v>51.2738095238095</v>
      </c>
    </row>
    <row r="3" customFormat="false" ht="12.8" hidden="false" customHeight="false" outlineLevel="0" collapsed="false">
      <c r="A3" s="194" t="n">
        <v>2.1</v>
      </c>
      <c r="B3" s="194" t="n">
        <v>2</v>
      </c>
      <c r="C3" s="194" t="n">
        <v>3</v>
      </c>
      <c r="D3" s="194" t="n">
        <v>2</v>
      </c>
      <c r="E3" s="221" t="n">
        <f aca="false">A3*C3*$B$11</f>
        <v>27.375</v>
      </c>
      <c r="F3" s="221" t="n">
        <f aca="false">A3*D3*$B$11</f>
        <v>18.25</v>
      </c>
    </row>
    <row r="4" customFormat="false" ht="12.8" hidden="false" customHeight="false" outlineLevel="0" collapsed="false">
      <c r="A4" s="194" t="n">
        <v>1.6</v>
      </c>
      <c r="B4" s="194" t="n">
        <v>4</v>
      </c>
      <c r="C4" s="194" t="n">
        <v>3</v>
      </c>
      <c r="D4" s="194" t="n">
        <v>2</v>
      </c>
      <c r="E4" s="221" t="n">
        <f aca="false">A4*C4*$B$11</f>
        <v>20.8571428571429</v>
      </c>
      <c r="F4" s="221" t="n">
        <f aca="false">A4*D4*$B$11</f>
        <v>13.9047619047619</v>
      </c>
    </row>
    <row r="5" customFormat="false" ht="12.8" hidden="false" customHeight="false" outlineLevel="0" collapsed="false">
      <c r="A5" s="194" t="n">
        <v>2.9</v>
      </c>
      <c r="B5" s="194" t="n">
        <v>5</v>
      </c>
      <c r="C5" s="194" t="n">
        <v>3</v>
      </c>
      <c r="D5" s="194" t="n">
        <v>2</v>
      </c>
      <c r="E5" s="221" t="n">
        <f aca="false">A5*C5*$B$11</f>
        <v>37.8035714285714</v>
      </c>
      <c r="F5" s="221" t="n">
        <f aca="false">A5*D5*$B$11</f>
        <v>25.202380952381</v>
      </c>
    </row>
    <row r="6" customFormat="false" ht="12.8" hidden="false" customHeight="false" outlineLevel="0" collapsed="false">
      <c r="A6" s="194" t="n">
        <v>10.2</v>
      </c>
      <c r="B6" s="194" t="n">
        <v>6</v>
      </c>
      <c r="C6" s="194" t="n">
        <v>3</v>
      </c>
      <c r="D6" s="194" t="n">
        <v>2</v>
      </c>
      <c r="E6" s="221" t="n">
        <f aca="false">A6*C6*$B$11</f>
        <v>132.964285714286</v>
      </c>
      <c r="F6" s="221" t="n">
        <f aca="false">A6*D6*$B$11</f>
        <v>88.6428571428572</v>
      </c>
    </row>
    <row r="7" customFormat="false" ht="12.8" hidden="false" customHeight="false" outlineLevel="0" collapsed="false">
      <c r="A7" s="194" t="n">
        <v>1.8</v>
      </c>
      <c r="B7" s="194" t="n">
        <v>7</v>
      </c>
      <c r="C7" s="194" t="n">
        <v>3</v>
      </c>
      <c r="D7" s="194" t="n">
        <v>2</v>
      </c>
      <c r="E7" s="221" t="n">
        <f aca="false">A7*C7*$B$11</f>
        <v>23.4642857142857</v>
      </c>
      <c r="F7" s="221" t="n">
        <f aca="false">A7*D7*$B$11</f>
        <v>15.6428571428571</v>
      </c>
    </row>
    <row r="8" customFormat="false" ht="12.8" hidden="false" customHeight="false" outlineLevel="0" collapsed="false">
      <c r="A8" s="222" t="n">
        <f aca="false">SUM(A2:A7)</f>
        <v>24.5</v>
      </c>
      <c r="B8" s="194"/>
      <c r="C8" s="194"/>
      <c r="D8" s="194"/>
      <c r="E8" s="221" t="n">
        <f aca="false">SUM(E2:E7)</f>
        <v>319.375</v>
      </c>
      <c r="F8" s="221" t="n">
        <f aca="false">SUM(F2:F7)</f>
        <v>212.916666666667</v>
      </c>
    </row>
    <row r="9" customFormat="false" ht="12.8" hidden="false" customHeight="false" outlineLevel="0" collapsed="false">
      <c r="D9" s="194" t="s">
        <v>393</v>
      </c>
      <c r="E9" s="221" t="n">
        <f aca="false">1.2*E8</f>
        <v>383.25</v>
      </c>
      <c r="F9" s="221" t="n">
        <f aca="false">1.2*F8</f>
        <v>255.5</v>
      </c>
    </row>
    <row r="10" customFormat="false" ht="12.8" hidden="false" customHeight="false" outlineLevel="0" collapsed="false">
      <c r="D10" s="194" t="s">
        <v>386</v>
      </c>
      <c r="E10" s="221" t="n">
        <f aca="false">E9+E8</f>
        <v>702.625</v>
      </c>
      <c r="F10" s="221" t="n">
        <f aca="false">F9+F8</f>
        <v>468.416666666667</v>
      </c>
    </row>
    <row r="11" customFormat="false" ht="35.05" hidden="false" customHeight="false" outlineLevel="0" collapsed="false">
      <c r="A11" s="178" t="s">
        <v>394</v>
      </c>
      <c r="B11" s="215" t="n">
        <f aca="false">365/12/7</f>
        <v>4.3452380952381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F4" activeCellId="0" sqref="F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2" min="2" style="3" width="14.76"/>
    <col collapsed="false" customWidth="true" hidden="false" outlineLevel="0" max="3" min="3" style="3" width="15.3"/>
    <col collapsed="false" customWidth="true" hidden="false" outlineLevel="0" max="4" min="4" style="178" width="35.2"/>
    <col collapsed="false" customWidth="true" hidden="false" outlineLevel="0" max="5" min="5" style="3" width="23.33"/>
    <col collapsed="false" customWidth="true" hidden="false" outlineLevel="0" max="6" min="6" style="3" width="21.4"/>
  </cols>
  <sheetData>
    <row r="1" customFormat="false" ht="39.35" hidden="false" customHeight="true" outlineLevel="0" collapsed="false">
      <c r="A1" s="202" t="s">
        <v>352</v>
      </c>
      <c r="B1" s="202"/>
      <c r="C1" s="202"/>
      <c r="D1" s="202"/>
      <c r="E1" s="202" t="s">
        <v>353</v>
      </c>
      <c r="F1" s="202" t="s">
        <v>355</v>
      </c>
    </row>
    <row r="2" customFormat="false" ht="30.9" hidden="false" customHeight="true" outlineLevel="0" collapsed="false">
      <c r="A2" s="203" t="s">
        <v>356</v>
      </c>
      <c r="B2" s="203" t="s">
        <v>357</v>
      </c>
      <c r="C2" s="203" t="s">
        <v>358</v>
      </c>
      <c r="D2" s="206" t="s">
        <v>359</v>
      </c>
      <c r="E2" s="202"/>
      <c r="F2" s="202"/>
    </row>
    <row r="3" customFormat="false" ht="70.3" hidden="false" customHeight="true" outlineLevel="0" collapsed="false">
      <c r="A3" s="207" t="s">
        <v>395</v>
      </c>
      <c r="B3" s="208" t="s">
        <v>360</v>
      </c>
      <c r="C3" s="208" t="s">
        <v>396</v>
      </c>
      <c r="D3" s="211" t="s">
        <v>397</v>
      </c>
      <c r="E3" s="212" t="n">
        <v>29</v>
      </c>
      <c r="F3" s="212" t="n">
        <f aca="false">E3*'COLETAS BECOS'!B11</f>
        <v>126.011904761905</v>
      </c>
    </row>
    <row r="4" customFormat="false" ht="26.85" hidden="false" customHeight="true" outlineLevel="0" collapsed="false">
      <c r="A4" s="223" t="s">
        <v>398</v>
      </c>
      <c r="B4" s="223"/>
      <c r="C4" s="223"/>
      <c r="D4" s="223"/>
      <c r="E4" s="202"/>
      <c r="F4" s="212" t="n">
        <f aca="false">SUM(F3)</f>
        <v>126.011904761905</v>
      </c>
    </row>
    <row r="5" customFormat="false" ht="6.25" hidden="false" customHeight="true" outlineLevel="0" collapsed="false">
      <c r="A5" s="223"/>
      <c r="B5" s="223"/>
      <c r="C5" s="223"/>
      <c r="D5" s="223"/>
      <c r="F5" s="212"/>
    </row>
  </sheetData>
  <mergeCells count="5">
    <mergeCell ref="A1:D1"/>
    <mergeCell ref="E1:E2"/>
    <mergeCell ref="F1:F2"/>
    <mergeCell ref="A4:D5"/>
    <mergeCell ref="F4:F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F13" activeCellId="0" sqref="F1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3" width="41.91"/>
    <col collapsed="false" customWidth="true" hidden="false" outlineLevel="0" max="2" min="2" style="3" width="5.58"/>
    <col collapsed="false" customWidth="true" hidden="false" outlineLevel="0" max="3" min="3" style="3" width="10.25"/>
    <col collapsed="false" customWidth="true" hidden="false" outlineLevel="0" max="4" min="4" style="3" width="9.72"/>
    <col collapsed="false" customWidth="true" hidden="false" outlineLevel="0" max="5" min="5" style="224" width="19.21"/>
    <col collapsed="false" customWidth="true" hidden="false" outlineLevel="0" max="6" min="6" style="3" width="11.38"/>
    <col collapsed="false" customWidth="true" hidden="false" outlineLevel="0" max="64" min="7" style="3" width="8.68"/>
  </cols>
  <sheetData>
    <row r="1" customFormat="false" ht="15" hidden="false" customHeight="false" outlineLevel="0" collapsed="false">
      <c r="A1" s="225" t="s">
        <v>399</v>
      </c>
      <c r="B1" s="225"/>
      <c r="C1" s="225"/>
      <c r="D1" s="225"/>
      <c r="E1" s="225"/>
      <c r="F1" s="225"/>
    </row>
    <row r="2" customFormat="false" ht="15" hidden="false" customHeight="false" outlineLevel="0" collapsed="false">
      <c r="A2" s="226"/>
      <c r="B2" s="227"/>
      <c r="C2" s="227"/>
      <c r="D2" s="227"/>
      <c r="E2" s="227"/>
      <c r="F2" s="228"/>
    </row>
    <row r="3" customFormat="false" ht="13.8" hidden="false" customHeight="false" outlineLevel="0" collapsed="false">
      <c r="A3" s="229"/>
      <c r="B3" s="230"/>
      <c r="C3" s="230"/>
      <c r="D3" s="231" t="s">
        <v>400</v>
      </c>
      <c r="E3" s="231"/>
      <c r="F3" s="231"/>
      <c r="G3" s="232"/>
      <c r="H3" s="232"/>
    </row>
    <row r="4" customFormat="false" ht="13.8" hidden="false" customHeight="false" outlineLevel="0" collapsed="false">
      <c r="A4" s="233"/>
      <c r="B4" s="234"/>
      <c r="C4" s="234"/>
      <c r="D4" s="235" t="s">
        <v>401</v>
      </c>
      <c r="E4" s="236" t="s">
        <v>402</v>
      </c>
      <c r="F4" s="237" t="s">
        <v>403</v>
      </c>
      <c r="G4" s="232"/>
      <c r="H4" s="232"/>
    </row>
    <row r="5" customFormat="false" ht="13.8" hidden="false" customHeight="false" outlineLevel="0" collapsed="false">
      <c r="A5" s="238" t="s">
        <v>404</v>
      </c>
      <c r="B5" s="239" t="s">
        <v>405</v>
      </c>
      <c r="C5" s="240" t="n">
        <v>0.0508</v>
      </c>
      <c r="D5" s="241" t="n">
        <v>0.0297</v>
      </c>
      <c r="E5" s="242" t="n">
        <v>0.0508</v>
      </c>
      <c r="F5" s="243" t="n">
        <v>0.0627</v>
      </c>
      <c r="G5" s="232"/>
      <c r="H5" s="232"/>
    </row>
    <row r="6" customFormat="false" ht="13.8" hidden="false" customHeight="false" outlineLevel="0" collapsed="false">
      <c r="A6" s="244" t="s">
        <v>406</v>
      </c>
      <c r="B6" s="245" t="s">
        <v>407</v>
      </c>
      <c r="C6" s="246" t="n">
        <v>0.0133</v>
      </c>
      <c r="D6" s="241" t="n">
        <f aca="false">0.3%+0.56%</f>
        <v>0.0086</v>
      </c>
      <c r="E6" s="242" t="n">
        <f aca="false">0.48%+0.85%</f>
        <v>0.0133</v>
      </c>
      <c r="F6" s="243" t="n">
        <f aca="false">0.82%+0.89%</f>
        <v>0.0171</v>
      </c>
      <c r="G6" s="232"/>
      <c r="H6" s="232"/>
    </row>
    <row r="7" customFormat="false" ht="13.8" hidden="false" customHeight="false" outlineLevel="0" collapsed="false">
      <c r="A7" s="244" t="s">
        <v>408</v>
      </c>
      <c r="B7" s="245" t="s">
        <v>409</v>
      </c>
      <c r="C7" s="246" t="n">
        <v>0.1064</v>
      </c>
      <c r="D7" s="241" t="n">
        <v>0.0778</v>
      </c>
      <c r="E7" s="242" t="n">
        <v>0.1085</v>
      </c>
      <c r="F7" s="243" t="n">
        <v>0.1355</v>
      </c>
      <c r="G7" s="232"/>
      <c r="H7" s="232"/>
    </row>
    <row r="8" customFormat="false" ht="13.8" hidden="false" customHeight="false" outlineLevel="0" collapsed="false">
      <c r="A8" s="244" t="s">
        <v>410</v>
      </c>
      <c r="B8" s="245" t="s">
        <v>411</v>
      </c>
      <c r="C8" s="247" t="n">
        <f aca="false">(1+E8/100)^(E9/252)-1</f>
        <v>0.00809236744575981</v>
      </c>
      <c r="D8" s="241" t="s">
        <v>412</v>
      </c>
      <c r="E8" s="248" t="n">
        <f aca="false">'VALORES BASE'!B32</f>
        <v>14.5</v>
      </c>
      <c r="F8" s="249"/>
      <c r="G8" s="232"/>
      <c r="H8" s="232"/>
    </row>
    <row r="9" customFormat="false" ht="13.8" hidden="false" customHeight="false" outlineLevel="0" collapsed="false">
      <c r="A9" s="244" t="s">
        <v>413</v>
      </c>
      <c r="B9" s="250" t="s">
        <v>366</v>
      </c>
      <c r="C9" s="246" t="n">
        <v>0.03</v>
      </c>
      <c r="D9" s="251" t="s">
        <v>414</v>
      </c>
      <c r="E9" s="252" t="n">
        <v>15</v>
      </c>
      <c r="F9" s="253"/>
      <c r="G9" s="232"/>
      <c r="H9" s="232"/>
    </row>
    <row r="10" customFormat="false" ht="13.8" hidden="false" customHeight="false" outlineLevel="0" collapsed="false">
      <c r="A10" s="254" t="s">
        <v>415</v>
      </c>
      <c r="B10" s="250"/>
      <c r="C10" s="255" t="n">
        <v>0.0365</v>
      </c>
      <c r="D10" s="256"/>
      <c r="E10" s="257"/>
      <c r="F10" s="253"/>
      <c r="G10" s="232"/>
      <c r="H10" s="232"/>
    </row>
    <row r="11" customFormat="false" ht="13.8" hidden="false" customHeight="false" outlineLevel="0" collapsed="false">
      <c r="A11" s="258" t="s">
        <v>416</v>
      </c>
      <c r="B11" s="259"/>
      <c r="C11" s="260"/>
      <c r="D11" s="256"/>
      <c r="E11" s="257"/>
      <c r="F11" s="253"/>
      <c r="G11" s="232"/>
      <c r="H11" s="232"/>
    </row>
    <row r="12" customFormat="false" ht="13.8" hidden="false" customHeight="false" outlineLevel="0" collapsed="false">
      <c r="A12" s="261" t="s">
        <v>417</v>
      </c>
      <c r="B12" s="262"/>
      <c r="C12" s="263"/>
      <c r="D12" s="256"/>
      <c r="E12" s="257"/>
      <c r="F12" s="253"/>
      <c r="G12" s="232"/>
      <c r="H12" s="232"/>
    </row>
    <row r="13" customFormat="false" ht="14.15" hidden="false" customHeight="false" outlineLevel="0" collapsed="false">
      <c r="A13" s="264" t="s">
        <v>418</v>
      </c>
      <c r="B13" s="265"/>
      <c r="C13" s="266" t="n">
        <f aca="false">ROUND((((1+C5+C6)*(1+C7)*(1+C8))/(1-(C9+C10))-1),4)</f>
        <v>0.2714</v>
      </c>
      <c r="D13" s="267" t="n">
        <v>0.2143</v>
      </c>
      <c r="E13" s="268" t="n">
        <v>0.2717</v>
      </c>
      <c r="F13" s="269" t="n">
        <v>0.3362</v>
      </c>
      <c r="G13" s="232"/>
      <c r="H13" s="232"/>
    </row>
  </sheetData>
  <mergeCells count="3">
    <mergeCell ref="A1:F1"/>
    <mergeCell ref="D3:F3"/>
    <mergeCell ref="B9:B10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F9" activeCellId="0" sqref="F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78" width="18.2"/>
    <col collapsed="false" customWidth="true" hidden="false" outlineLevel="0" max="2" min="2" style="3" width="14.14"/>
    <col collapsed="false" customWidth="true" hidden="false" outlineLevel="0" max="3" min="3" style="3" width="16.3"/>
    <col collapsed="false" customWidth="true" hidden="false" outlineLevel="0" max="4" min="4" style="3" width="17.04"/>
    <col collapsed="false" customWidth="true" hidden="false" outlineLevel="0" max="5" min="5" style="3" width="14.48"/>
    <col collapsed="false" customWidth="true" hidden="false" outlineLevel="0" max="6" min="6" style="3" width="15.3"/>
  </cols>
  <sheetData>
    <row r="1" customFormat="false" ht="12.8" hidden="false" customHeight="true" outlineLevel="0" collapsed="false">
      <c r="A1" s="270" t="s">
        <v>419</v>
      </c>
      <c r="B1" s="270"/>
      <c r="C1" s="270"/>
      <c r="D1" s="270"/>
      <c r="E1" s="270"/>
      <c r="F1" s="270"/>
    </row>
    <row r="2" customFormat="false" ht="36.95" hidden="false" customHeight="true" outlineLevel="0" collapsed="false">
      <c r="A2" s="270" t="s">
        <v>420</v>
      </c>
      <c r="B2" s="271" t="s">
        <v>421</v>
      </c>
      <c r="C2" s="271" t="s">
        <v>422</v>
      </c>
      <c r="D2" s="187" t="s">
        <v>423</v>
      </c>
      <c r="E2" s="270" t="s">
        <v>424</v>
      </c>
      <c r="F2" s="187" t="s">
        <v>425</v>
      </c>
    </row>
    <row r="3" customFormat="false" ht="12.9" hidden="false" customHeight="true" outlineLevel="0" collapsed="false">
      <c r="A3" s="179" t="s">
        <v>426</v>
      </c>
      <c r="B3" s="272" t="n">
        <v>4</v>
      </c>
      <c r="C3" s="272" t="n">
        <v>4</v>
      </c>
      <c r="D3" s="194" t="n">
        <v>3</v>
      </c>
      <c r="E3" s="221" t="n">
        <f aca="false">44/6</f>
        <v>7.33333333333333</v>
      </c>
      <c r="F3" s="273" t="n">
        <f aca="false">(C3/B3)*((D3*E3)/44)</f>
        <v>0.5</v>
      </c>
    </row>
    <row r="4" customFormat="false" ht="12.8" hidden="false" customHeight="false" outlineLevel="0" collapsed="false">
      <c r="A4" s="179" t="s">
        <v>427</v>
      </c>
      <c r="B4" s="272" t="n">
        <v>4</v>
      </c>
      <c r="C4" s="272" t="n">
        <v>3</v>
      </c>
      <c r="D4" s="194" t="n">
        <v>3</v>
      </c>
      <c r="E4" s="221" t="n">
        <f aca="false">44/6</f>
        <v>7.33333333333333</v>
      </c>
      <c r="F4" s="273" t="n">
        <f aca="false">(C4/B4)*((D4*E4)/44)</f>
        <v>0.375</v>
      </c>
    </row>
    <row r="5" customFormat="false" ht="12.8" hidden="false" customHeight="false" outlineLevel="0" collapsed="false">
      <c r="A5" s="179"/>
      <c r="B5" s="272"/>
      <c r="C5" s="272"/>
      <c r="D5" s="194"/>
      <c r="E5" s="194"/>
      <c r="F5" s="274" t="n">
        <v>1</v>
      </c>
      <c r="G5" s="3"/>
    </row>
    <row r="6" customFormat="false" ht="12.8" hidden="false" customHeight="true" outlineLevel="0" collapsed="false">
      <c r="A6" s="275" t="s">
        <v>428</v>
      </c>
      <c r="B6" s="275"/>
      <c r="C6" s="275"/>
      <c r="D6" s="275"/>
      <c r="E6" s="275"/>
      <c r="F6" s="275"/>
    </row>
    <row r="7" customFormat="false" ht="23.85" hidden="false" customHeight="false" outlineLevel="0" collapsed="false">
      <c r="A7" s="270" t="s">
        <v>420</v>
      </c>
      <c r="B7" s="271" t="s">
        <v>429</v>
      </c>
      <c r="C7" s="271" t="s">
        <v>430</v>
      </c>
      <c r="D7" s="187" t="s">
        <v>423</v>
      </c>
      <c r="E7" s="270" t="s">
        <v>424</v>
      </c>
      <c r="F7" s="187" t="s">
        <v>425</v>
      </c>
    </row>
    <row r="8" customFormat="false" ht="12.8" hidden="false" customHeight="false" outlineLevel="0" collapsed="false">
      <c r="A8" s="179" t="s">
        <v>431</v>
      </c>
      <c r="B8" s="272" t="n">
        <v>1</v>
      </c>
      <c r="C8" s="272" t="n">
        <v>1</v>
      </c>
      <c r="D8" s="194" t="n">
        <v>6</v>
      </c>
      <c r="E8" s="221" t="n">
        <f aca="false">44/6</f>
        <v>7.33333333333333</v>
      </c>
      <c r="F8" s="273" t="n">
        <f aca="false">(C8/B8)*((D8*E8)/44)</f>
        <v>1</v>
      </c>
    </row>
    <row r="9" customFormat="false" ht="12.8" hidden="false" customHeight="false" outlineLevel="0" collapsed="false">
      <c r="A9" s="194"/>
      <c r="B9" s="194"/>
      <c r="C9" s="194"/>
      <c r="D9" s="194"/>
      <c r="E9" s="194"/>
      <c r="F9" s="274" t="n">
        <f aca="false">SUM(F8)</f>
        <v>1</v>
      </c>
    </row>
    <row r="10" customFormat="false" ht="12.8" hidden="true" customHeight="false" outlineLevel="0" collapsed="false">
      <c r="A10" s="276"/>
      <c r="B10" s="194"/>
      <c r="C10" s="194"/>
      <c r="D10" s="194"/>
      <c r="E10" s="194"/>
      <c r="F10" s="194"/>
    </row>
    <row r="11" customFormat="false" ht="8.55" hidden="false" customHeight="true" outlineLevel="0" collapsed="false">
      <c r="A11" s="277"/>
      <c r="B11" s="278"/>
      <c r="C11" s="278"/>
      <c r="D11" s="278"/>
      <c r="E11" s="278"/>
      <c r="F11" s="278"/>
    </row>
    <row r="12" customFormat="false" ht="12.8" hidden="false" customHeight="true" outlineLevel="0" collapsed="false">
      <c r="A12" s="275" t="s">
        <v>432</v>
      </c>
      <c r="B12" s="275"/>
      <c r="C12" s="275"/>
      <c r="D12" s="275"/>
      <c r="E12" s="275"/>
      <c r="F12" s="275"/>
    </row>
    <row r="13" customFormat="false" ht="35.05" hidden="false" customHeight="false" outlineLevel="0" collapsed="false">
      <c r="A13" s="270" t="s">
        <v>420</v>
      </c>
      <c r="B13" s="271" t="s">
        <v>421</v>
      </c>
      <c r="C13" s="271" t="s">
        <v>422</v>
      </c>
      <c r="D13" s="187" t="s">
        <v>423</v>
      </c>
      <c r="E13" s="270" t="s">
        <v>424</v>
      </c>
      <c r="F13" s="187" t="s">
        <v>425</v>
      </c>
    </row>
    <row r="14" customFormat="false" ht="12.8" hidden="false" customHeight="false" outlineLevel="0" collapsed="false">
      <c r="A14" s="279" t="s">
        <v>433</v>
      </c>
      <c r="B14" s="272" t="n">
        <v>3</v>
      </c>
      <c r="C14" s="272" t="n">
        <v>3</v>
      </c>
      <c r="D14" s="194" t="n">
        <v>2</v>
      </c>
      <c r="E14" s="221" t="n">
        <f aca="false">44/6</f>
        <v>7.33333333333333</v>
      </c>
      <c r="F14" s="273" t="n">
        <f aca="false">(C14/B14)*((D14*E14)/44)</f>
        <v>0.333333333333333</v>
      </c>
    </row>
    <row r="15" customFormat="false" ht="12.8" hidden="false" customHeight="false" outlineLevel="0" collapsed="false">
      <c r="A15" s="280" t="n">
        <v>4</v>
      </c>
      <c r="B15" s="272" t="n">
        <v>3</v>
      </c>
      <c r="C15" s="272" t="n">
        <v>1</v>
      </c>
      <c r="D15" s="194" t="n">
        <v>2</v>
      </c>
      <c r="E15" s="221" t="n">
        <f aca="false">44/6</f>
        <v>7.33333333333333</v>
      </c>
      <c r="F15" s="273" t="n">
        <f aca="false">(C15/B15)*((D15*E15)/44)</f>
        <v>0.111111111111111</v>
      </c>
    </row>
    <row r="16" customFormat="false" ht="12.8" hidden="false" customHeight="false" outlineLevel="0" collapsed="false">
      <c r="A16" s="279" t="s">
        <v>427</v>
      </c>
      <c r="B16" s="272" t="n">
        <v>3</v>
      </c>
      <c r="C16" s="272" t="n">
        <v>3</v>
      </c>
      <c r="D16" s="194" t="n">
        <v>2</v>
      </c>
      <c r="E16" s="221" t="n">
        <f aca="false">44/6</f>
        <v>7.33333333333333</v>
      </c>
      <c r="F16" s="273" t="n">
        <f aca="false">(C16/B16)*((D16*E16)/44)</f>
        <v>0.333333333333333</v>
      </c>
    </row>
    <row r="17" customFormat="false" ht="12.8" hidden="false" customHeight="false" outlineLevel="0" collapsed="false">
      <c r="A17" s="279" t="s">
        <v>434</v>
      </c>
      <c r="B17" s="272" t="n">
        <v>3</v>
      </c>
      <c r="C17" s="272" t="n">
        <v>1</v>
      </c>
      <c r="D17" s="194" t="n">
        <v>0.75</v>
      </c>
      <c r="E17" s="221" t="n">
        <f aca="false">44/6</f>
        <v>7.33333333333333</v>
      </c>
      <c r="F17" s="273" t="n">
        <f aca="false">(C17/B17)*((D17*E17)/44)</f>
        <v>0.0416666666666667</v>
      </c>
    </row>
    <row r="18" customFormat="false" ht="12.8" hidden="false" customHeight="false" outlineLevel="0" collapsed="false">
      <c r="A18" s="279" t="s">
        <v>435</v>
      </c>
      <c r="B18" s="272" t="n">
        <v>3</v>
      </c>
      <c r="C18" s="272" t="n">
        <v>1</v>
      </c>
      <c r="D18" s="194" t="n">
        <v>1</v>
      </c>
      <c r="E18" s="194" t="n">
        <v>3</v>
      </c>
      <c r="F18" s="273" t="n">
        <f aca="false">(C18/B18)*((D18*E18)/44)</f>
        <v>0.0227272727272727</v>
      </c>
    </row>
    <row r="19" customFormat="false" ht="12.8" hidden="false" customHeight="false" outlineLevel="0" collapsed="false">
      <c r="A19" s="179"/>
      <c r="B19" s="272"/>
      <c r="C19" s="272"/>
      <c r="D19" s="194"/>
      <c r="E19" s="194"/>
      <c r="F19" s="274" t="n">
        <v>1</v>
      </c>
    </row>
    <row r="20" customFormat="false" ht="12.8" hidden="false" customHeight="true" outlineLevel="0" collapsed="false">
      <c r="A20" s="275" t="s">
        <v>436</v>
      </c>
      <c r="B20" s="275"/>
      <c r="C20" s="275"/>
      <c r="D20" s="275"/>
      <c r="E20" s="275"/>
      <c r="F20" s="275"/>
    </row>
    <row r="21" customFormat="false" ht="23.85" hidden="false" customHeight="false" outlineLevel="0" collapsed="false">
      <c r="A21" s="270" t="s">
        <v>420</v>
      </c>
      <c r="B21" s="271" t="s">
        <v>429</v>
      </c>
      <c r="C21" s="271" t="s">
        <v>430</v>
      </c>
      <c r="D21" s="187" t="s">
        <v>423</v>
      </c>
      <c r="E21" s="270" t="s">
        <v>424</v>
      </c>
      <c r="F21" s="187" t="s">
        <v>425</v>
      </c>
    </row>
    <row r="22" customFormat="false" ht="12.8" hidden="false" customHeight="false" outlineLevel="0" collapsed="false">
      <c r="A22" s="179" t="s">
        <v>431</v>
      </c>
      <c r="B22" s="272" t="n">
        <v>1</v>
      </c>
      <c r="C22" s="272" t="n">
        <v>1</v>
      </c>
      <c r="D22" s="194" t="n">
        <v>6</v>
      </c>
      <c r="E22" s="221" t="n">
        <f aca="false">44/6</f>
        <v>7.33333333333333</v>
      </c>
      <c r="F22" s="273" t="n">
        <f aca="false">(C22/B22)*((D22*E22)/44)</f>
        <v>1</v>
      </c>
    </row>
    <row r="23" customFormat="false" ht="12.8" hidden="false" customHeight="false" outlineLevel="0" collapsed="false">
      <c r="A23" s="179"/>
      <c r="B23" s="179"/>
      <c r="C23" s="179"/>
      <c r="D23" s="194"/>
      <c r="E23" s="194"/>
      <c r="F23" s="274" t="n">
        <f aca="false">SUM(F22)</f>
        <v>1</v>
      </c>
    </row>
  </sheetData>
  <mergeCells count="4">
    <mergeCell ref="A1:F1"/>
    <mergeCell ref="A6:F6"/>
    <mergeCell ref="A12:F12"/>
    <mergeCell ref="A20:F20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H26" activeCellId="0" sqref="H26"/>
    </sheetView>
  </sheetViews>
  <sheetFormatPr defaultColWidth="11.53515625" defaultRowHeight="12.8" customHeight="false" zeroHeight="false" outlineLevelRow="0" outlineLevelCol="0"/>
  <cols>
    <col collapsed="false" customWidth="false" hidden="false" outlineLevel="0" max="1" min="1" style="216" width="11.53"/>
    <col collapsed="false" customWidth="true" hidden="false" outlineLevel="0" max="2" min="2" style="216" width="49.6"/>
    <col collapsed="false" customWidth="true" hidden="false" outlineLevel="0" max="3" min="3" style="217" width="59.11"/>
    <col collapsed="false" customWidth="false" hidden="false" outlineLevel="0" max="63" min="4" style="216" width="11.53"/>
  </cols>
  <sheetData>
    <row r="1" customFormat="false" ht="26.25" hidden="false" customHeight="true" outlineLevel="0" collapsed="false">
      <c r="A1" s="218" t="s">
        <v>375</v>
      </c>
      <c r="B1" s="218"/>
      <c r="C1" s="218"/>
    </row>
    <row r="2" customFormat="false" ht="30.9" hidden="false" customHeight="true" outlineLevel="0" collapsed="false">
      <c r="A2" s="219" t="s">
        <v>356</v>
      </c>
      <c r="B2" s="219" t="s">
        <v>358</v>
      </c>
      <c r="C2" s="220" t="s">
        <v>437</v>
      </c>
    </row>
    <row r="3" customFormat="false" ht="46.85" hidden="false" customHeight="true" outlineLevel="0" collapsed="false">
      <c r="A3" s="207" t="n">
        <v>1</v>
      </c>
      <c r="B3" s="208" t="s">
        <v>438</v>
      </c>
      <c r="C3" s="211" t="n">
        <v>127</v>
      </c>
    </row>
    <row r="4" customFormat="false" ht="67.5" hidden="false" customHeight="true" outlineLevel="0" collapsed="false">
      <c r="A4" s="207" t="n">
        <v>2</v>
      </c>
      <c r="B4" s="208" t="s">
        <v>439</v>
      </c>
      <c r="C4" s="211" t="n">
        <v>105</v>
      </c>
    </row>
    <row r="5" customFormat="false" ht="18.75" hidden="false" customHeight="true" outlineLevel="0" collapsed="false">
      <c r="B5" s="208" t="s">
        <v>386</v>
      </c>
      <c r="C5" s="208"/>
    </row>
  </sheetData>
  <mergeCells count="1">
    <mergeCell ref="A1:C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7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14" activeCellId="0" sqref="C1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281" width="18.79"/>
    <col collapsed="false" customWidth="true" hidden="false" outlineLevel="0" max="2" min="2" style="281" width="8.34"/>
    <col collapsed="false" customWidth="true" hidden="false" outlineLevel="0" max="3" min="3" style="281" width="24.57"/>
    <col collapsed="false" customWidth="true" hidden="false" outlineLevel="0" max="4" min="4" style="282" width="13.11"/>
    <col collapsed="false" customWidth="true" hidden="false" outlineLevel="0" max="5" min="5" style="281" width="9.15"/>
    <col collapsed="false" customWidth="true" hidden="false" outlineLevel="0" max="6" min="6" style="281" width="21.44"/>
    <col collapsed="false" customWidth="true" hidden="false" outlineLevel="0" max="7" min="7" style="282" width="12.16"/>
    <col collapsed="false" customWidth="false" hidden="false" outlineLevel="0" max="8" min="8" style="281" width="11.53"/>
    <col collapsed="false" customWidth="true" hidden="false" outlineLevel="0" max="9" min="9" style="281" width="22.95"/>
    <col collapsed="false" customWidth="true" hidden="false" outlineLevel="0" max="10" min="10" style="283" width="10.66"/>
    <col collapsed="false" customWidth="false" hidden="false" outlineLevel="0" max="11" min="11" style="185" width="11.53"/>
  </cols>
  <sheetData>
    <row r="1" customFormat="false" ht="22.35" hidden="false" customHeight="true" outlineLevel="0" collapsed="false">
      <c r="A1" s="284" t="s">
        <v>440</v>
      </c>
      <c r="B1" s="284" t="s">
        <v>441</v>
      </c>
      <c r="C1" s="284"/>
      <c r="D1" s="284"/>
      <c r="E1" s="284" t="s">
        <v>442</v>
      </c>
      <c r="F1" s="284"/>
      <c r="G1" s="284"/>
      <c r="H1" s="284" t="s">
        <v>443</v>
      </c>
      <c r="I1" s="284"/>
      <c r="J1" s="284"/>
      <c r="K1" s="285"/>
    </row>
    <row r="2" customFormat="false" ht="26.85" hidden="false" customHeight="true" outlineLevel="0" collapsed="false">
      <c r="A2" s="284"/>
      <c r="B2" s="286" t="s">
        <v>444</v>
      </c>
      <c r="C2" s="286" t="s">
        <v>445</v>
      </c>
      <c r="D2" s="287" t="s">
        <v>446</v>
      </c>
      <c r="E2" s="286" t="s">
        <v>444</v>
      </c>
      <c r="F2" s="286" t="s">
        <v>445</v>
      </c>
      <c r="G2" s="287" t="s">
        <v>446</v>
      </c>
      <c r="H2" s="286" t="s">
        <v>444</v>
      </c>
      <c r="I2" s="286" t="s">
        <v>445</v>
      </c>
      <c r="J2" s="285" t="s">
        <v>446</v>
      </c>
      <c r="K2" s="285" t="s">
        <v>447</v>
      </c>
    </row>
    <row r="3" customFormat="false" ht="48.75" hidden="false" customHeight="true" outlineLevel="0" collapsed="false">
      <c r="A3" s="281" t="s">
        <v>81</v>
      </c>
      <c r="B3" s="288" t="n">
        <v>45748</v>
      </c>
      <c r="C3" s="289" t="s">
        <v>448</v>
      </c>
      <c r="D3" s="282" t="n">
        <v>190</v>
      </c>
      <c r="E3" s="288" t="n">
        <v>45748</v>
      </c>
      <c r="F3" s="290" t="s">
        <v>449</v>
      </c>
      <c r="G3" s="282" t="n">
        <v>150</v>
      </c>
      <c r="H3" s="288" t="n">
        <v>45748</v>
      </c>
      <c r="I3" s="290" t="s">
        <v>450</v>
      </c>
      <c r="J3" s="283" t="n">
        <v>150</v>
      </c>
      <c r="K3" s="185" t="n">
        <f aca="false">MEDIAN(J3,G3,D3)</f>
        <v>150</v>
      </c>
    </row>
    <row r="4" customFormat="false" ht="25.5" hidden="false" customHeight="true" outlineLevel="0" collapsed="false">
      <c r="A4" s="281" t="s">
        <v>82</v>
      </c>
      <c r="B4" s="288" t="n">
        <v>45748</v>
      </c>
      <c r="C4" s="290" t="s">
        <v>451</v>
      </c>
      <c r="D4" s="282" t="n">
        <v>66.9</v>
      </c>
      <c r="E4" s="288" t="n">
        <v>45748</v>
      </c>
      <c r="F4" s="291" t="s">
        <v>449</v>
      </c>
      <c r="G4" s="282" t="n">
        <v>64.66</v>
      </c>
      <c r="H4" s="288" t="n">
        <v>45748</v>
      </c>
      <c r="I4" s="290" t="s">
        <v>452</v>
      </c>
      <c r="J4" s="283" t="n">
        <v>50</v>
      </c>
      <c r="K4" s="185" t="n">
        <f aca="false">MEDIAN(J4,G4,D4)</f>
        <v>64.66</v>
      </c>
    </row>
    <row r="5" customFormat="false" ht="25.5" hidden="false" customHeight="true" outlineLevel="0" collapsed="false">
      <c r="A5" s="281" t="s">
        <v>83</v>
      </c>
      <c r="B5" s="288" t="n">
        <v>45748</v>
      </c>
      <c r="C5" s="290" t="s">
        <v>453</v>
      </c>
      <c r="D5" s="282" t="n">
        <v>36.5</v>
      </c>
      <c r="E5" s="288" t="n">
        <v>45748</v>
      </c>
      <c r="F5" s="291" t="s">
        <v>449</v>
      </c>
      <c r="G5" s="282" t="n">
        <v>41.89</v>
      </c>
      <c r="H5" s="288" t="n">
        <v>45748</v>
      </c>
      <c r="I5" s="290" t="s">
        <v>454</v>
      </c>
      <c r="J5" s="283" t="n">
        <v>43.9</v>
      </c>
      <c r="K5" s="185" t="n">
        <f aca="false">MEDIAN(J5,G5,D5)</f>
        <v>41.89</v>
      </c>
    </row>
    <row r="6" customFormat="false" ht="25.5" hidden="false" customHeight="true" outlineLevel="0" collapsed="false">
      <c r="A6" s="281" t="s">
        <v>455</v>
      </c>
      <c r="B6" s="288" t="n">
        <v>45799</v>
      </c>
      <c r="C6" s="290" t="s">
        <v>456</v>
      </c>
      <c r="D6" s="282" t="n">
        <v>169.9</v>
      </c>
      <c r="E6" s="288" t="n">
        <v>45799</v>
      </c>
      <c r="F6" s="291" t="s">
        <v>457</v>
      </c>
      <c r="G6" s="282" t="n">
        <v>139.9</v>
      </c>
      <c r="H6" s="288" t="n">
        <v>45799</v>
      </c>
      <c r="I6" s="290" t="s">
        <v>458</v>
      </c>
      <c r="J6" s="283" t="n">
        <v>165</v>
      </c>
      <c r="K6" s="185" t="n">
        <f aca="false">MEDIAN(J6,G6,D6)</f>
        <v>165</v>
      </c>
    </row>
    <row r="7" customFormat="false" ht="25.5" hidden="false" customHeight="true" outlineLevel="0" collapsed="false">
      <c r="A7" s="281" t="s">
        <v>86</v>
      </c>
      <c r="B7" s="288" t="n">
        <v>45748</v>
      </c>
      <c r="C7" s="290" t="s">
        <v>449</v>
      </c>
      <c r="D7" s="282" t="n">
        <v>126.32</v>
      </c>
      <c r="E7" s="288" t="n">
        <v>45748</v>
      </c>
      <c r="F7" s="291" t="s">
        <v>459</v>
      </c>
      <c r="G7" s="282" t="n">
        <v>119.95</v>
      </c>
      <c r="H7" s="288" t="n">
        <v>45748</v>
      </c>
      <c r="I7" s="290" t="s">
        <v>450</v>
      </c>
      <c r="J7" s="283" t="n">
        <v>97.55</v>
      </c>
      <c r="K7" s="185" t="n">
        <f aca="false">MEDIAN(J7,G7,D7)</f>
        <v>119.95</v>
      </c>
    </row>
    <row r="8" customFormat="false" ht="25.5" hidden="false" customHeight="true" outlineLevel="0" collapsed="false">
      <c r="A8" s="281" t="s">
        <v>88</v>
      </c>
      <c r="B8" s="288" t="n">
        <v>45748</v>
      </c>
      <c r="C8" s="290" t="s">
        <v>460</v>
      </c>
      <c r="D8" s="282" t="n">
        <v>9.86</v>
      </c>
      <c r="E8" s="288" t="n">
        <v>45748</v>
      </c>
      <c r="F8" s="291" t="s">
        <v>461</v>
      </c>
      <c r="G8" s="282" t="n">
        <v>7.2</v>
      </c>
      <c r="H8" s="288" t="n">
        <v>45748</v>
      </c>
      <c r="I8" s="290" t="s">
        <v>459</v>
      </c>
      <c r="J8" s="283" t="n">
        <v>6.15</v>
      </c>
      <c r="K8" s="185" t="n">
        <f aca="false">MEDIAN(J8,G8,D8)</f>
        <v>7.2</v>
      </c>
    </row>
    <row r="9" customFormat="false" ht="35" hidden="false" customHeight="true" outlineLevel="0" collapsed="false">
      <c r="A9" s="281" t="s">
        <v>89</v>
      </c>
      <c r="B9" s="288" t="n">
        <v>45748</v>
      </c>
      <c r="C9" s="290" t="s">
        <v>459</v>
      </c>
      <c r="D9" s="282" t="n">
        <v>47.38</v>
      </c>
      <c r="E9" s="288" t="n">
        <v>45748</v>
      </c>
      <c r="F9" s="291" t="s">
        <v>449</v>
      </c>
      <c r="G9" s="282" t="n">
        <v>43.19</v>
      </c>
      <c r="H9" s="288" t="n">
        <v>45748</v>
      </c>
      <c r="I9" s="290" t="s">
        <v>462</v>
      </c>
      <c r="J9" s="283" t="n">
        <v>21.56</v>
      </c>
      <c r="K9" s="185" t="n">
        <f aca="false">MEDIAN(J9,G9,D9)</f>
        <v>43.19</v>
      </c>
    </row>
    <row r="10" customFormat="false" ht="25.5" hidden="false" customHeight="true" outlineLevel="0" collapsed="false">
      <c r="A10" s="281" t="s">
        <v>90</v>
      </c>
      <c r="B10" s="288" t="n">
        <v>45748</v>
      </c>
      <c r="C10" s="290" t="s">
        <v>459</v>
      </c>
      <c r="D10" s="282" t="n">
        <v>19.13</v>
      </c>
      <c r="E10" s="288" t="n">
        <v>45748</v>
      </c>
      <c r="F10" s="291" t="s">
        <v>463</v>
      </c>
      <c r="G10" s="282" t="n">
        <v>17.7</v>
      </c>
      <c r="H10" s="288" t="n">
        <v>45748</v>
      </c>
      <c r="I10" s="290" t="s">
        <v>464</v>
      </c>
      <c r="J10" s="283" t="n">
        <v>19.9</v>
      </c>
      <c r="K10" s="185" t="n">
        <f aca="false">MEDIAN(J10,G10,D10)</f>
        <v>19.13</v>
      </c>
    </row>
    <row r="11" customFormat="false" ht="25.5" hidden="false" customHeight="true" outlineLevel="0" collapsed="false">
      <c r="A11" s="281" t="s">
        <v>91</v>
      </c>
      <c r="B11" s="288" t="n">
        <v>45748</v>
      </c>
      <c r="C11" s="290" t="s">
        <v>463</v>
      </c>
      <c r="D11" s="282" t="n">
        <v>28.39</v>
      </c>
      <c r="E11" s="288" t="n">
        <v>45748</v>
      </c>
      <c r="F11" s="291" t="s">
        <v>459</v>
      </c>
      <c r="G11" s="282" t="n">
        <v>27.04</v>
      </c>
      <c r="H11" s="288" t="n">
        <v>45748</v>
      </c>
      <c r="I11" s="290" t="s">
        <v>465</v>
      </c>
      <c r="J11" s="283" t="n">
        <v>29.9</v>
      </c>
      <c r="K11" s="185" t="n">
        <f aca="false">MEDIAN(J11,G11,D11)</f>
        <v>28.39</v>
      </c>
    </row>
    <row r="12" customFormat="false" ht="25.5" hidden="false" customHeight="true" outlineLevel="0" collapsed="false">
      <c r="A12" s="281" t="s">
        <v>92</v>
      </c>
      <c r="B12" s="288" t="n">
        <v>45748</v>
      </c>
      <c r="C12" s="290" t="s">
        <v>466</v>
      </c>
      <c r="D12" s="282" t="n">
        <v>13.9</v>
      </c>
      <c r="E12" s="288" t="n">
        <v>45748</v>
      </c>
      <c r="F12" s="291" t="s">
        <v>459</v>
      </c>
      <c r="G12" s="282" t="n">
        <v>15.5</v>
      </c>
      <c r="H12" s="288" t="n">
        <v>45748</v>
      </c>
      <c r="I12" s="290" t="s">
        <v>467</v>
      </c>
      <c r="J12" s="283" t="n">
        <v>13.99</v>
      </c>
      <c r="K12" s="185" t="n">
        <f aca="false">MEDIAN(J12,G12,D12)</f>
        <v>13.99</v>
      </c>
    </row>
    <row r="13" customFormat="false" ht="25.5" hidden="false" customHeight="true" outlineLevel="0" collapsed="false">
      <c r="A13" s="292" t="s">
        <v>196</v>
      </c>
      <c r="B13" s="288" t="n">
        <v>45748</v>
      </c>
      <c r="C13" s="290" t="s">
        <v>468</v>
      </c>
      <c r="D13" s="282" t="n">
        <v>40.18</v>
      </c>
      <c r="E13" s="288" t="n">
        <v>45748</v>
      </c>
      <c r="F13" s="291" t="s">
        <v>469</v>
      </c>
      <c r="G13" s="282" t="n">
        <v>56</v>
      </c>
      <c r="H13" s="288" t="n">
        <v>45748</v>
      </c>
      <c r="I13" s="290" t="s">
        <v>450</v>
      </c>
      <c r="J13" s="283" t="n">
        <v>41.22</v>
      </c>
      <c r="K13" s="185" t="n">
        <f aca="false">MEDIAN(J13,G13,D13)</f>
        <v>41.22</v>
      </c>
    </row>
    <row r="14" customFormat="false" ht="25.5" hidden="false" customHeight="true" outlineLevel="0" collapsed="false">
      <c r="A14" s="292" t="s">
        <v>197</v>
      </c>
      <c r="B14" s="288" t="n">
        <v>45748</v>
      </c>
      <c r="C14" s="290" t="s">
        <v>470</v>
      </c>
      <c r="D14" s="282" t="n">
        <v>41.99</v>
      </c>
      <c r="E14" s="288" t="n">
        <v>45748</v>
      </c>
      <c r="F14" s="291" t="s">
        <v>467</v>
      </c>
      <c r="G14" s="282" t="n">
        <v>45.9</v>
      </c>
      <c r="H14" s="288" t="n">
        <v>45748</v>
      </c>
      <c r="I14" s="290" t="s">
        <v>471</v>
      </c>
      <c r="J14" s="283" t="n">
        <v>60.82</v>
      </c>
      <c r="K14" s="185" t="n">
        <f aca="false">MEDIAN(J14,G14,D14)</f>
        <v>45.9</v>
      </c>
    </row>
    <row r="15" customFormat="false" ht="25.5" hidden="false" customHeight="true" outlineLevel="0" collapsed="false">
      <c r="A15" s="292" t="s">
        <v>198</v>
      </c>
      <c r="B15" s="288" t="n">
        <v>45748</v>
      </c>
      <c r="C15" s="290" t="s">
        <v>449</v>
      </c>
      <c r="D15" s="282" t="n">
        <v>51.29</v>
      </c>
      <c r="E15" s="288" t="n">
        <v>45748</v>
      </c>
      <c r="F15" s="291" t="s">
        <v>472</v>
      </c>
      <c r="G15" s="282" t="n">
        <v>52.79</v>
      </c>
      <c r="H15" s="288" t="n">
        <v>45748</v>
      </c>
      <c r="I15" s="290" t="s">
        <v>473</v>
      </c>
      <c r="J15" s="283" t="n">
        <v>43.2</v>
      </c>
      <c r="K15" s="185" t="n">
        <f aca="false">MEDIAN(J15,G15,D15)</f>
        <v>51.29</v>
      </c>
    </row>
    <row r="16" customFormat="false" ht="25.5" hidden="false" customHeight="true" outlineLevel="0" collapsed="false">
      <c r="A16" s="281" t="s">
        <v>474</v>
      </c>
      <c r="B16" s="288" t="n">
        <v>45748</v>
      </c>
      <c r="C16" s="290" t="s">
        <v>475</v>
      </c>
      <c r="D16" s="282" t="n">
        <v>1955.44</v>
      </c>
      <c r="E16" s="288" t="n">
        <v>45748</v>
      </c>
      <c r="F16" s="291" t="s">
        <v>476</v>
      </c>
      <c r="G16" s="282" t="n">
        <v>1823.73</v>
      </c>
      <c r="H16" s="288" t="n">
        <v>45748</v>
      </c>
      <c r="I16" s="290" t="s">
        <v>477</v>
      </c>
      <c r="J16" s="283" t="n">
        <v>1695</v>
      </c>
      <c r="K16" s="185" t="n">
        <f aca="false">MEDIAN(J16,G16,D16)</f>
        <v>1823.73</v>
      </c>
    </row>
    <row r="17" customFormat="false" ht="25.5" hidden="false" customHeight="true" outlineLevel="0" collapsed="false">
      <c r="A17" s="281" t="s">
        <v>478</v>
      </c>
      <c r="B17" s="288" t="n">
        <v>45796</v>
      </c>
      <c r="C17" s="290" t="s">
        <v>450</v>
      </c>
      <c r="D17" s="282" t="n">
        <v>389.9</v>
      </c>
      <c r="E17" s="288" t="n">
        <v>45796</v>
      </c>
      <c r="F17" s="291" t="s">
        <v>479</v>
      </c>
      <c r="G17" s="282" t="n">
        <v>349.9</v>
      </c>
      <c r="H17" s="288" t="n">
        <v>45796</v>
      </c>
      <c r="I17" s="290" t="s">
        <v>475</v>
      </c>
      <c r="J17" s="283" t="n">
        <v>329.9</v>
      </c>
      <c r="K17" s="185" t="n">
        <f aca="false">MEDIAN(J17,G17,D17)</f>
        <v>349.9</v>
      </c>
    </row>
    <row r="18" customFormat="false" ht="25.5" hidden="false" customHeight="true" outlineLevel="0" collapsed="false">
      <c r="A18" s="281" t="s">
        <v>480</v>
      </c>
      <c r="B18" s="288" t="n">
        <v>45751</v>
      </c>
      <c r="C18" s="290" t="s">
        <v>481</v>
      </c>
      <c r="D18" s="282" t="n">
        <v>6.44</v>
      </c>
      <c r="E18" s="288" t="n">
        <v>45751</v>
      </c>
      <c r="F18" s="293" t="s">
        <v>482</v>
      </c>
      <c r="G18" s="282" t="n">
        <v>6.16</v>
      </c>
      <c r="H18" s="288"/>
      <c r="K18" s="185" t="n">
        <v>6.44</v>
      </c>
    </row>
    <row r="19" customFormat="false" ht="25.5" hidden="false" customHeight="true" outlineLevel="0" collapsed="false">
      <c r="A19" s="281" t="s">
        <v>483</v>
      </c>
      <c r="B19" s="288" t="n">
        <v>45751</v>
      </c>
      <c r="C19" s="290" t="s">
        <v>484</v>
      </c>
      <c r="D19" s="282" t="n">
        <v>34.5</v>
      </c>
      <c r="E19" s="288" t="n">
        <v>45751</v>
      </c>
      <c r="F19" s="291" t="s">
        <v>485</v>
      </c>
      <c r="G19" s="282" t="n">
        <v>36.3</v>
      </c>
      <c r="H19" s="288" t="n">
        <v>45751</v>
      </c>
      <c r="I19" s="290" t="s">
        <v>486</v>
      </c>
      <c r="J19" s="283" t="n">
        <v>36.75</v>
      </c>
      <c r="K19" s="185" t="n">
        <f aca="false">MEDIAN(J19,G19,D19)</f>
        <v>36.3</v>
      </c>
    </row>
    <row r="20" customFormat="false" ht="25.5" hidden="false" customHeight="true" outlineLevel="0" collapsed="false">
      <c r="A20" s="281" t="s">
        <v>487</v>
      </c>
      <c r="B20" s="288" t="n">
        <v>45751</v>
      </c>
      <c r="C20" s="290" t="s">
        <v>449</v>
      </c>
      <c r="D20" s="282" t="n">
        <v>42</v>
      </c>
      <c r="E20" s="288" t="n">
        <v>45751</v>
      </c>
      <c r="F20" s="291" t="s">
        <v>488</v>
      </c>
      <c r="G20" s="282" t="n">
        <v>54.12</v>
      </c>
      <c r="H20" s="288" t="n">
        <v>45751</v>
      </c>
      <c r="I20" s="290" t="s">
        <v>489</v>
      </c>
      <c r="J20" s="283" t="n">
        <v>72.06</v>
      </c>
      <c r="K20" s="185" t="n">
        <f aca="false">MEDIAN(J20,G20,D20)</f>
        <v>54.12</v>
      </c>
    </row>
    <row r="21" customFormat="false" ht="25.5" hidden="false" customHeight="true" outlineLevel="0" collapsed="false">
      <c r="A21" s="281" t="s">
        <v>490</v>
      </c>
      <c r="B21" s="288" t="n">
        <v>45751</v>
      </c>
      <c r="C21" s="290" t="s">
        <v>488</v>
      </c>
      <c r="D21" s="282" t="n">
        <v>53.89</v>
      </c>
      <c r="E21" s="288" t="n">
        <v>45751</v>
      </c>
      <c r="F21" s="291" t="s">
        <v>491</v>
      </c>
      <c r="G21" s="282" t="n">
        <v>44.91</v>
      </c>
      <c r="H21" s="288" t="n">
        <v>45751</v>
      </c>
      <c r="I21" s="290" t="s">
        <v>492</v>
      </c>
      <c r="J21" s="283" t="n">
        <v>47.4</v>
      </c>
      <c r="K21" s="185" t="n">
        <f aca="false">MEDIAN(J21,G21,D21)</f>
        <v>47.4</v>
      </c>
    </row>
    <row r="22" customFormat="false" ht="25.5" hidden="false" customHeight="true" outlineLevel="0" collapsed="false">
      <c r="A22" s="281" t="s">
        <v>493</v>
      </c>
      <c r="B22" s="288" t="n">
        <v>45751</v>
      </c>
      <c r="C22" s="290" t="s">
        <v>492</v>
      </c>
      <c r="D22" s="282" t="n">
        <v>36</v>
      </c>
      <c r="E22" s="288" t="n">
        <v>45751</v>
      </c>
      <c r="F22" s="291" t="s">
        <v>494</v>
      </c>
      <c r="G22" s="282" t="n">
        <v>28.74</v>
      </c>
      <c r="H22" s="288" t="n">
        <v>45751</v>
      </c>
      <c r="I22" s="290" t="s">
        <v>495</v>
      </c>
      <c r="J22" s="283" t="n">
        <v>40</v>
      </c>
      <c r="K22" s="185" t="n">
        <f aca="false">MEDIAN(J22,G22,D22)</f>
        <v>36</v>
      </c>
    </row>
    <row r="23" customFormat="false" ht="25.5" hidden="false" customHeight="true" outlineLevel="0" collapsed="false">
      <c r="A23" s="281" t="s">
        <v>496</v>
      </c>
      <c r="B23" s="288" t="n">
        <v>45799</v>
      </c>
      <c r="C23" s="290" t="s">
        <v>497</v>
      </c>
      <c r="D23" s="282" t="n">
        <v>880</v>
      </c>
      <c r="E23" s="288" t="n">
        <v>45799</v>
      </c>
      <c r="F23" s="290" t="s">
        <v>449</v>
      </c>
      <c r="G23" s="282" t="n">
        <v>647</v>
      </c>
      <c r="H23" s="288" t="n">
        <v>45799</v>
      </c>
      <c r="I23" s="290" t="s">
        <v>498</v>
      </c>
      <c r="J23" s="283" t="n">
        <v>529.46</v>
      </c>
      <c r="K23" s="185" t="n">
        <f aca="false">MEDIAN(J23,G23,D23)</f>
        <v>647</v>
      </c>
    </row>
    <row r="24" customFormat="false" ht="25.5" hidden="false" customHeight="true" outlineLevel="0" collapsed="false"/>
    <row r="25" customFormat="false" ht="25.5" hidden="false" customHeight="true" outlineLevel="0" collapsed="false"/>
    <row r="26" customFormat="false" ht="25.5" hidden="false" customHeight="true" outlineLevel="0" collapsed="false"/>
    <row r="27" customFormat="false" ht="25.5" hidden="false" customHeight="true" outlineLevel="0" collapsed="false"/>
    <row r="28" customFormat="false" ht="25.5" hidden="false" customHeight="true" outlineLevel="0" collapsed="false"/>
    <row r="29" customFormat="false" ht="25.5" hidden="false" customHeight="true" outlineLevel="0" collapsed="false"/>
    <row r="30" customFormat="false" ht="25.5" hidden="false" customHeight="true" outlineLevel="0" collapsed="false"/>
    <row r="31" customFormat="false" ht="25.5" hidden="false" customHeight="true" outlineLevel="0" collapsed="false"/>
    <row r="32" customFormat="false" ht="25.5" hidden="false" customHeight="true" outlineLevel="0" collapsed="false"/>
    <row r="33" customFormat="false" ht="25.5" hidden="false" customHeight="true" outlineLevel="0" collapsed="false"/>
    <row r="34" customFormat="false" ht="25.5" hidden="false" customHeight="true" outlineLevel="0" collapsed="false"/>
    <row r="35" customFormat="false" ht="25.5" hidden="false" customHeight="true" outlineLevel="0" collapsed="false"/>
    <row r="36" customFormat="false" ht="25.5" hidden="false" customHeight="true" outlineLevel="0" collapsed="false"/>
    <row r="37" customFormat="false" ht="25.5" hidden="false" customHeight="true" outlineLevel="0" collapsed="false"/>
    <row r="38" customFormat="false" ht="25.5" hidden="false" customHeight="true" outlineLevel="0" collapsed="false"/>
    <row r="39" customFormat="false" ht="25.5" hidden="false" customHeight="true" outlineLevel="0" collapsed="false"/>
    <row r="40" customFormat="false" ht="25.5" hidden="false" customHeight="true" outlineLevel="0" collapsed="false"/>
    <row r="41" customFormat="false" ht="25.5" hidden="false" customHeight="true" outlineLevel="0" collapsed="false"/>
    <row r="42" customFormat="false" ht="25.5" hidden="false" customHeight="true" outlineLevel="0" collapsed="false"/>
    <row r="43" customFormat="false" ht="25.5" hidden="false" customHeight="true" outlineLevel="0" collapsed="false"/>
    <row r="44" customFormat="false" ht="25.5" hidden="false" customHeight="true" outlineLevel="0" collapsed="false"/>
    <row r="45" customFormat="false" ht="25.5" hidden="false" customHeight="true" outlineLevel="0" collapsed="false"/>
    <row r="46" customFormat="false" ht="25.5" hidden="false" customHeight="true" outlineLevel="0" collapsed="false"/>
    <row r="47" customFormat="false" ht="25.5" hidden="false" customHeight="true" outlineLevel="0" collapsed="false"/>
    <row r="48" customFormat="false" ht="25.5" hidden="false" customHeight="true" outlineLevel="0" collapsed="false"/>
    <row r="49" customFormat="false" ht="25.5" hidden="false" customHeight="true" outlineLevel="0" collapsed="false"/>
    <row r="50" customFormat="false" ht="25.5" hidden="false" customHeight="true" outlineLevel="0" collapsed="false"/>
    <row r="51" customFormat="false" ht="25.5" hidden="false" customHeight="true" outlineLevel="0" collapsed="false"/>
    <row r="52" customFormat="false" ht="25.5" hidden="false" customHeight="true" outlineLevel="0" collapsed="false"/>
    <row r="53" customFormat="false" ht="25.5" hidden="false" customHeight="true" outlineLevel="0" collapsed="false"/>
    <row r="54" customFormat="false" ht="25.5" hidden="false" customHeight="true" outlineLevel="0" collapsed="false"/>
    <row r="55" customFormat="false" ht="25.5" hidden="false" customHeight="true" outlineLevel="0" collapsed="false"/>
    <row r="56" customFormat="false" ht="25.5" hidden="false" customHeight="true" outlineLevel="0" collapsed="false"/>
    <row r="57" customFormat="false" ht="25.5" hidden="false" customHeight="true" outlineLevel="0" collapsed="false"/>
    <row r="58" customFormat="false" ht="25.5" hidden="false" customHeight="true" outlineLevel="0" collapsed="false"/>
    <row r="59" customFormat="false" ht="25.5" hidden="false" customHeight="true" outlineLevel="0" collapsed="false"/>
    <row r="60" customFormat="false" ht="25.5" hidden="false" customHeight="true" outlineLevel="0" collapsed="false"/>
    <row r="61" customFormat="false" ht="25.5" hidden="false" customHeight="true" outlineLevel="0" collapsed="false"/>
    <row r="62" customFormat="false" ht="25.5" hidden="false" customHeight="true" outlineLevel="0" collapsed="false"/>
    <row r="63" customFormat="false" ht="25.5" hidden="false" customHeight="true" outlineLevel="0" collapsed="false"/>
    <row r="64" customFormat="false" ht="25.5" hidden="false" customHeight="true" outlineLevel="0" collapsed="false"/>
    <row r="65" customFormat="false" ht="25.5" hidden="false" customHeight="true" outlineLevel="0" collapsed="false"/>
    <row r="66" customFormat="false" ht="25.5" hidden="false" customHeight="true" outlineLevel="0" collapsed="false"/>
    <row r="67" customFormat="false" ht="25.5" hidden="false" customHeight="true" outlineLevel="0" collapsed="false"/>
    <row r="68" customFormat="false" ht="25.5" hidden="false" customHeight="true" outlineLevel="0" collapsed="false"/>
    <row r="69" customFormat="false" ht="25.5" hidden="false" customHeight="true" outlineLevel="0" collapsed="false"/>
    <row r="70" customFormat="false" ht="25.5" hidden="false" customHeight="true" outlineLevel="0" collapsed="false"/>
    <row r="71" customFormat="false" ht="25.5" hidden="false" customHeight="true" outlineLevel="0" collapsed="false"/>
    <row r="72" customFormat="false" ht="25.5" hidden="false" customHeight="true" outlineLevel="0" collapsed="false"/>
    <row r="73" customFormat="false" ht="25.5" hidden="false" customHeight="true" outlineLevel="0" collapsed="false"/>
    <row r="74" customFormat="false" ht="25.5" hidden="false" customHeight="true" outlineLevel="0" collapsed="false"/>
  </sheetData>
  <mergeCells count="4">
    <mergeCell ref="A1:A2"/>
    <mergeCell ref="B1:D1"/>
    <mergeCell ref="E1:G1"/>
    <mergeCell ref="H1:J1"/>
  </mergeCells>
  <hyperlinks>
    <hyperlink ref="C3" r:id="rId1" display="https://www.ebconfeccao.com.br"/>
    <hyperlink ref="F3" r:id="rId2" display="https://produto.mercadolivre.com.br"/>
    <hyperlink ref="I3" r:id="rId3" display="https://www.magazineluiza.com.br"/>
    <hyperlink ref="C4" r:id="rId4" display="https://www.jamiluniformes.com.br"/>
    <hyperlink ref="F4" r:id="rId5" display="https://produto.mercadolivre.com.br"/>
    <hyperlink ref="I4" r:id="rId6" display="https://www.fardasexpress.com.br"/>
    <hyperlink ref="C5" r:id="rId7" display="https://tulypauniformes.com.br"/>
    <hyperlink ref="F5" r:id="rId8" display="https://produto.mercadolivre.com.br"/>
    <hyperlink ref="I5" r:id="rId9" display="https://www.j7uniformesprofissionais.com.br"/>
    <hyperlink ref="C6" r:id="rId10" display="https://ellepsun.com.br"/>
    <hyperlink ref="F6" r:id="rId11" display="https://www.uvline.com.br"/>
    <hyperlink ref="I6" r:id="rId12" display="https://loja.suncover.com.br"/>
    <hyperlink ref="C7" r:id="rId13" display="https://produto.mercadolivre.com.br"/>
    <hyperlink ref="F7" r:id="rId14" display="https://www.superepi.com.br"/>
    <hyperlink ref="I7" r:id="rId15" display="https://www.magazineluiza.com.br"/>
    <hyperlink ref="C8" r:id="rId16" display="https://disapar.com.br"/>
    <hyperlink ref="F8" r:id="rId17" display="https://outletdoepi.com"/>
    <hyperlink ref="I8" r:id="rId18" display="https://www.superepi.com.br"/>
    <hyperlink ref="C9" r:id="rId19" display="https://www.superepi.com.br"/>
    <hyperlink ref="F9" r:id="rId20" display="https://produto.mercadolivre.com.br"/>
    <hyperlink ref="I9" r:id="rId21" display="https://www.lojas360.com.br/"/>
    <hyperlink ref="C10" r:id="rId22" display="https://www.superepi.com.br"/>
    <hyperlink ref="F10" r:id="rId23" display="https://www.astrodistribuidora.com"/>
    <hyperlink ref="I10" r:id="rId24" display="https://www.armazemdoepi.com.bR"/>
    <hyperlink ref="C11" r:id="rId25" display="https://www.astrodistribuidora.com"/>
    <hyperlink ref="F11" r:id="rId26" display="https://www.superepi.com.br"/>
    <hyperlink ref="I11" r:id="rId27" display="https://www.multiepis.com.br"/>
    <hyperlink ref="C12" r:id="rId28" display="https://www.oceanob2b.com"/>
    <hyperlink ref="F12" r:id="rId29" display="https://www.superepi.com.br"/>
    <hyperlink ref="I12" r:id="rId30" display="https://www.lojadomecanico.com.br"/>
    <hyperlink ref="C13" r:id="rId31" display="https://www.polodoepi.com.br"/>
    <hyperlink ref="F13" r:id="rId32" display="https://www.zigferramentas.com.br"/>
    <hyperlink ref="I13" r:id="rId33" display="https://www.magazineluiza.com.br"/>
    <hyperlink ref="C14" r:id="rId34" display="https://www.fg.com.br"/>
    <hyperlink ref="F14" r:id="rId35" display="https://www.lojadomecanico.com.br"/>
    <hyperlink ref="I14" r:id="rId36" display="https://www.mabore.com.br"/>
    <hyperlink ref="C15" r:id="rId37" display="https://produto.mercadolivre.com.br"/>
    <hyperlink ref="F15" r:id="rId38" display="https://www.castronaves.com.br"/>
    <hyperlink ref="I15" r:id="rId39" display="https://www.coimbra.ind.br"/>
    <hyperlink ref="C16" r:id="rId40" display="https://www.pneustore.com.br"/>
    <hyperlink ref="F16" r:id="rId41" display="https://www.bellenzier.com.b"/>
    <hyperlink ref="I16" r:id="rId42" display="https://www.pneubest.com.br"/>
    <hyperlink ref="C17" r:id="rId43" display="https://www.magazineluiza.com.br"/>
    <hyperlink ref="F17" r:id="rId44" display="https://www.casasbahia.com.br"/>
    <hyperlink ref="I17" r:id="rId45" display="https://www.pneustore.com.br"/>
    <hyperlink ref="C18" r:id="rId46" display="https://precos.petrobras.com.br"/>
    <hyperlink ref="C19" r:id="rId47" display="https://www.importvans.com"/>
    <hyperlink ref="F19" r:id="rId48" display="https://www.dpaschoal.com.br"/>
    <hyperlink ref="I19" r:id="rId49" display="https://www.unifreiospecas.com.br"/>
    <hyperlink ref="C20" r:id="rId50" display="https://produto.mercadolivre.com.br"/>
    <hyperlink ref="F20" r:id="rId51" display="https://www.loja.aptacaminhoes.com.br"/>
    <hyperlink ref="I20" r:id="rId52" display="https://www.autopecastiete.com.br"/>
    <hyperlink ref="C21" r:id="rId53" display="https://www.loja.aptacaminhoes.com.br"/>
    <hyperlink ref="F21" r:id="rId54" display="https://www.armazemautopecas.com.br"/>
    <hyperlink ref="I21" r:id="rId55" display="https://www.lfmaquinaseferramentas.com.br"/>
    <hyperlink ref="C22" r:id="rId56" display="https://www.lfmaquinaseferramentas.com.br"/>
    <hyperlink ref="F22" r:id="rId57" display="https://www.incorzul.com.br"/>
    <hyperlink ref="I22" r:id="rId58" display="https://loja.dispetral.com.br"/>
    <hyperlink ref="C23" r:id="rId59" display="https://someacessorios.com.br"/>
    <hyperlink ref="F23" r:id="rId60" display="https://produto.mercadolivre.com.br"/>
    <hyperlink ref="I23" r:id="rId61" display="https://www.acessoriosjltudoparaonibus.com.br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5" activeCellId="0" sqref="C5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58.35"/>
    <col collapsed="false" customWidth="true" hidden="false" outlineLevel="0" max="2" min="2" style="116" width="11.15"/>
    <col collapsed="false" customWidth="true" hidden="false" outlineLevel="0" max="3" min="3" style="116" width="16.69"/>
    <col collapsed="false" customWidth="true" hidden="false" outlineLevel="0" max="64" min="4" style="116" width="9.14"/>
    <col collapsed="false" customWidth="true" hidden="false" outlineLevel="0" max="1024" min="65" style="3" width="9.14"/>
  </cols>
  <sheetData>
    <row r="1" customFormat="false" ht="17.35" hidden="false" customHeight="false" outlineLevel="0" collapsed="false">
      <c r="A1" s="294" t="s">
        <v>499</v>
      </c>
      <c r="B1" s="294"/>
      <c r="C1" s="294"/>
    </row>
    <row r="2" customFormat="false" ht="17.35" hidden="false" customHeight="false" outlineLevel="0" collapsed="false">
      <c r="A2" s="295"/>
      <c r="B2" s="296"/>
      <c r="C2" s="297"/>
    </row>
    <row r="3" customFormat="false" ht="13.8" hidden="false" customHeight="false" outlineLevel="0" collapsed="false">
      <c r="A3" s="298" t="s">
        <v>500</v>
      </c>
      <c r="B3" s="299" t="s">
        <v>501</v>
      </c>
      <c r="C3" s="300" t="s">
        <v>502</v>
      </c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301"/>
      <c r="AN3" s="301"/>
      <c r="AO3" s="301"/>
      <c r="AP3" s="301"/>
      <c r="AQ3" s="301"/>
      <c r="AR3" s="301"/>
      <c r="AS3" s="301"/>
      <c r="AT3" s="301"/>
      <c r="AU3" s="301"/>
      <c r="AV3" s="301"/>
      <c r="AW3" s="301"/>
      <c r="AX3" s="301"/>
      <c r="AY3" s="301"/>
      <c r="AZ3" s="301"/>
      <c r="BA3" s="301"/>
      <c r="BB3" s="301"/>
      <c r="BC3" s="301"/>
      <c r="BD3" s="301"/>
      <c r="BE3" s="301"/>
      <c r="BF3" s="301"/>
      <c r="BG3" s="301"/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01"/>
      <c r="CH3" s="301"/>
      <c r="CI3" s="301"/>
      <c r="CJ3" s="301"/>
      <c r="CK3" s="301"/>
      <c r="CL3" s="301"/>
      <c r="CM3" s="301"/>
      <c r="CN3" s="301"/>
      <c r="CO3" s="301"/>
      <c r="CP3" s="301"/>
      <c r="CQ3" s="301"/>
      <c r="CR3" s="301"/>
      <c r="CS3" s="301"/>
      <c r="CT3" s="301"/>
      <c r="CU3" s="301"/>
      <c r="CV3" s="301"/>
      <c r="CW3" s="301"/>
      <c r="CX3" s="301"/>
      <c r="CY3" s="301"/>
      <c r="CZ3" s="301"/>
      <c r="DA3" s="301"/>
      <c r="DB3" s="301"/>
      <c r="DC3" s="301"/>
      <c r="DD3" s="301"/>
      <c r="DE3" s="301"/>
      <c r="DF3" s="301"/>
      <c r="DG3" s="301"/>
      <c r="DH3" s="301"/>
      <c r="DI3" s="301"/>
      <c r="DJ3" s="301"/>
      <c r="DK3" s="301"/>
      <c r="DL3" s="301"/>
      <c r="DM3" s="301"/>
      <c r="DN3" s="301"/>
      <c r="DO3" s="301"/>
      <c r="DP3" s="301"/>
      <c r="DQ3" s="301"/>
      <c r="DR3" s="301"/>
      <c r="DS3" s="301"/>
      <c r="DT3" s="301"/>
      <c r="DU3" s="301"/>
      <c r="DV3" s="301"/>
      <c r="DW3" s="301"/>
      <c r="DX3" s="301"/>
      <c r="DY3" s="301"/>
      <c r="DZ3" s="301"/>
      <c r="EA3" s="301"/>
      <c r="EB3" s="301"/>
      <c r="EC3" s="301"/>
      <c r="ED3" s="301"/>
      <c r="EE3" s="301"/>
      <c r="EF3" s="301"/>
      <c r="EG3" s="301"/>
      <c r="EH3" s="301"/>
      <c r="EI3" s="301"/>
      <c r="EJ3" s="301"/>
      <c r="EK3" s="301"/>
      <c r="EL3" s="301"/>
      <c r="EM3" s="301"/>
      <c r="EN3" s="301"/>
      <c r="EO3" s="301"/>
      <c r="EP3" s="301"/>
      <c r="EQ3" s="301"/>
      <c r="ER3" s="301"/>
      <c r="ES3" s="301"/>
      <c r="ET3" s="301"/>
      <c r="EU3" s="301"/>
      <c r="EV3" s="301"/>
      <c r="EW3" s="301"/>
      <c r="EX3" s="301"/>
      <c r="EY3" s="301"/>
      <c r="EZ3" s="301"/>
      <c r="FA3" s="301"/>
      <c r="FB3" s="301"/>
      <c r="FC3" s="301"/>
      <c r="FD3" s="301"/>
      <c r="FE3" s="301"/>
      <c r="FF3" s="301"/>
      <c r="FG3" s="301"/>
      <c r="FH3" s="301"/>
      <c r="FI3" s="301"/>
      <c r="FJ3" s="301"/>
      <c r="FK3" s="301"/>
      <c r="FL3" s="301"/>
      <c r="FM3" s="301"/>
      <c r="FN3" s="301"/>
      <c r="FO3" s="301"/>
      <c r="FP3" s="301"/>
      <c r="FQ3" s="301"/>
      <c r="FR3" s="301"/>
      <c r="FS3" s="301"/>
      <c r="FT3" s="301"/>
      <c r="FU3" s="301"/>
      <c r="FV3" s="301"/>
      <c r="FW3" s="301"/>
      <c r="FX3" s="301"/>
      <c r="FY3" s="301"/>
      <c r="FZ3" s="301"/>
      <c r="GA3" s="301"/>
      <c r="GB3" s="301"/>
      <c r="GC3" s="301"/>
      <c r="GD3" s="301"/>
      <c r="GE3" s="301"/>
      <c r="GF3" s="301"/>
      <c r="GG3" s="301"/>
      <c r="GH3" s="301"/>
      <c r="GI3" s="301"/>
      <c r="GJ3" s="301"/>
      <c r="GK3" s="301"/>
      <c r="GL3" s="301"/>
      <c r="GM3" s="301"/>
      <c r="GN3" s="301"/>
      <c r="GO3" s="301"/>
      <c r="GP3" s="301"/>
      <c r="GQ3" s="301"/>
      <c r="GR3" s="301"/>
      <c r="GS3" s="301"/>
      <c r="GT3" s="301"/>
      <c r="GU3" s="301"/>
      <c r="GV3" s="301"/>
      <c r="GW3" s="301"/>
      <c r="GX3" s="301"/>
      <c r="GY3" s="301"/>
      <c r="GZ3" s="301"/>
      <c r="HA3" s="301"/>
      <c r="HB3" s="301"/>
      <c r="HC3" s="301"/>
      <c r="HD3" s="301"/>
      <c r="HE3" s="301"/>
      <c r="HF3" s="301"/>
      <c r="HG3" s="301"/>
      <c r="HH3" s="301"/>
      <c r="HI3" s="301"/>
      <c r="HJ3" s="301"/>
      <c r="HK3" s="301"/>
      <c r="HL3" s="301"/>
      <c r="HM3" s="301"/>
      <c r="HN3" s="301"/>
      <c r="HO3" s="301"/>
      <c r="HP3" s="301"/>
      <c r="HQ3" s="301"/>
      <c r="HR3" s="301"/>
      <c r="HS3" s="301"/>
      <c r="HT3" s="301"/>
      <c r="HU3" s="301"/>
      <c r="HV3" s="301"/>
      <c r="HW3" s="301"/>
      <c r="HX3" s="301"/>
      <c r="HY3" s="301"/>
      <c r="HZ3" s="301"/>
      <c r="IA3" s="301"/>
      <c r="IB3" s="301"/>
      <c r="IC3" s="301"/>
      <c r="ID3" s="301"/>
      <c r="IE3" s="301"/>
      <c r="IF3" s="301"/>
      <c r="IG3" s="301"/>
      <c r="IH3" s="301"/>
      <c r="II3" s="301"/>
      <c r="IJ3" s="301"/>
      <c r="IK3" s="301"/>
      <c r="IL3" s="301"/>
      <c r="IM3" s="301"/>
      <c r="IN3" s="301"/>
      <c r="IO3" s="301"/>
      <c r="IP3" s="301"/>
      <c r="IQ3" s="301"/>
      <c r="IR3" s="301"/>
      <c r="IS3" s="301"/>
      <c r="IT3" s="301"/>
      <c r="IU3" s="301"/>
      <c r="IV3" s="301"/>
      <c r="IW3" s="301"/>
      <c r="IX3" s="301"/>
      <c r="IY3" s="301"/>
      <c r="IZ3" s="301"/>
      <c r="JA3" s="301"/>
      <c r="JB3" s="301"/>
      <c r="JC3" s="301"/>
      <c r="JD3" s="301"/>
      <c r="JE3" s="301"/>
      <c r="JF3" s="301"/>
      <c r="JG3" s="301"/>
      <c r="JH3" s="301"/>
      <c r="JI3" s="301"/>
      <c r="JJ3" s="301"/>
      <c r="JK3" s="301"/>
      <c r="JL3" s="301"/>
      <c r="JM3" s="301"/>
      <c r="JN3" s="301"/>
      <c r="JO3" s="301"/>
      <c r="JP3" s="301"/>
      <c r="JQ3" s="301"/>
      <c r="JR3" s="301"/>
      <c r="JS3" s="301"/>
      <c r="JT3" s="301"/>
      <c r="JU3" s="301"/>
      <c r="JV3" s="301"/>
      <c r="JW3" s="301"/>
      <c r="JX3" s="301"/>
      <c r="JY3" s="301"/>
      <c r="JZ3" s="301"/>
      <c r="KA3" s="301"/>
      <c r="KB3" s="301"/>
      <c r="KC3" s="301"/>
      <c r="KD3" s="301"/>
      <c r="KE3" s="301"/>
      <c r="KF3" s="301"/>
      <c r="KG3" s="301"/>
      <c r="KH3" s="301"/>
      <c r="KI3" s="301"/>
      <c r="KJ3" s="301"/>
      <c r="KK3" s="301"/>
      <c r="KL3" s="301"/>
      <c r="KM3" s="301"/>
      <c r="KN3" s="301"/>
      <c r="KO3" s="301"/>
      <c r="KP3" s="301"/>
      <c r="KQ3" s="301"/>
      <c r="KR3" s="301"/>
      <c r="KS3" s="301"/>
      <c r="KT3" s="301"/>
      <c r="KU3" s="301"/>
      <c r="KV3" s="301"/>
      <c r="KW3" s="301"/>
      <c r="KX3" s="301"/>
      <c r="KY3" s="301"/>
      <c r="KZ3" s="301"/>
      <c r="LA3" s="301"/>
      <c r="LB3" s="301"/>
      <c r="LC3" s="301"/>
      <c r="LD3" s="301"/>
      <c r="LE3" s="301"/>
      <c r="LF3" s="301"/>
      <c r="LG3" s="301"/>
      <c r="LH3" s="301"/>
      <c r="LI3" s="301"/>
      <c r="LJ3" s="301"/>
      <c r="LK3" s="301"/>
      <c r="LL3" s="301"/>
      <c r="LM3" s="301"/>
      <c r="LN3" s="301"/>
      <c r="LO3" s="301"/>
      <c r="LP3" s="301"/>
      <c r="LQ3" s="301"/>
      <c r="LR3" s="301"/>
      <c r="LS3" s="301"/>
      <c r="LT3" s="301"/>
      <c r="LU3" s="301"/>
      <c r="LV3" s="301"/>
      <c r="LW3" s="301"/>
      <c r="LX3" s="301"/>
      <c r="LY3" s="301"/>
      <c r="LZ3" s="301"/>
      <c r="MA3" s="301"/>
      <c r="MB3" s="301"/>
      <c r="MC3" s="301"/>
      <c r="MD3" s="301"/>
      <c r="ME3" s="301"/>
      <c r="MF3" s="301"/>
      <c r="MG3" s="301"/>
      <c r="MH3" s="301"/>
      <c r="MI3" s="301"/>
      <c r="MJ3" s="301"/>
      <c r="MK3" s="301"/>
      <c r="ML3" s="301"/>
      <c r="MM3" s="301"/>
      <c r="MN3" s="301"/>
      <c r="MO3" s="301"/>
      <c r="MP3" s="301"/>
      <c r="MQ3" s="301"/>
      <c r="MR3" s="301"/>
      <c r="MS3" s="301"/>
      <c r="MT3" s="301"/>
      <c r="MU3" s="301"/>
      <c r="MV3" s="301"/>
      <c r="MW3" s="301"/>
      <c r="MX3" s="301"/>
      <c r="MY3" s="301"/>
      <c r="MZ3" s="301"/>
      <c r="NA3" s="301"/>
      <c r="NB3" s="301"/>
      <c r="NC3" s="301"/>
      <c r="ND3" s="301"/>
      <c r="NE3" s="301"/>
      <c r="NF3" s="301"/>
      <c r="NG3" s="301"/>
      <c r="NH3" s="301"/>
      <c r="NI3" s="301"/>
      <c r="NJ3" s="301"/>
      <c r="NK3" s="301"/>
      <c r="NL3" s="301"/>
      <c r="NM3" s="301"/>
      <c r="NN3" s="301"/>
      <c r="NO3" s="301"/>
      <c r="NP3" s="301"/>
      <c r="NQ3" s="301"/>
      <c r="NR3" s="301"/>
      <c r="NS3" s="301"/>
      <c r="NT3" s="301"/>
      <c r="NU3" s="301"/>
      <c r="NV3" s="301"/>
      <c r="NW3" s="301"/>
      <c r="NX3" s="301"/>
      <c r="NY3" s="301"/>
      <c r="NZ3" s="301"/>
      <c r="OA3" s="301"/>
      <c r="OB3" s="301"/>
      <c r="OC3" s="301"/>
      <c r="OD3" s="301"/>
      <c r="OE3" s="301"/>
      <c r="OF3" s="301"/>
      <c r="OG3" s="301"/>
      <c r="OH3" s="301"/>
      <c r="OI3" s="301"/>
      <c r="OJ3" s="301"/>
      <c r="OK3" s="301"/>
      <c r="OL3" s="301"/>
      <c r="OM3" s="301"/>
      <c r="ON3" s="301"/>
      <c r="OO3" s="301"/>
      <c r="OP3" s="301"/>
      <c r="OQ3" s="301"/>
      <c r="OR3" s="301"/>
      <c r="OS3" s="301"/>
      <c r="OT3" s="301"/>
      <c r="OU3" s="301"/>
      <c r="OV3" s="301"/>
      <c r="OW3" s="301"/>
      <c r="OX3" s="301"/>
      <c r="OY3" s="301"/>
      <c r="OZ3" s="301"/>
      <c r="PA3" s="301"/>
      <c r="PB3" s="301"/>
      <c r="PC3" s="301"/>
      <c r="PD3" s="301"/>
      <c r="PE3" s="301"/>
      <c r="PF3" s="301"/>
      <c r="PG3" s="301"/>
      <c r="PH3" s="301"/>
      <c r="PI3" s="301"/>
      <c r="PJ3" s="301"/>
      <c r="PK3" s="301"/>
      <c r="PL3" s="301"/>
      <c r="PM3" s="301"/>
      <c r="PN3" s="301"/>
      <c r="PO3" s="301"/>
      <c r="PP3" s="301"/>
      <c r="PQ3" s="301"/>
      <c r="PR3" s="301"/>
      <c r="PS3" s="301"/>
      <c r="PT3" s="301"/>
      <c r="PU3" s="301"/>
      <c r="PV3" s="301"/>
      <c r="PW3" s="301"/>
      <c r="PX3" s="301"/>
      <c r="PY3" s="301"/>
      <c r="PZ3" s="301"/>
      <c r="QA3" s="301"/>
      <c r="QB3" s="301"/>
      <c r="QC3" s="301"/>
      <c r="QD3" s="301"/>
      <c r="QE3" s="301"/>
      <c r="QF3" s="301"/>
      <c r="QG3" s="301"/>
      <c r="QH3" s="301"/>
      <c r="QI3" s="301"/>
      <c r="QJ3" s="301"/>
      <c r="QK3" s="301"/>
      <c r="QL3" s="301"/>
      <c r="QM3" s="301"/>
      <c r="QN3" s="301"/>
      <c r="QO3" s="301"/>
      <c r="QP3" s="301"/>
      <c r="QQ3" s="301"/>
      <c r="QR3" s="301"/>
      <c r="QS3" s="301"/>
      <c r="QT3" s="301"/>
      <c r="QU3" s="301"/>
      <c r="QV3" s="301"/>
      <c r="QW3" s="301"/>
      <c r="QX3" s="301"/>
      <c r="QY3" s="301"/>
      <c r="QZ3" s="301"/>
      <c r="RA3" s="301"/>
      <c r="RB3" s="301"/>
      <c r="RC3" s="301"/>
      <c r="RD3" s="301"/>
      <c r="RE3" s="301"/>
      <c r="RF3" s="301"/>
      <c r="RG3" s="301"/>
      <c r="RH3" s="301"/>
      <c r="RI3" s="301"/>
      <c r="RJ3" s="301"/>
      <c r="RK3" s="301"/>
      <c r="RL3" s="301"/>
      <c r="RM3" s="301"/>
      <c r="RN3" s="301"/>
      <c r="RO3" s="301"/>
      <c r="RP3" s="301"/>
      <c r="RQ3" s="301"/>
      <c r="RR3" s="301"/>
      <c r="RS3" s="301"/>
      <c r="RT3" s="301"/>
      <c r="RU3" s="301"/>
      <c r="RV3" s="301"/>
      <c r="RW3" s="301"/>
      <c r="RX3" s="301"/>
      <c r="RY3" s="301"/>
      <c r="RZ3" s="301"/>
      <c r="SA3" s="301"/>
      <c r="SB3" s="301"/>
      <c r="SC3" s="301"/>
      <c r="SD3" s="301"/>
      <c r="SE3" s="301"/>
      <c r="SF3" s="301"/>
      <c r="SG3" s="301"/>
      <c r="SH3" s="301"/>
      <c r="SI3" s="301"/>
      <c r="SJ3" s="301"/>
      <c r="SK3" s="301"/>
      <c r="SL3" s="301"/>
      <c r="SM3" s="301"/>
      <c r="SN3" s="301"/>
      <c r="SO3" s="301"/>
      <c r="SP3" s="301"/>
      <c r="SQ3" s="301"/>
      <c r="SR3" s="301"/>
      <c r="SS3" s="301"/>
      <c r="ST3" s="301"/>
      <c r="SU3" s="301"/>
      <c r="SV3" s="301"/>
      <c r="SW3" s="301"/>
      <c r="SX3" s="301"/>
      <c r="SY3" s="301"/>
      <c r="SZ3" s="301"/>
      <c r="TA3" s="301"/>
      <c r="TB3" s="301"/>
      <c r="TC3" s="301"/>
      <c r="TD3" s="301"/>
      <c r="TE3" s="301"/>
      <c r="TF3" s="301"/>
      <c r="TG3" s="301"/>
      <c r="TH3" s="301"/>
      <c r="TI3" s="301"/>
      <c r="TJ3" s="301"/>
      <c r="TK3" s="301"/>
      <c r="TL3" s="301"/>
      <c r="TM3" s="301"/>
      <c r="TN3" s="301"/>
      <c r="TO3" s="301"/>
      <c r="TP3" s="301"/>
      <c r="TQ3" s="301"/>
      <c r="TR3" s="301"/>
      <c r="TS3" s="301"/>
      <c r="TT3" s="301"/>
      <c r="TU3" s="301"/>
      <c r="TV3" s="301"/>
      <c r="TW3" s="301"/>
      <c r="TX3" s="301"/>
      <c r="TY3" s="301"/>
      <c r="TZ3" s="301"/>
      <c r="UA3" s="301"/>
      <c r="UB3" s="301"/>
      <c r="UC3" s="301"/>
      <c r="UD3" s="301"/>
      <c r="UE3" s="301"/>
      <c r="UF3" s="301"/>
      <c r="UG3" s="301"/>
      <c r="UH3" s="301"/>
      <c r="UI3" s="301"/>
      <c r="UJ3" s="301"/>
      <c r="UK3" s="301"/>
      <c r="UL3" s="301"/>
      <c r="UM3" s="301"/>
      <c r="UN3" s="301"/>
      <c r="UO3" s="301"/>
      <c r="UP3" s="301"/>
      <c r="UQ3" s="301"/>
      <c r="UR3" s="301"/>
      <c r="US3" s="301"/>
      <c r="UT3" s="301"/>
      <c r="UU3" s="301"/>
      <c r="UV3" s="301"/>
      <c r="UW3" s="301"/>
      <c r="UX3" s="301"/>
      <c r="UY3" s="301"/>
      <c r="UZ3" s="301"/>
      <c r="VA3" s="301"/>
      <c r="VB3" s="301"/>
      <c r="VC3" s="301"/>
      <c r="VD3" s="301"/>
      <c r="VE3" s="301"/>
      <c r="VF3" s="301"/>
      <c r="VG3" s="301"/>
      <c r="VH3" s="301"/>
      <c r="VI3" s="301"/>
      <c r="VJ3" s="301"/>
      <c r="VK3" s="301"/>
      <c r="VL3" s="301"/>
      <c r="VM3" s="301"/>
      <c r="VN3" s="301"/>
      <c r="VO3" s="301"/>
      <c r="VP3" s="301"/>
      <c r="VQ3" s="301"/>
      <c r="VR3" s="301"/>
      <c r="VS3" s="301"/>
      <c r="VT3" s="301"/>
      <c r="VU3" s="301"/>
      <c r="VV3" s="301"/>
      <c r="VW3" s="301"/>
      <c r="VX3" s="301"/>
      <c r="VY3" s="301"/>
      <c r="VZ3" s="301"/>
      <c r="WA3" s="301"/>
      <c r="WB3" s="301"/>
      <c r="WC3" s="301"/>
      <c r="WD3" s="301"/>
      <c r="WE3" s="301"/>
      <c r="WF3" s="301"/>
      <c r="WG3" s="301"/>
      <c r="WH3" s="301"/>
      <c r="WI3" s="301"/>
      <c r="WJ3" s="301"/>
      <c r="WK3" s="301"/>
      <c r="WL3" s="301"/>
      <c r="WM3" s="301"/>
      <c r="WN3" s="301"/>
      <c r="WO3" s="301"/>
      <c r="WP3" s="301"/>
      <c r="WQ3" s="301"/>
      <c r="WR3" s="301"/>
      <c r="WS3" s="301"/>
      <c r="WT3" s="301"/>
      <c r="WU3" s="301"/>
      <c r="WV3" s="301"/>
      <c r="WW3" s="301"/>
      <c r="WX3" s="301"/>
      <c r="WY3" s="301"/>
      <c r="WZ3" s="301"/>
      <c r="XA3" s="301"/>
      <c r="XB3" s="301"/>
      <c r="XC3" s="301"/>
      <c r="XD3" s="301"/>
      <c r="XE3" s="301"/>
      <c r="XF3" s="301"/>
      <c r="XG3" s="301"/>
      <c r="XH3" s="301"/>
      <c r="XI3" s="301"/>
      <c r="XJ3" s="301"/>
      <c r="XK3" s="301"/>
      <c r="XL3" s="301"/>
      <c r="XM3" s="301"/>
      <c r="XN3" s="301"/>
      <c r="XO3" s="301"/>
      <c r="XP3" s="301"/>
      <c r="XQ3" s="301"/>
      <c r="XR3" s="301"/>
      <c r="XS3" s="301"/>
      <c r="XT3" s="301"/>
      <c r="XU3" s="301"/>
      <c r="XV3" s="301"/>
      <c r="XW3" s="301"/>
      <c r="XX3" s="301"/>
      <c r="XY3" s="301"/>
      <c r="XZ3" s="301"/>
      <c r="YA3" s="301"/>
      <c r="YB3" s="301"/>
      <c r="YC3" s="301"/>
      <c r="YD3" s="301"/>
      <c r="YE3" s="301"/>
      <c r="YF3" s="301"/>
      <c r="YG3" s="301"/>
      <c r="YH3" s="301"/>
      <c r="YI3" s="301"/>
      <c r="YJ3" s="301"/>
      <c r="YK3" s="301"/>
      <c r="YL3" s="301"/>
      <c r="YM3" s="301"/>
      <c r="YN3" s="301"/>
      <c r="YO3" s="301"/>
      <c r="YP3" s="301"/>
      <c r="YQ3" s="301"/>
      <c r="YR3" s="301"/>
      <c r="YS3" s="301"/>
      <c r="YT3" s="301"/>
      <c r="YU3" s="301"/>
      <c r="YV3" s="301"/>
      <c r="YW3" s="301"/>
      <c r="YX3" s="301"/>
      <c r="YY3" s="301"/>
      <c r="YZ3" s="301"/>
      <c r="ZA3" s="301"/>
      <c r="ZB3" s="301"/>
      <c r="ZC3" s="301"/>
      <c r="ZD3" s="301"/>
      <c r="ZE3" s="301"/>
      <c r="ZF3" s="301"/>
      <c r="ZG3" s="301"/>
      <c r="ZH3" s="301"/>
      <c r="ZI3" s="301"/>
      <c r="ZJ3" s="301"/>
      <c r="ZK3" s="301"/>
      <c r="ZL3" s="301"/>
      <c r="ZM3" s="301"/>
      <c r="ZN3" s="301"/>
      <c r="ZO3" s="301"/>
      <c r="ZP3" s="301"/>
      <c r="ZQ3" s="301"/>
      <c r="ZR3" s="301"/>
      <c r="ZS3" s="301"/>
      <c r="ZT3" s="301"/>
      <c r="ZU3" s="301"/>
      <c r="ZV3" s="301"/>
      <c r="ZW3" s="301"/>
      <c r="ZX3" s="301"/>
      <c r="ZY3" s="301"/>
      <c r="ZZ3" s="301"/>
      <c r="AAA3" s="301"/>
      <c r="AAB3" s="301"/>
      <c r="AAC3" s="301"/>
      <c r="AAD3" s="301"/>
      <c r="AAE3" s="301"/>
      <c r="AAF3" s="301"/>
      <c r="AAG3" s="301"/>
      <c r="AAH3" s="301"/>
      <c r="AAI3" s="301"/>
      <c r="AAJ3" s="301"/>
      <c r="AAK3" s="301"/>
      <c r="AAL3" s="301"/>
      <c r="AAM3" s="301"/>
      <c r="AAN3" s="301"/>
      <c r="AAO3" s="301"/>
      <c r="AAP3" s="301"/>
      <c r="AAQ3" s="301"/>
      <c r="AAR3" s="301"/>
      <c r="AAS3" s="301"/>
      <c r="AAT3" s="301"/>
      <c r="AAU3" s="301"/>
      <c r="AAV3" s="301"/>
      <c r="AAW3" s="301"/>
      <c r="AAX3" s="301"/>
      <c r="AAY3" s="301"/>
      <c r="AAZ3" s="301"/>
      <c r="ABA3" s="301"/>
      <c r="ABB3" s="301"/>
      <c r="ABC3" s="301"/>
      <c r="ABD3" s="301"/>
      <c r="ABE3" s="301"/>
      <c r="ABF3" s="301"/>
      <c r="ABG3" s="301"/>
      <c r="ABH3" s="301"/>
      <c r="ABI3" s="301"/>
      <c r="ABJ3" s="301"/>
      <c r="ABK3" s="301"/>
      <c r="ABL3" s="301"/>
      <c r="ABM3" s="301"/>
      <c r="ABN3" s="301"/>
      <c r="ABO3" s="301"/>
      <c r="ABP3" s="301"/>
      <c r="ABQ3" s="301"/>
      <c r="ABR3" s="301"/>
      <c r="ABS3" s="301"/>
      <c r="ABT3" s="301"/>
      <c r="ABU3" s="301"/>
      <c r="ABV3" s="301"/>
      <c r="ABW3" s="301"/>
      <c r="ABX3" s="301"/>
      <c r="ABY3" s="301"/>
      <c r="ABZ3" s="301"/>
      <c r="ACA3" s="301"/>
      <c r="ACB3" s="301"/>
      <c r="ACC3" s="301"/>
      <c r="ACD3" s="301"/>
      <c r="ACE3" s="301"/>
      <c r="ACF3" s="301"/>
      <c r="ACG3" s="301"/>
      <c r="ACH3" s="301"/>
      <c r="ACI3" s="301"/>
      <c r="ACJ3" s="301"/>
      <c r="ACK3" s="301"/>
      <c r="ACL3" s="301"/>
      <c r="ACM3" s="301"/>
      <c r="ACN3" s="301"/>
      <c r="ACO3" s="301"/>
      <c r="ACP3" s="301"/>
      <c r="ACQ3" s="301"/>
      <c r="ACR3" s="301"/>
      <c r="ACS3" s="301"/>
      <c r="ACT3" s="301"/>
      <c r="ACU3" s="301"/>
      <c r="ACV3" s="301"/>
      <c r="ACW3" s="301"/>
      <c r="ACX3" s="301"/>
      <c r="ACY3" s="301"/>
      <c r="ACZ3" s="301"/>
      <c r="ADA3" s="301"/>
      <c r="ADB3" s="301"/>
      <c r="ADC3" s="301"/>
      <c r="ADD3" s="301"/>
      <c r="ADE3" s="301"/>
      <c r="ADF3" s="301"/>
      <c r="ADG3" s="301"/>
      <c r="ADH3" s="301"/>
      <c r="ADI3" s="301"/>
      <c r="ADJ3" s="301"/>
      <c r="ADK3" s="301"/>
      <c r="ADL3" s="301"/>
      <c r="ADM3" s="301"/>
      <c r="ADN3" s="301"/>
      <c r="ADO3" s="301"/>
      <c r="ADP3" s="301"/>
      <c r="ADQ3" s="301"/>
      <c r="ADR3" s="301"/>
      <c r="ADS3" s="301"/>
      <c r="ADT3" s="301"/>
      <c r="ADU3" s="301"/>
      <c r="ADV3" s="301"/>
      <c r="ADW3" s="301"/>
      <c r="ADX3" s="301"/>
      <c r="ADY3" s="301"/>
      <c r="ADZ3" s="301"/>
      <c r="AEA3" s="301"/>
      <c r="AEB3" s="301"/>
      <c r="AEC3" s="301"/>
      <c r="AED3" s="301"/>
      <c r="AEE3" s="301"/>
      <c r="AEF3" s="301"/>
      <c r="AEG3" s="301"/>
      <c r="AEH3" s="301"/>
      <c r="AEI3" s="301"/>
      <c r="AEJ3" s="301"/>
      <c r="AEK3" s="301"/>
      <c r="AEL3" s="301"/>
      <c r="AEM3" s="301"/>
      <c r="AEN3" s="301"/>
      <c r="AEO3" s="301"/>
      <c r="AEP3" s="301"/>
      <c r="AEQ3" s="301"/>
      <c r="AER3" s="301"/>
      <c r="AES3" s="301"/>
      <c r="AET3" s="301"/>
      <c r="AEU3" s="301"/>
      <c r="AEV3" s="301"/>
      <c r="AEW3" s="301"/>
      <c r="AEX3" s="301"/>
      <c r="AEY3" s="301"/>
      <c r="AEZ3" s="301"/>
      <c r="AFA3" s="301"/>
      <c r="AFB3" s="301"/>
      <c r="AFC3" s="301"/>
      <c r="AFD3" s="301"/>
      <c r="AFE3" s="301"/>
      <c r="AFF3" s="301"/>
      <c r="AFG3" s="301"/>
      <c r="AFH3" s="301"/>
      <c r="AFI3" s="301"/>
      <c r="AFJ3" s="301"/>
      <c r="AFK3" s="301"/>
      <c r="AFL3" s="301"/>
      <c r="AFM3" s="301"/>
      <c r="AFN3" s="301"/>
      <c r="AFO3" s="301"/>
      <c r="AFP3" s="301"/>
      <c r="AFQ3" s="301"/>
      <c r="AFR3" s="301"/>
      <c r="AFS3" s="301"/>
      <c r="AFT3" s="301"/>
      <c r="AFU3" s="301"/>
      <c r="AFV3" s="301"/>
      <c r="AFW3" s="301"/>
      <c r="AFX3" s="301"/>
      <c r="AFY3" s="301"/>
      <c r="AFZ3" s="301"/>
      <c r="AGA3" s="301"/>
      <c r="AGB3" s="301"/>
      <c r="AGC3" s="301"/>
      <c r="AGD3" s="301"/>
      <c r="AGE3" s="301"/>
      <c r="AGF3" s="301"/>
      <c r="AGG3" s="301"/>
      <c r="AGH3" s="301"/>
      <c r="AGI3" s="301"/>
      <c r="AGJ3" s="301"/>
      <c r="AGK3" s="301"/>
      <c r="AGL3" s="301"/>
      <c r="AGM3" s="301"/>
      <c r="AGN3" s="301"/>
      <c r="AGO3" s="301"/>
      <c r="AGP3" s="301"/>
      <c r="AGQ3" s="301"/>
      <c r="AGR3" s="301"/>
      <c r="AGS3" s="301"/>
      <c r="AGT3" s="301"/>
      <c r="AGU3" s="301"/>
      <c r="AGV3" s="301"/>
      <c r="AGW3" s="301"/>
      <c r="AGX3" s="301"/>
      <c r="AGY3" s="301"/>
      <c r="AGZ3" s="301"/>
      <c r="AHA3" s="301"/>
      <c r="AHB3" s="301"/>
      <c r="AHC3" s="301"/>
      <c r="AHD3" s="301"/>
      <c r="AHE3" s="301"/>
      <c r="AHF3" s="301"/>
      <c r="AHG3" s="301"/>
      <c r="AHH3" s="301"/>
      <c r="AHI3" s="301"/>
      <c r="AHJ3" s="301"/>
      <c r="AHK3" s="301"/>
      <c r="AHL3" s="301"/>
      <c r="AHM3" s="301"/>
      <c r="AHN3" s="301"/>
      <c r="AHO3" s="301"/>
      <c r="AHP3" s="301"/>
      <c r="AHQ3" s="301"/>
      <c r="AHR3" s="301"/>
      <c r="AHS3" s="301"/>
      <c r="AHT3" s="301"/>
      <c r="AHU3" s="301"/>
      <c r="AHV3" s="301"/>
      <c r="AHW3" s="301"/>
      <c r="AHX3" s="301"/>
      <c r="AHY3" s="301"/>
      <c r="AHZ3" s="301"/>
      <c r="AIA3" s="301"/>
      <c r="AIB3" s="301"/>
      <c r="AIC3" s="301"/>
      <c r="AID3" s="301"/>
      <c r="AIE3" s="301"/>
      <c r="AIF3" s="301"/>
      <c r="AIG3" s="301"/>
      <c r="AIH3" s="301"/>
      <c r="AII3" s="301"/>
      <c r="AIJ3" s="301"/>
      <c r="AIK3" s="301"/>
      <c r="AIL3" s="301"/>
      <c r="AIM3" s="301"/>
      <c r="AIN3" s="301"/>
      <c r="AIO3" s="301"/>
      <c r="AIP3" s="301"/>
      <c r="AIQ3" s="301"/>
      <c r="AIR3" s="301"/>
      <c r="AIS3" s="301"/>
      <c r="AIT3" s="301"/>
      <c r="AIU3" s="301"/>
      <c r="AIV3" s="301"/>
      <c r="AIW3" s="301"/>
      <c r="AIX3" s="301"/>
      <c r="AIY3" s="301"/>
      <c r="AIZ3" s="301"/>
      <c r="AJA3" s="301"/>
      <c r="AJB3" s="301"/>
      <c r="AJC3" s="301"/>
      <c r="AJD3" s="301"/>
      <c r="AJE3" s="301"/>
      <c r="AJF3" s="301"/>
      <c r="AJG3" s="301"/>
      <c r="AJH3" s="301"/>
      <c r="AJI3" s="301"/>
      <c r="AJJ3" s="301"/>
      <c r="AJK3" s="301"/>
      <c r="AJL3" s="301"/>
      <c r="AJM3" s="301"/>
      <c r="AJN3" s="301"/>
      <c r="AJO3" s="301"/>
      <c r="AJP3" s="301"/>
      <c r="AJQ3" s="301"/>
      <c r="AJR3" s="301"/>
      <c r="AJS3" s="301"/>
      <c r="AJT3" s="301"/>
      <c r="AJU3" s="301"/>
      <c r="AJV3" s="301"/>
      <c r="AJW3" s="301"/>
      <c r="AJX3" s="301"/>
      <c r="AJY3" s="301"/>
      <c r="AJZ3" s="301"/>
      <c r="AKA3" s="301"/>
      <c r="AKB3" s="301"/>
      <c r="AKC3" s="301"/>
      <c r="AKD3" s="301"/>
      <c r="AKE3" s="301"/>
      <c r="AKF3" s="301"/>
      <c r="AKG3" s="301"/>
      <c r="AKH3" s="301"/>
      <c r="AKI3" s="301"/>
      <c r="AKJ3" s="301"/>
      <c r="AKK3" s="301"/>
      <c r="AKL3" s="301"/>
      <c r="AKM3" s="301"/>
      <c r="AKN3" s="301"/>
      <c r="AKO3" s="301"/>
      <c r="AKP3" s="301"/>
      <c r="AKQ3" s="301"/>
      <c r="AKR3" s="301"/>
      <c r="AKS3" s="301"/>
      <c r="AKT3" s="301"/>
      <c r="AKU3" s="301"/>
      <c r="AKV3" s="301"/>
      <c r="AKW3" s="301"/>
      <c r="AKX3" s="301"/>
      <c r="AKY3" s="301"/>
      <c r="AKZ3" s="301"/>
      <c r="ALA3" s="301"/>
      <c r="ALB3" s="301"/>
      <c r="ALC3" s="301"/>
      <c r="ALD3" s="301"/>
      <c r="ALE3" s="301"/>
      <c r="ALF3" s="301"/>
      <c r="ALG3" s="301"/>
      <c r="ALH3" s="301"/>
      <c r="ALI3" s="301"/>
      <c r="ALJ3" s="301"/>
      <c r="ALK3" s="301"/>
      <c r="ALL3" s="301"/>
      <c r="ALM3" s="301"/>
      <c r="ALN3" s="301"/>
      <c r="ALO3" s="301"/>
      <c r="ALP3" s="301"/>
      <c r="ALQ3" s="301"/>
      <c r="ALR3" s="301"/>
      <c r="ALS3" s="301"/>
      <c r="ALT3" s="301"/>
      <c r="ALU3" s="301"/>
      <c r="ALV3" s="301"/>
      <c r="ALW3" s="301"/>
      <c r="ALX3" s="301"/>
      <c r="ALY3" s="301"/>
      <c r="ALZ3" s="301"/>
      <c r="AMA3" s="301"/>
      <c r="AMB3" s="301"/>
      <c r="AMC3" s="301"/>
      <c r="AMD3" s="301"/>
      <c r="AME3" s="301"/>
      <c r="AMF3" s="301"/>
      <c r="AMG3" s="301"/>
      <c r="AMH3" s="301"/>
      <c r="AMI3" s="301"/>
      <c r="AMJ3" s="301"/>
    </row>
    <row r="4" customFormat="false" ht="13.8" hidden="false" customHeight="false" outlineLevel="0" collapsed="false">
      <c r="A4" s="256" t="s">
        <v>503</v>
      </c>
      <c r="B4" s="302" t="s">
        <v>504</v>
      </c>
      <c r="C4" s="303" t="n">
        <v>50613</v>
      </c>
    </row>
    <row r="5" customFormat="false" ht="14.15" hidden="false" customHeight="false" outlineLevel="0" collapsed="false">
      <c r="A5" s="256" t="s">
        <v>505</v>
      </c>
      <c r="B5" s="302" t="s">
        <v>506</v>
      </c>
      <c r="C5" s="304" t="n">
        <v>0.43</v>
      </c>
    </row>
    <row r="6" customFormat="false" ht="13.8" hidden="false" customHeight="false" outlineLevel="0" collapsed="false">
      <c r="A6" s="256" t="s">
        <v>507</v>
      </c>
      <c r="B6" s="302" t="s">
        <v>508</v>
      </c>
      <c r="C6" s="305" t="n">
        <f aca="false">C4*C5/1000</f>
        <v>21.76359</v>
      </c>
    </row>
    <row r="7" customFormat="false" ht="13.8" hidden="false" customHeight="false" outlineLevel="0" collapsed="false">
      <c r="A7" s="256" t="s">
        <v>509</v>
      </c>
      <c r="B7" s="302" t="s">
        <v>510</v>
      </c>
      <c r="C7" s="306" t="n">
        <f aca="false">(C6*30)</f>
        <v>652.9077</v>
      </c>
    </row>
    <row r="8" customFormat="false" ht="13.8" hidden="false" customHeight="false" outlineLevel="0" collapsed="false">
      <c r="A8" s="256" t="s">
        <v>511</v>
      </c>
      <c r="B8" s="302" t="s">
        <v>59</v>
      </c>
      <c r="C8" s="307" t="n">
        <v>3</v>
      </c>
    </row>
    <row r="9" customFormat="false" ht="13.8" hidden="false" customHeight="false" outlineLevel="0" collapsed="false">
      <c r="A9" s="256" t="s">
        <v>512</v>
      </c>
      <c r="B9" s="302" t="s">
        <v>508</v>
      </c>
      <c r="C9" s="305" t="n">
        <f aca="false">IFERROR(C6*7/C8,0)</f>
        <v>50.78171</v>
      </c>
    </row>
    <row r="10" customFormat="false" ht="13.8" hidden="false" customHeight="false" outlineLevel="0" collapsed="false">
      <c r="A10" s="256" t="s">
        <v>513</v>
      </c>
      <c r="B10" s="302" t="s">
        <v>514</v>
      </c>
      <c r="C10" s="253" t="n">
        <v>500</v>
      </c>
    </row>
    <row r="11" customFormat="false" ht="13.8" hidden="false" customHeight="false" outlineLevel="0" collapsed="false">
      <c r="A11" s="256" t="s">
        <v>515</v>
      </c>
      <c r="B11" s="302"/>
      <c r="C11" s="308" t="n">
        <v>1</v>
      </c>
    </row>
    <row r="12" customFormat="false" ht="13.8" hidden="false" customHeight="false" outlineLevel="0" collapsed="false">
      <c r="A12" s="256" t="s">
        <v>516</v>
      </c>
      <c r="B12" s="302" t="s">
        <v>517</v>
      </c>
      <c r="C12" s="308" t="n">
        <v>15</v>
      </c>
    </row>
    <row r="13" customFormat="false" ht="14.15" hidden="false" customHeight="false" outlineLevel="0" collapsed="false">
      <c r="A13" s="256" t="s">
        <v>518</v>
      </c>
      <c r="B13" s="302" t="s">
        <v>510</v>
      </c>
      <c r="C13" s="253" t="n">
        <f aca="false">IF(AND(C12&gt;=15,C11=1),5.8,C12/2)</f>
        <v>5.8</v>
      </c>
    </row>
    <row r="14" customFormat="false" ht="13.8" hidden="false" customHeight="false" outlineLevel="0" collapsed="false">
      <c r="A14" s="256" t="s">
        <v>519</v>
      </c>
      <c r="B14" s="302"/>
      <c r="C14" s="305" t="n">
        <f aca="false">IFERROR(C9/C13,0)</f>
        <v>8.75546724137931</v>
      </c>
    </row>
    <row r="15" customFormat="false" ht="13.8" hidden="false" customHeight="false" outlineLevel="0" collapsed="false">
      <c r="A15" s="256" t="s">
        <v>520</v>
      </c>
      <c r="B15" s="302"/>
      <c r="C15" s="309" t="n">
        <v>2.5</v>
      </c>
    </row>
    <row r="16" customFormat="false" ht="13.8" hidden="false" customHeight="false" outlineLevel="0" collapsed="false">
      <c r="A16" s="310" t="s">
        <v>521</v>
      </c>
      <c r="B16" s="311"/>
      <c r="C16" s="312" t="n">
        <f aca="false">IFERROR(C14/C15,0)</f>
        <v>3.50218689655172</v>
      </c>
    </row>
  </sheetData>
  <mergeCells count="1">
    <mergeCell ref="A1:C1"/>
  </mergeCells>
  <conditionalFormatting sqref="C13">
    <cfRule type="expression" priority="2" aboveAverage="0" equalAverage="0" bottom="0" percent="0" rank="0" text="" dxfId="0">
      <formula>"SE(E(C20&gt;=15;C19=1))"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58.35"/>
    <col collapsed="false" customWidth="true" hidden="false" outlineLevel="0" max="2" min="2" style="116" width="11.15"/>
    <col collapsed="false" customWidth="true" hidden="false" outlineLevel="0" max="3" min="3" style="116" width="16.69"/>
    <col collapsed="false" customWidth="true" hidden="false" outlineLevel="0" max="64" min="4" style="116" width="9.14"/>
    <col collapsed="false" customWidth="true" hidden="false" outlineLevel="0" max="1024" min="65" style="3" width="9.14"/>
  </cols>
  <sheetData>
    <row r="1" customFormat="false" ht="17.35" hidden="false" customHeight="false" outlineLevel="0" collapsed="false">
      <c r="A1" s="294" t="s">
        <v>499</v>
      </c>
      <c r="B1" s="294"/>
      <c r="C1" s="294"/>
    </row>
    <row r="2" customFormat="false" ht="17.35" hidden="false" customHeight="false" outlineLevel="0" collapsed="false">
      <c r="A2" s="295"/>
      <c r="B2" s="296"/>
      <c r="C2" s="297"/>
    </row>
    <row r="3" customFormat="false" ht="13.8" hidden="false" customHeight="false" outlineLevel="0" collapsed="false">
      <c r="A3" s="298" t="s">
        <v>500</v>
      </c>
      <c r="B3" s="299" t="s">
        <v>501</v>
      </c>
      <c r="C3" s="300" t="s">
        <v>502</v>
      </c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301"/>
      <c r="AN3" s="301"/>
      <c r="AO3" s="301"/>
      <c r="AP3" s="301"/>
      <c r="AQ3" s="301"/>
      <c r="AR3" s="301"/>
      <c r="AS3" s="301"/>
      <c r="AT3" s="301"/>
      <c r="AU3" s="301"/>
      <c r="AV3" s="301"/>
      <c r="AW3" s="301"/>
      <c r="AX3" s="301"/>
      <c r="AY3" s="301"/>
      <c r="AZ3" s="301"/>
      <c r="BA3" s="301"/>
      <c r="BB3" s="301"/>
      <c r="BC3" s="301"/>
      <c r="BD3" s="301"/>
      <c r="BE3" s="301"/>
      <c r="BF3" s="301"/>
      <c r="BG3" s="301"/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01"/>
      <c r="CH3" s="301"/>
      <c r="CI3" s="301"/>
      <c r="CJ3" s="301"/>
      <c r="CK3" s="301"/>
      <c r="CL3" s="301"/>
      <c r="CM3" s="301"/>
      <c r="CN3" s="301"/>
      <c r="CO3" s="301"/>
      <c r="CP3" s="301"/>
      <c r="CQ3" s="301"/>
      <c r="CR3" s="301"/>
      <c r="CS3" s="301"/>
      <c r="CT3" s="301"/>
      <c r="CU3" s="301"/>
      <c r="CV3" s="301"/>
      <c r="CW3" s="301"/>
      <c r="CX3" s="301"/>
      <c r="CY3" s="301"/>
      <c r="CZ3" s="301"/>
      <c r="DA3" s="301"/>
      <c r="DB3" s="301"/>
      <c r="DC3" s="301"/>
      <c r="DD3" s="301"/>
      <c r="DE3" s="301"/>
      <c r="DF3" s="301"/>
      <c r="DG3" s="301"/>
      <c r="DH3" s="301"/>
      <c r="DI3" s="301"/>
      <c r="DJ3" s="301"/>
      <c r="DK3" s="301"/>
      <c r="DL3" s="301"/>
      <c r="DM3" s="301"/>
      <c r="DN3" s="301"/>
      <c r="DO3" s="301"/>
      <c r="DP3" s="301"/>
      <c r="DQ3" s="301"/>
      <c r="DR3" s="301"/>
      <c r="DS3" s="301"/>
      <c r="DT3" s="301"/>
      <c r="DU3" s="301"/>
      <c r="DV3" s="301"/>
      <c r="DW3" s="301"/>
      <c r="DX3" s="301"/>
      <c r="DY3" s="301"/>
      <c r="DZ3" s="301"/>
      <c r="EA3" s="301"/>
      <c r="EB3" s="301"/>
      <c r="EC3" s="301"/>
      <c r="ED3" s="301"/>
      <c r="EE3" s="301"/>
      <c r="EF3" s="301"/>
      <c r="EG3" s="301"/>
      <c r="EH3" s="301"/>
      <c r="EI3" s="301"/>
      <c r="EJ3" s="301"/>
      <c r="EK3" s="301"/>
      <c r="EL3" s="301"/>
      <c r="EM3" s="301"/>
      <c r="EN3" s="301"/>
      <c r="EO3" s="301"/>
      <c r="EP3" s="301"/>
      <c r="EQ3" s="301"/>
      <c r="ER3" s="301"/>
      <c r="ES3" s="301"/>
      <c r="ET3" s="301"/>
      <c r="EU3" s="301"/>
      <c r="EV3" s="301"/>
      <c r="EW3" s="301"/>
      <c r="EX3" s="301"/>
      <c r="EY3" s="301"/>
      <c r="EZ3" s="301"/>
      <c r="FA3" s="301"/>
      <c r="FB3" s="301"/>
      <c r="FC3" s="301"/>
      <c r="FD3" s="301"/>
      <c r="FE3" s="301"/>
      <c r="FF3" s="301"/>
      <c r="FG3" s="301"/>
      <c r="FH3" s="301"/>
      <c r="FI3" s="301"/>
      <c r="FJ3" s="301"/>
      <c r="FK3" s="301"/>
      <c r="FL3" s="301"/>
      <c r="FM3" s="301"/>
      <c r="FN3" s="301"/>
      <c r="FO3" s="301"/>
      <c r="FP3" s="301"/>
      <c r="FQ3" s="301"/>
      <c r="FR3" s="301"/>
      <c r="FS3" s="301"/>
      <c r="FT3" s="301"/>
      <c r="FU3" s="301"/>
      <c r="FV3" s="301"/>
      <c r="FW3" s="301"/>
      <c r="FX3" s="301"/>
      <c r="FY3" s="301"/>
      <c r="FZ3" s="301"/>
      <c r="GA3" s="301"/>
      <c r="GB3" s="301"/>
      <c r="GC3" s="301"/>
      <c r="GD3" s="301"/>
      <c r="GE3" s="301"/>
      <c r="GF3" s="301"/>
      <c r="GG3" s="301"/>
      <c r="GH3" s="301"/>
      <c r="GI3" s="301"/>
      <c r="GJ3" s="301"/>
      <c r="GK3" s="301"/>
      <c r="GL3" s="301"/>
      <c r="GM3" s="301"/>
      <c r="GN3" s="301"/>
      <c r="GO3" s="301"/>
      <c r="GP3" s="301"/>
      <c r="GQ3" s="301"/>
      <c r="GR3" s="301"/>
      <c r="GS3" s="301"/>
      <c r="GT3" s="301"/>
      <c r="GU3" s="301"/>
      <c r="GV3" s="301"/>
      <c r="GW3" s="301"/>
      <c r="GX3" s="301"/>
      <c r="GY3" s="301"/>
      <c r="GZ3" s="301"/>
      <c r="HA3" s="301"/>
      <c r="HB3" s="301"/>
      <c r="HC3" s="301"/>
      <c r="HD3" s="301"/>
      <c r="HE3" s="301"/>
      <c r="HF3" s="301"/>
      <c r="HG3" s="301"/>
      <c r="HH3" s="301"/>
      <c r="HI3" s="301"/>
      <c r="HJ3" s="301"/>
      <c r="HK3" s="301"/>
      <c r="HL3" s="301"/>
      <c r="HM3" s="301"/>
      <c r="HN3" s="301"/>
      <c r="HO3" s="301"/>
      <c r="HP3" s="301"/>
      <c r="HQ3" s="301"/>
      <c r="HR3" s="301"/>
      <c r="HS3" s="301"/>
      <c r="HT3" s="301"/>
      <c r="HU3" s="301"/>
      <c r="HV3" s="301"/>
      <c r="HW3" s="301"/>
      <c r="HX3" s="301"/>
      <c r="HY3" s="301"/>
      <c r="HZ3" s="301"/>
      <c r="IA3" s="301"/>
      <c r="IB3" s="301"/>
      <c r="IC3" s="301"/>
      <c r="ID3" s="301"/>
      <c r="IE3" s="301"/>
      <c r="IF3" s="301"/>
      <c r="IG3" s="301"/>
      <c r="IH3" s="301"/>
      <c r="II3" s="301"/>
      <c r="IJ3" s="301"/>
      <c r="IK3" s="301"/>
      <c r="IL3" s="301"/>
      <c r="IM3" s="301"/>
      <c r="IN3" s="301"/>
      <c r="IO3" s="301"/>
      <c r="IP3" s="301"/>
      <c r="IQ3" s="301"/>
      <c r="IR3" s="301"/>
      <c r="IS3" s="301"/>
      <c r="IT3" s="301"/>
      <c r="IU3" s="301"/>
      <c r="IV3" s="301"/>
      <c r="IW3" s="301"/>
      <c r="IX3" s="301"/>
      <c r="IY3" s="301"/>
      <c r="IZ3" s="301"/>
      <c r="JA3" s="301"/>
      <c r="JB3" s="301"/>
      <c r="JC3" s="301"/>
      <c r="JD3" s="301"/>
      <c r="JE3" s="301"/>
      <c r="JF3" s="301"/>
      <c r="JG3" s="301"/>
      <c r="JH3" s="301"/>
      <c r="JI3" s="301"/>
      <c r="JJ3" s="301"/>
      <c r="JK3" s="301"/>
      <c r="JL3" s="301"/>
      <c r="JM3" s="301"/>
      <c r="JN3" s="301"/>
      <c r="JO3" s="301"/>
      <c r="JP3" s="301"/>
      <c r="JQ3" s="301"/>
      <c r="JR3" s="301"/>
      <c r="JS3" s="301"/>
      <c r="JT3" s="301"/>
      <c r="JU3" s="301"/>
      <c r="JV3" s="301"/>
      <c r="JW3" s="301"/>
      <c r="JX3" s="301"/>
      <c r="JY3" s="301"/>
      <c r="JZ3" s="301"/>
      <c r="KA3" s="301"/>
      <c r="KB3" s="301"/>
      <c r="KC3" s="301"/>
      <c r="KD3" s="301"/>
      <c r="KE3" s="301"/>
      <c r="KF3" s="301"/>
      <c r="KG3" s="301"/>
      <c r="KH3" s="301"/>
      <c r="KI3" s="301"/>
      <c r="KJ3" s="301"/>
      <c r="KK3" s="301"/>
      <c r="KL3" s="301"/>
      <c r="KM3" s="301"/>
      <c r="KN3" s="301"/>
      <c r="KO3" s="301"/>
      <c r="KP3" s="301"/>
      <c r="KQ3" s="301"/>
      <c r="KR3" s="301"/>
      <c r="KS3" s="301"/>
      <c r="KT3" s="301"/>
      <c r="KU3" s="301"/>
      <c r="KV3" s="301"/>
      <c r="KW3" s="301"/>
      <c r="KX3" s="301"/>
      <c r="KY3" s="301"/>
      <c r="KZ3" s="301"/>
      <c r="LA3" s="301"/>
      <c r="LB3" s="301"/>
      <c r="LC3" s="301"/>
      <c r="LD3" s="301"/>
      <c r="LE3" s="301"/>
      <c r="LF3" s="301"/>
      <c r="LG3" s="301"/>
      <c r="LH3" s="301"/>
      <c r="LI3" s="301"/>
      <c r="LJ3" s="301"/>
      <c r="LK3" s="301"/>
      <c r="LL3" s="301"/>
      <c r="LM3" s="301"/>
      <c r="LN3" s="301"/>
      <c r="LO3" s="301"/>
      <c r="LP3" s="301"/>
      <c r="LQ3" s="301"/>
      <c r="LR3" s="301"/>
      <c r="LS3" s="301"/>
      <c r="LT3" s="301"/>
      <c r="LU3" s="301"/>
      <c r="LV3" s="301"/>
      <c r="LW3" s="301"/>
      <c r="LX3" s="301"/>
      <c r="LY3" s="301"/>
      <c r="LZ3" s="301"/>
      <c r="MA3" s="301"/>
      <c r="MB3" s="301"/>
      <c r="MC3" s="301"/>
      <c r="MD3" s="301"/>
      <c r="ME3" s="301"/>
      <c r="MF3" s="301"/>
      <c r="MG3" s="301"/>
      <c r="MH3" s="301"/>
      <c r="MI3" s="301"/>
      <c r="MJ3" s="301"/>
      <c r="MK3" s="301"/>
      <c r="ML3" s="301"/>
      <c r="MM3" s="301"/>
      <c r="MN3" s="301"/>
      <c r="MO3" s="301"/>
      <c r="MP3" s="301"/>
      <c r="MQ3" s="301"/>
      <c r="MR3" s="301"/>
      <c r="MS3" s="301"/>
      <c r="MT3" s="301"/>
      <c r="MU3" s="301"/>
      <c r="MV3" s="301"/>
      <c r="MW3" s="301"/>
      <c r="MX3" s="301"/>
      <c r="MY3" s="301"/>
      <c r="MZ3" s="301"/>
      <c r="NA3" s="301"/>
      <c r="NB3" s="301"/>
      <c r="NC3" s="301"/>
      <c r="ND3" s="301"/>
      <c r="NE3" s="301"/>
      <c r="NF3" s="301"/>
      <c r="NG3" s="301"/>
      <c r="NH3" s="301"/>
      <c r="NI3" s="301"/>
      <c r="NJ3" s="301"/>
      <c r="NK3" s="301"/>
      <c r="NL3" s="301"/>
      <c r="NM3" s="301"/>
      <c r="NN3" s="301"/>
      <c r="NO3" s="301"/>
      <c r="NP3" s="301"/>
      <c r="NQ3" s="301"/>
      <c r="NR3" s="301"/>
      <c r="NS3" s="301"/>
      <c r="NT3" s="301"/>
      <c r="NU3" s="301"/>
      <c r="NV3" s="301"/>
      <c r="NW3" s="301"/>
      <c r="NX3" s="301"/>
      <c r="NY3" s="301"/>
      <c r="NZ3" s="301"/>
      <c r="OA3" s="301"/>
      <c r="OB3" s="301"/>
      <c r="OC3" s="301"/>
      <c r="OD3" s="301"/>
      <c r="OE3" s="301"/>
      <c r="OF3" s="301"/>
      <c r="OG3" s="301"/>
      <c r="OH3" s="301"/>
      <c r="OI3" s="301"/>
      <c r="OJ3" s="301"/>
      <c r="OK3" s="301"/>
      <c r="OL3" s="301"/>
      <c r="OM3" s="301"/>
      <c r="ON3" s="301"/>
      <c r="OO3" s="301"/>
      <c r="OP3" s="301"/>
      <c r="OQ3" s="301"/>
      <c r="OR3" s="301"/>
      <c r="OS3" s="301"/>
      <c r="OT3" s="301"/>
      <c r="OU3" s="301"/>
      <c r="OV3" s="301"/>
      <c r="OW3" s="301"/>
      <c r="OX3" s="301"/>
      <c r="OY3" s="301"/>
      <c r="OZ3" s="301"/>
      <c r="PA3" s="301"/>
      <c r="PB3" s="301"/>
      <c r="PC3" s="301"/>
      <c r="PD3" s="301"/>
      <c r="PE3" s="301"/>
      <c r="PF3" s="301"/>
      <c r="PG3" s="301"/>
      <c r="PH3" s="301"/>
      <c r="PI3" s="301"/>
      <c r="PJ3" s="301"/>
      <c r="PK3" s="301"/>
      <c r="PL3" s="301"/>
      <c r="PM3" s="301"/>
      <c r="PN3" s="301"/>
      <c r="PO3" s="301"/>
      <c r="PP3" s="301"/>
      <c r="PQ3" s="301"/>
      <c r="PR3" s="301"/>
      <c r="PS3" s="301"/>
      <c r="PT3" s="301"/>
      <c r="PU3" s="301"/>
      <c r="PV3" s="301"/>
      <c r="PW3" s="301"/>
      <c r="PX3" s="301"/>
      <c r="PY3" s="301"/>
      <c r="PZ3" s="301"/>
      <c r="QA3" s="301"/>
      <c r="QB3" s="301"/>
      <c r="QC3" s="301"/>
      <c r="QD3" s="301"/>
      <c r="QE3" s="301"/>
      <c r="QF3" s="301"/>
      <c r="QG3" s="301"/>
      <c r="QH3" s="301"/>
      <c r="QI3" s="301"/>
      <c r="QJ3" s="301"/>
      <c r="QK3" s="301"/>
      <c r="QL3" s="301"/>
      <c r="QM3" s="301"/>
      <c r="QN3" s="301"/>
      <c r="QO3" s="301"/>
      <c r="QP3" s="301"/>
      <c r="QQ3" s="301"/>
      <c r="QR3" s="301"/>
      <c r="QS3" s="301"/>
      <c r="QT3" s="301"/>
      <c r="QU3" s="301"/>
      <c r="QV3" s="301"/>
      <c r="QW3" s="301"/>
      <c r="QX3" s="301"/>
      <c r="QY3" s="301"/>
      <c r="QZ3" s="301"/>
      <c r="RA3" s="301"/>
      <c r="RB3" s="301"/>
      <c r="RC3" s="301"/>
      <c r="RD3" s="301"/>
      <c r="RE3" s="301"/>
      <c r="RF3" s="301"/>
      <c r="RG3" s="301"/>
      <c r="RH3" s="301"/>
      <c r="RI3" s="301"/>
      <c r="RJ3" s="301"/>
      <c r="RK3" s="301"/>
      <c r="RL3" s="301"/>
      <c r="RM3" s="301"/>
      <c r="RN3" s="301"/>
      <c r="RO3" s="301"/>
      <c r="RP3" s="301"/>
      <c r="RQ3" s="301"/>
      <c r="RR3" s="301"/>
      <c r="RS3" s="301"/>
      <c r="RT3" s="301"/>
      <c r="RU3" s="301"/>
      <c r="RV3" s="301"/>
      <c r="RW3" s="301"/>
      <c r="RX3" s="301"/>
      <c r="RY3" s="301"/>
      <c r="RZ3" s="301"/>
      <c r="SA3" s="301"/>
      <c r="SB3" s="301"/>
      <c r="SC3" s="301"/>
      <c r="SD3" s="301"/>
      <c r="SE3" s="301"/>
      <c r="SF3" s="301"/>
      <c r="SG3" s="301"/>
      <c r="SH3" s="301"/>
      <c r="SI3" s="301"/>
      <c r="SJ3" s="301"/>
      <c r="SK3" s="301"/>
      <c r="SL3" s="301"/>
      <c r="SM3" s="301"/>
      <c r="SN3" s="301"/>
      <c r="SO3" s="301"/>
      <c r="SP3" s="301"/>
      <c r="SQ3" s="301"/>
      <c r="SR3" s="301"/>
      <c r="SS3" s="301"/>
      <c r="ST3" s="301"/>
      <c r="SU3" s="301"/>
      <c r="SV3" s="301"/>
      <c r="SW3" s="301"/>
      <c r="SX3" s="301"/>
      <c r="SY3" s="301"/>
      <c r="SZ3" s="301"/>
      <c r="TA3" s="301"/>
      <c r="TB3" s="301"/>
      <c r="TC3" s="301"/>
      <c r="TD3" s="301"/>
      <c r="TE3" s="301"/>
      <c r="TF3" s="301"/>
      <c r="TG3" s="301"/>
      <c r="TH3" s="301"/>
      <c r="TI3" s="301"/>
      <c r="TJ3" s="301"/>
      <c r="TK3" s="301"/>
      <c r="TL3" s="301"/>
      <c r="TM3" s="301"/>
      <c r="TN3" s="301"/>
      <c r="TO3" s="301"/>
      <c r="TP3" s="301"/>
      <c r="TQ3" s="301"/>
      <c r="TR3" s="301"/>
      <c r="TS3" s="301"/>
      <c r="TT3" s="301"/>
      <c r="TU3" s="301"/>
      <c r="TV3" s="301"/>
      <c r="TW3" s="301"/>
      <c r="TX3" s="301"/>
      <c r="TY3" s="301"/>
      <c r="TZ3" s="301"/>
      <c r="UA3" s="301"/>
      <c r="UB3" s="301"/>
      <c r="UC3" s="301"/>
      <c r="UD3" s="301"/>
      <c r="UE3" s="301"/>
      <c r="UF3" s="301"/>
      <c r="UG3" s="301"/>
      <c r="UH3" s="301"/>
      <c r="UI3" s="301"/>
      <c r="UJ3" s="301"/>
      <c r="UK3" s="301"/>
      <c r="UL3" s="301"/>
      <c r="UM3" s="301"/>
      <c r="UN3" s="301"/>
      <c r="UO3" s="301"/>
      <c r="UP3" s="301"/>
      <c r="UQ3" s="301"/>
      <c r="UR3" s="301"/>
      <c r="US3" s="301"/>
      <c r="UT3" s="301"/>
      <c r="UU3" s="301"/>
      <c r="UV3" s="301"/>
      <c r="UW3" s="301"/>
      <c r="UX3" s="301"/>
      <c r="UY3" s="301"/>
      <c r="UZ3" s="301"/>
      <c r="VA3" s="301"/>
      <c r="VB3" s="301"/>
      <c r="VC3" s="301"/>
      <c r="VD3" s="301"/>
      <c r="VE3" s="301"/>
      <c r="VF3" s="301"/>
      <c r="VG3" s="301"/>
      <c r="VH3" s="301"/>
      <c r="VI3" s="301"/>
      <c r="VJ3" s="301"/>
      <c r="VK3" s="301"/>
      <c r="VL3" s="301"/>
      <c r="VM3" s="301"/>
      <c r="VN3" s="301"/>
      <c r="VO3" s="301"/>
      <c r="VP3" s="301"/>
      <c r="VQ3" s="301"/>
      <c r="VR3" s="301"/>
      <c r="VS3" s="301"/>
      <c r="VT3" s="301"/>
      <c r="VU3" s="301"/>
      <c r="VV3" s="301"/>
      <c r="VW3" s="301"/>
      <c r="VX3" s="301"/>
      <c r="VY3" s="301"/>
      <c r="VZ3" s="301"/>
      <c r="WA3" s="301"/>
      <c r="WB3" s="301"/>
      <c r="WC3" s="301"/>
      <c r="WD3" s="301"/>
      <c r="WE3" s="301"/>
      <c r="WF3" s="301"/>
      <c r="WG3" s="301"/>
      <c r="WH3" s="301"/>
      <c r="WI3" s="301"/>
      <c r="WJ3" s="301"/>
      <c r="WK3" s="301"/>
      <c r="WL3" s="301"/>
      <c r="WM3" s="301"/>
      <c r="WN3" s="301"/>
      <c r="WO3" s="301"/>
      <c r="WP3" s="301"/>
      <c r="WQ3" s="301"/>
      <c r="WR3" s="301"/>
      <c r="WS3" s="301"/>
      <c r="WT3" s="301"/>
      <c r="WU3" s="301"/>
      <c r="WV3" s="301"/>
      <c r="WW3" s="301"/>
      <c r="WX3" s="301"/>
      <c r="WY3" s="301"/>
      <c r="WZ3" s="301"/>
      <c r="XA3" s="301"/>
      <c r="XB3" s="301"/>
      <c r="XC3" s="301"/>
      <c r="XD3" s="301"/>
      <c r="XE3" s="301"/>
      <c r="XF3" s="301"/>
      <c r="XG3" s="301"/>
      <c r="XH3" s="301"/>
      <c r="XI3" s="301"/>
      <c r="XJ3" s="301"/>
      <c r="XK3" s="301"/>
      <c r="XL3" s="301"/>
      <c r="XM3" s="301"/>
      <c r="XN3" s="301"/>
      <c r="XO3" s="301"/>
      <c r="XP3" s="301"/>
      <c r="XQ3" s="301"/>
      <c r="XR3" s="301"/>
      <c r="XS3" s="301"/>
      <c r="XT3" s="301"/>
      <c r="XU3" s="301"/>
      <c r="XV3" s="301"/>
      <c r="XW3" s="301"/>
      <c r="XX3" s="301"/>
      <c r="XY3" s="301"/>
      <c r="XZ3" s="301"/>
      <c r="YA3" s="301"/>
      <c r="YB3" s="301"/>
      <c r="YC3" s="301"/>
      <c r="YD3" s="301"/>
      <c r="YE3" s="301"/>
      <c r="YF3" s="301"/>
      <c r="YG3" s="301"/>
      <c r="YH3" s="301"/>
      <c r="YI3" s="301"/>
      <c r="YJ3" s="301"/>
      <c r="YK3" s="301"/>
      <c r="YL3" s="301"/>
      <c r="YM3" s="301"/>
      <c r="YN3" s="301"/>
      <c r="YO3" s="301"/>
      <c r="YP3" s="301"/>
      <c r="YQ3" s="301"/>
      <c r="YR3" s="301"/>
      <c r="YS3" s="301"/>
      <c r="YT3" s="301"/>
      <c r="YU3" s="301"/>
      <c r="YV3" s="301"/>
      <c r="YW3" s="301"/>
      <c r="YX3" s="301"/>
      <c r="YY3" s="301"/>
      <c r="YZ3" s="301"/>
      <c r="ZA3" s="301"/>
      <c r="ZB3" s="301"/>
      <c r="ZC3" s="301"/>
      <c r="ZD3" s="301"/>
      <c r="ZE3" s="301"/>
      <c r="ZF3" s="301"/>
      <c r="ZG3" s="301"/>
      <c r="ZH3" s="301"/>
      <c r="ZI3" s="301"/>
      <c r="ZJ3" s="301"/>
      <c r="ZK3" s="301"/>
      <c r="ZL3" s="301"/>
      <c r="ZM3" s="301"/>
      <c r="ZN3" s="301"/>
      <c r="ZO3" s="301"/>
      <c r="ZP3" s="301"/>
      <c r="ZQ3" s="301"/>
      <c r="ZR3" s="301"/>
      <c r="ZS3" s="301"/>
      <c r="ZT3" s="301"/>
      <c r="ZU3" s="301"/>
      <c r="ZV3" s="301"/>
      <c r="ZW3" s="301"/>
      <c r="ZX3" s="301"/>
      <c r="ZY3" s="301"/>
      <c r="ZZ3" s="301"/>
      <c r="AAA3" s="301"/>
      <c r="AAB3" s="301"/>
      <c r="AAC3" s="301"/>
      <c r="AAD3" s="301"/>
      <c r="AAE3" s="301"/>
      <c r="AAF3" s="301"/>
      <c r="AAG3" s="301"/>
      <c r="AAH3" s="301"/>
      <c r="AAI3" s="301"/>
      <c r="AAJ3" s="301"/>
      <c r="AAK3" s="301"/>
      <c r="AAL3" s="301"/>
      <c r="AAM3" s="301"/>
      <c r="AAN3" s="301"/>
      <c r="AAO3" s="301"/>
      <c r="AAP3" s="301"/>
      <c r="AAQ3" s="301"/>
      <c r="AAR3" s="301"/>
      <c r="AAS3" s="301"/>
      <c r="AAT3" s="301"/>
      <c r="AAU3" s="301"/>
      <c r="AAV3" s="301"/>
      <c r="AAW3" s="301"/>
      <c r="AAX3" s="301"/>
      <c r="AAY3" s="301"/>
      <c r="AAZ3" s="301"/>
      <c r="ABA3" s="301"/>
      <c r="ABB3" s="301"/>
      <c r="ABC3" s="301"/>
      <c r="ABD3" s="301"/>
      <c r="ABE3" s="301"/>
      <c r="ABF3" s="301"/>
      <c r="ABG3" s="301"/>
      <c r="ABH3" s="301"/>
      <c r="ABI3" s="301"/>
      <c r="ABJ3" s="301"/>
      <c r="ABK3" s="301"/>
      <c r="ABL3" s="301"/>
      <c r="ABM3" s="301"/>
      <c r="ABN3" s="301"/>
      <c r="ABO3" s="301"/>
      <c r="ABP3" s="301"/>
      <c r="ABQ3" s="301"/>
      <c r="ABR3" s="301"/>
      <c r="ABS3" s="301"/>
      <c r="ABT3" s="301"/>
      <c r="ABU3" s="301"/>
      <c r="ABV3" s="301"/>
      <c r="ABW3" s="301"/>
      <c r="ABX3" s="301"/>
      <c r="ABY3" s="301"/>
      <c r="ABZ3" s="301"/>
      <c r="ACA3" s="301"/>
      <c r="ACB3" s="301"/>
      <c r="ACC3" s="301"/>
      <c r="ACD3" s="301"/>
      <c r="ACE3" s="301"/>
      <c r="ACF3" s="301"/>
      <c r="ACG3" s="301"/>
      <c r="ACH3" s="301"/>
      <c r="ACI3" s="301"/>
      <c r="ACJ3" s="301"/>
      <c r="ACK3" s="301"/>
      <c r="ACL3" s="301"/>
      <c r="ACM3" s="301"/>
      <c r="ACN3" s="301"/>
      <c r="ACO3" s="301"/>
      <c r="ACP3" s="301"/>
      <c r="ACQ3" s="301"/>
      <c r="ACR3" s="301"/>
      <c r="ACS3" s="301"/>
      <c r="ACT3" s="301"/>
      <c r="ACU3" s="301"/>
      <c r="ACV3" s="301"/>
      <c r="ACW3" s="301"/>
      <c r="ACX3" s="301"/>
      <c r="ACY3" s="301"/>
      <c r="ACZ3" s="301"/>
      <c r="ADA3" s="301"/>
      <c r="ADB3" s="301"/>
      <c r="ADC3" s="301"/>
      <c r="ADD3" s="301"/>
      <c r="ADE3" s="301"/>
      <c r="ADF3" s="301"/>
      <c r="ADG3" s="301"/>
      <c r="ADH3" s="301"/>
      <c r="ADI3" s="301"/>
      <c r="ADJ3" s="301"/>
      <c r="ADK3" s="301"/>
      <c r="ADL3" s="301"/>
      <c r="ADM3" s="301"/>
      <c r="ADN3" s="301"/>
      <c r="ADO3" s="301"/>
      <c r="ADP3" s="301"/>
      <c r="ADQ3" s="301"/>
      <c r="ADR3" s="301"/>
      <c r="ADS3" s="301"/>
      <c r="ADT3" s="301"/>
      <c r="ADU3" s="301"/>
      <c r="ADV3" s="301"/>
      <c r="ADW3" s="301"/>
      <c r="ADX3" s="301"/>
      <c r="ADY3" s="301"/>
      <c r="ADZ3" s="301"/>
      <c r="AEA3" s="301"/>
      <c r="AEB3" s="301"/>
      <c r="AEC3" s="301"/>
      <c r="AED3" s="301"/>
      <c r="AEE3" s="301"/>
      <c r="AEF3" s="301"/>
      <c r="AEG3" s="301"/>
      <c r="AEH3" s="301"/>
      <c r="AEI3" s="301"/>
      <c r="AEJ3" s="301"/>
      <c r="AEK3" s="301"/>
      <c r="AEL3" s="301"/>
      <c r="AEM3" s="301"/>
      <c r="AEN3" s="301"/>
      <c r="AEO3" s="301"/>
      <c r="AEP3" s="301"/>
      <c r="AEQ3" s="301"/>
      <c r="AER3" s="301"/>
      <c r="AES3" s="301"/>
      <c r="AET3" s="301"/>
      <c r="AEU3" s="301"/>
      <c r="AEV3" s="301"/>
      <c r="AEW3" s="301"/>
      <c r="AEX3" s="301"/>
      <c r="AEY3" s="301"/>
      <c r="AEZ3" s="301"/>
      <c r="AFA3" s="301"/>
      <c r="AFB3" s="301"/>
      <c r="AFC3" s="301"/>
      <c r="AFD3" s="301"/>
      <c r="AFE3" s="301"/>
      <c r="AFF3" s="301"/>
      <c r="AFG3" s="301"/>
      <c r="AFH3" s="301"/>
      <c r="AFI3" s="301"/>
      <c r="AFJ3" s="301"/>
      <c r="AFK3" s="301"/>
      <c r="AFL3" s="301"/>
      <c r="AFM3" s="301"/>
      <c r="AFN3" s="301"/>
      <c r="AFO3" s="301"/>
      <c r="AFP3" s="301"/>
      <c r="AFQ3" s="301"/>
      <c r="AFR3" s="301"/>
      <c r="AFS3" s="301"/>
      <c r="AFT3" s="301"/>
      <c r="AFU3" s="301"/>
      <c r="AFV3" s="301"/>
      <c r="AFW3" s="301"/>
      <c r="AFX3" s="301"/>
      <c r="AFY3" s="301"/>
      <c r="AFZ3" s="301"/>
      <c r="AGA3" s="301"/>
      <c r="AGB3" s="301"/>
      <c r="AGC3" s="301"/>
      <c r="AGD3" s="301"/>
      <c r="AGE3" s="301"/>
      <c r="AGF3" s="301"/>
      <c r="AGG3" s="301"/>
      <c r="AGH3" s="301"/>
      <c r="AGI3" s="301"/>
      <c r="AGJ3" s="301"/>
      <c r="AGK3" s="301"/>
      <c r="AGL3" s="301"/>
      <c r="AGM3" s="301"/>
      <c r="AGN3" s="301"/>
      <c r="AGO3" s="301"/>
      <c r="AGP3" s="301"/>
      <c r="AGQ3" s="301"/>
      <c r="AGR3" s="301"/>
      <c r="AGS3" s="301"/>
      <c r="AGT3" s="301"/>
      <c r="AGU3" s="301"/>
      <c r="AGV3" s="301"/>
      <c r="AGW3" s="301"/>
      <c r="AGX3" s="301"/>
      <c r="AGY3" s="301"/>
      <c r="AGZ3" s="301"/>
      <c r="AHA3" s="301"/>
      <c r="AHB3" s="301"/>
      <c r="AHC3" s="301"/>
      <c r="AHD3" s="301"/>
      <c r="AHE3" s="301"/>
      <c r="AHF3" s="301"/>
      <c r="AHG3" s="301"/>
      <c r="AHH3" s="301"/>
      <c r="AHI3" s="301"/>
      <c r="AHJ3" s="301"/>
      <c r="AHK3" s="301"/>
      <c r="AHL3" s="301"/>
      <c r="AHM3" s="301"/>
      <c r="AHN3" s="301"/>
      <c r="AHO3" s="301"/>
      <c r="AHP3" s="301"/>
      <c r="AHQ3" s="301"/>
      <c r="AHR3" s="301"/>
      <c r="AHS3" s="301"/>
      <c r="AHT3" s="301"/>
      <c r="AHU3" s="301"/>
      <c r="AHV3" s="301"/>
      <c r="AHW3" s="301"/>
      <c r="AHX3" s="301"/>
      <c r="AHY3" s="301"/>
      <c r="AHZ3" s="301"/>
      <c r="AIA3" s="301"/>
      <c r="AIB3" s="301"/>
      <c r="AIC3" s="301"/>
      <c r="AID3" s="301"/>
      <c r="AIE3" s="301"/>
      <c r="AIF3" s="301"/>
      <c r="AIG3" s="301"/>
      <c r="AIH3" s="301"/>
      <c r="AII3" s="301"/>
      <c r="AIJ3" s="301"/>
      <c r="AIK3" s="301"/>
      <c r="AIL3" s="301"/>
      <c r="AIM3" s="301"/>
      <c r="AIN3" s="301"/>
      <c r="AIO3" s="301"/>
      <c r="AIP3" s="301"/>
      <c r="AIQ3" s="301"/>
      <c r="AIR3" s="301"/>
      <c r="AIS3" s="301"/>
      <c r="AIT3" s="301"/>
      <c r="AIU3" s="301"/>
      <c r="AIV3" s="301"/>
      <c r="AIW3" s="301"/>
      <c r="AIX3" s="301"/>
      <c r="AIY3" s="301"/>
      <c r="AIZ3" s="301"/>
      <c r="AJA3" s="301"/>
      <c r="AJB3" s="301"/>
      <c r="AJC3" s="301"/>
      <c r="AJD3" s="301"/>
      <c r="AJE3" s="301"/>
      <c r="AJF3" s="301"/>
      <c r="AJG3" s="301"/>
      <c r="AJH3" s="301"/>
      <c r="AJI3" s="301"/>
      <c r="AJJ3" s="301"/>
      <c r="AJK3" s="301"/>
      <c r="AJL3" s="301"/>
      <c r="AJM3" s="301"/>
      <c r="AJN3" s="301"/>
      <c r="AJO3" s="301"/>
      <c r="AJP3" s="301"/>
      <c r="AJQ3" s="301"/>
      <c r="AJR3" s="301"/>
      <c r="AJS3" s="301"/>
      <c r="AJT3" s="301"/>
      <c r="AJU3" s="301"/>
      <c r="AJV3" s="301"/>
      <c r="AJW3" s="301"/>
      <c r="AJX3" s="301"/>
      <c r="AJY3" s="301"/>
      <c r="AJZ3" s="301"/>
      <c r="AKA3" s="301"/>
      <c r="AKB3" s="301"/>
      <c r="AKC3" s="301"/>
      <c r="AKD3" s="301"/>
      <c r="AKE3" s="301"/>
      <c r="AKF3" s="301"/>
      <c r="AKG3" s="301"/>
      <c r="AKH3" s="301"/>
      <c r="AKI3" s="301"/>
      <c r="AKJ3" s="301"/>
      <c r="AKK3" s="301"/>
      <c r="AKL3" s="301"/>
      <c r="AKM3" s="301"/>
      <c r="AKN3" s="301"/>
      <c r="AKO3" s="301"/>
      <c r="AKP3" s="301"/>
      <c r="AKQ3" s="301"/>
      <c r="AKR3" s="301"/>
      <c r="AKS3" s="301"/>
      <c r="AKT3" s="301"/>
      <c r="AKU3" s="301"/>
      <c r="AKV3" s="301"/>
      <c r="AKW3" s="301"/>
      <c r="AKX3" s="301"/>
      <c r="AKY3" s="301"/>
      <c r="AKZ3" s="301"/>
      <c r="ALA3" s="301"/>
      <c r="ALB3" s="301"/>
      <c r="ALC3" s="301"/>
      <c r="ALD3" s="301"/>
      <c r="ALE3" s="301"/>
      <c r="ALF3" s="301"/>
      <c r="ALG3" s="301"/>
      <c r="ALH3" s="301"/>
      <c r="ALI3" s="301"/>
      <c r="ALJ3" s="301"/>
      <c r="ALK3" s="301"/>
      <c r="ALL3" s="301"/>
      <c r="ALM3" s="301"/>
      <c r="ALN3" s="301"/>
      <c r="ALO3" s="301"/>
      <c r="ALP3" s="301"/>
      <c r="ALQ3" s="301"/>
      <c r="ALR3" s="301"/>
      <c r="ALS3" s="301"/>
      <c r="ALT3" s="301"/>
      <c r="ALU3" s="301"/>
      <c r="ALV3" s="301"/>
      <c r="ALW3" s="301"/>
      <c r="ALX3" s="301"/>
      <c r="ALY3" s="301"/>
      <c r="ALZ3" s="301"/>
      <c r="AMA3" s="301"/>
      <c r="AMB3" s="301"/>
      <c r="AMC3" s="301"/>
      <c r="AMD3" s="301"/>
      <c r="AME3" s="301"/>
      <c r="AMF3" s="301"/>
      <c r="AMG3" s="301"/>
      <c r="AMH3" s="301"/>
      <c r="AMI3" s="301"/>
      <c r="AMJ3" s="301"/>
    </row>
    <row r="4" customFormat="false" ht="13.8" hidden="false" customHeight="false" outlineLevel="0" collapsed="false">
      <c r="A4" s="256" t="s">
        <v>503</v>
      </c>
      <c r="B4" s="302" t="s">
        <v>504</v>
      </c>
      <c r="C4" s="303" t="n">
        <v>50613</v>
      </c>
    </row>
    <row r="5" customFormat="false" ht="14.15" hidden="false" customHeight="false" outlineLevel="0" collapsed="false">
      <c r="A5" s="256" t="s">
        <v>505</v>
      </c>
      <c r="B5" s="302" t="s">
        <v>506</v>
      </c>
      <c r="C5" s="304" t="n">
        <v>0.28</v>
      </c>
    </row>
    <row r="6" customFormat="false" ht="13.8" hidden="false" customHeight="false" outlineLevel="0" collapsed="false">
      <c r="A6" s="256" t="s">
        <v>507</v>
      </c>
      <c r="B6" s="302" t="s">
        <v>508</v>
      </c>
      <c r="C6" s="305" t="n">
        <f aca="false">C4*C5/1000</f>
        <v>14.17164</v>
      </c>
    </row>
    <row r="7" customFormat="false" ht="13.8" hidden="false" customHeight="false" outlineLevel="0" collapsed="false">
      <c r="A7" s="256" t="s">
        <v>509</v>
      </c>
      <c r="B7" s="302" t="s">
        <v>510</v>
      </c>
      <c r="C7" s="306" t="n">
        <f aca="false">(C6*30)</f>
        <v>425.1492</v>
      </c>
    </row>
    <row r="8" customFormat="false" ht="13.8" hidden="false" customHeight="false" outlineLevel="0" collapsed="false">
      <c r="A8" s="256" t="s">
        <v>511</v>
      </c>
      <c r="B8" s="302" t="s">
        <v>59</v>
      </c>
      <c r="C8" s="307" t="n">
        <v>3</v>
      </c>
    </row>
    <row r="9" customFormat="false" ht="13.8" hidden="false" customHeight="false" outlineLevel="0" collapsed="false">
      <c r="A9" s="256" t="s">
        <v>512</v>
      </c>
      <c r="B9" s="302" t="s">
        <v>508</v>
      </c>
      <c r="C9" s="305" t="n">
        <f aca="false">IFERROR(C6*7/C8,0)</f>
        <v>33.06716</v>
      </c>
    </row>
    <row r="10" customFormat="false" ht="13.8" hidden="false" customHeight="false" outlineLevel="0" collapsed="false">
      <c r="A10" s="256" t="s">
        <v>513</v>
      </c>
      <c r="B10" s="302" t="s">
        <v>514</v>
      </c>
      <c r="C10" s="253" t="n">
        <v>500</v>
      </c>
    </row>
    <row r="11" customFormat="false" ht="13.8" hidden="false" customHeight="false" outlineLevel="0" collapsed="false">
      <c r="A11" s="256" t="s">
        <v>515</v>
      </c>
      <c r="B11" s="302"/>
      <c r="C11" s="308" t="n">
        <v>1</v>
      </c>
    </row>
    <row r="12" customFormat="false" ht="13.8" hidden="false" customHeight="false" outlineLevel="0" collapsed="false">
      <c r="A12" s="256" t="s">
        <v>516</v>
      </c>
      <c r="B12" s="302" t="s">
        <v>517</v>
      </c>
      <c r="C12" s="308" t="n">
        <v>15</v>
      </c>
    </row>
    <row r="13" customFormat="false" ht="14.15" hidden="false" customHeight="false" outlineLevel="0" collapsed="false">
      <c r="A13" s="256" t="s">
        <v>518</v>
      </c>
      <c r="B13" s="302" t="s">
        <v>510</v>
      </c>
      <c r="C13" s="253" t="n">
        <f aca="false">IF(AND(C12&gt;=15,C11=1),5.8,C12/2)</f>
        <v>5.8</v>
      </c>
    </row>
    <row r="14" customFormat="false" ht="13.8" hidden="false" customHeight="false" outlineLevel="0" collapsed="false">
      <c r="A14" s="256" t="s">
        <v>519</v>
      </c>
      <c r="B14" s="302"/>
      <c r="C14" s="305" t="n">
        <f aca="false">IFERROR(C9/C13,0)</f>
        <v>5.70123448275862</v>
      </c>
    </row>
    <row r="15" customFormat="false" ht="13.8" hidden="false" customHeight="false" outlineLevel="0" collapsed="false">
      <c r="A15" s="256" t="s">
        <v>520</v>
      </c>
      <c r="B15" s="302"/>
      <c r="C15" s="309" t="n">
        <v>2.5</v>
      </c>
    </row>
    <row r="16" customFormat="false" ht="13.8" hidden="false" customHeight="false" outlineLevel="0" collapsed="false">
      <c r="A16" s="310" t="s">
        <v>521</v>
      </c>
      <c r="B16" s="311"/>
      <c r="C16" s="312" t="n">
        <f aca="false">IFERROR(C14/C15,0)</f>
        <v>2.28049379310345</v>
      </c>
    </row>
  </sheetData>
  <mergeCells count="1">
    <mergeCell ref="A1:C1"/>
  </mergeCells>
  <conditionalFormatting sqref="C13">
    <cfRule type="expression" priority="2" aboveAverage="0" equalAverage="0" bottom="0" percent="0" rank="0" text="" dxfId="0">
      <formula>"SE(E(C20&gt;=15;C19=1))"</formula>
    </cfRule>
  </conditionalFormatting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10" activeCellId="0" sqref="D1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13.59"/>
    <col collapsed="false" customWidth="true" hidden="false" outlineLevel="0" max="2" min="2" style="116" width="57.02"/>
    <col collapsed="false" customWidth="true" hidden="false" outlineLevel="0" max="3" min="3" style="116" width="20.85"/>
    <col collapsed="false" customWidth="true" hidden="false" outlineLevel="0" max="4" min="4" style="313" width="37.34"/>
    <col collapsed="false" customWidth="true" hidden="false" outlineLevel="0" max="10" min="5" style="116" width="9.14"/>
    <col collapsed="false" customWidth="true" hidden="false" outlineLevel="0" max="11" min="11" style="116" width="11"/>
    <col collapsed="false" customWidth="true" hidden="false" outlineLevel="0" max="64" min="12" style="116" width="9.14"/>
  </cols>
  <sheetData>
    <row r="1" customFormat="false" ht="17.35" hidden="false" customHeight="false" outlineLevel="0" collapsed="false">
      <c r="A1" s="314" t="s">
        <v>522</v>
      </c>
      <c r="B1" s="314"/>
      <c r="C1" s="314"/>
      <c r="D1" s="315"/>
      <c r="E1" s="315"/>
      <c r="F1" s="315"/>
    </row>
    <row r="2" customFormat="false" ht="13.8" hidden="false" customHeight="false" outlineLevel="0" collapsed="false">
      <c r="A2" s="316" t="s">
        <v>523</v>
      </c>
      <c r="B2" s="317" t="s">
        <v>245</v>
      </c>
      <c r="C2" s="318" t="s">
        <v>502</v>
      </c>
      <c r="D2" s="319"/>
    </row>
    <row r="3" customFormat="false" ht="13.8" hidden="false" customHeight="false" outlineLevel="0" collapsed="false">
      <c r="A3" s="316" t="s">
        <v>524</v>
      </c>
      <c r="B3" s="317" t="s">
        <v>525</v>
      </c>
      <c r="C3" s="320" t="n">
        <v>0.2</v>
      </c>
      <c r="D3" s="319"/>
      <c r="F3" s="313"/>
      <c r="G3" s="313"/>
      <c r="H3" s="313"/>
      <c r="I3" s="313"/>
      <c r="J3" s="313"/>
      <c r="K3" s="313"/>
      <c r="L3" s="313"/>
    </row>
    <row r="4" customFormat="false" ht="13.8" hidden="false" customHeight="false" outlineLevel="0" collapsed="false">
      <c r="A4" s="316" t="s">
        <v>526</v>
      </c>
      <c r="B4" s="317" t="s">
        <v>527</v>
      </c>
      <c r="C4" s="320" t="n">
        <v>0.015</v>
      </c>
      <c r="D4" s="319"/>
      <c r="F4" s="313"/>
      <c r="G4" s="313"/>
      <c r="H4" s="313"/>
      <c r="I4" s="313"/>
      <c r="J4" s="313"/>
      <c r="K4" s="313"/>
      <c r="L4" s="313"/>
    </row>
    <row r="5" customFormat="false" ht="13.8" hidden="false" customHeight="false" outlineLevel="0" collapsed="false">
      <c r="A5" s="316" t="s">
        <v>528</v>
      </c>
      <c r="B5" s="317" t="s">
        <v>529</v>
      </c>
      <c r="C5" s="320" t="n">
        <v>0.01</v>
      </c>
      <c r="D5" s="319"/>
      <c r="F5" s="313"/>
      <c r="G5" s="313"/>
      <c r="H5" s="313"/>
      <c r="I5" s="313"/>
      <c r="J5" s="313"/>
      <c r="K5" s="313"/>
      <c r="L5" s="313"/>
    </row>
    <row r="6" customFormat="false" ht="13.8" hidden="false" customHeight="false" outlineLevel="0" collapsed="false">
      <c r="A6" s="316" t="s">
        <v>530</v>
      </c>
      <c r="B6" s="317" t="s">
        <v>531</v>
      </c>
      <c r="C6" s="320" t="n">
        <v>0.002</v>
      </c>
      <c r="D6" s="319"/>
      <c r="F6" s="313"/>
      <c r="G6" s="313"/>
      <c r="H6" s="313"/>
      <c r="I6" s="313"/>
      <c r="J6" s="313"/>
      <c r="K6" s="313"/>
      <c r="L6" s="313"/>
    </row>
    <row r="7" customFormat="false" ht="13.8" hidden="false" customHeight="false" outlineLevel="0" collapsed="false">
      <c r="A7" s="316" t="s">
        <v>532</v>
      </c>
      <c r="B7" s="317" t="s">
        <v>533</v>
      </c>
      <c r="C7" s="320" t="n">
        <v>0.006</v>
      </c>
      <c r="D7" s="319"/>
      <c r="F7" s="313"/>
      <c r="G7" s="313"/>
      <c r="H7" s="313"/>
      <c r="I7" s="313"/>
      <c r="J7" s="313"/>
      <c r="K7" s="313"/>
      <c r="L7" s="313"/>
    </row>
    <row r="8" customFormat="false" ht="13.8" hidden="false" customHeight="false" outlineLevel="0" collapsed="false">
      <c r="A8" s="316" t="s">
        <v>534</v>
      </c>
      <c r="B8" s="317" t="s">
        <v>535</v>
      </c>
      <c r="C8" s="320" t="n">
        <v>0.025</v>
      </c>
      <c r="D8" s="319"/>
      <c r="F8" s="313"/>
      <c r="G8" s="313"/>
      <c r="H8" s="313"/>
      <c r="I8" s="313"/>
      <c r="J8" s="313"/>
      <c r="K8" s="313"/>
      <c r="L8" s="313"/>
    </row>
    <row r="9" customFormat="false" ht="13.8" hidden="false" customHeight="false" outlineLevel="0" collapsed="false">
      <c r="A9" s="316" t="s">
        <v>536</v>
      </c>
      <c r="B9" s="317" t="s">
        <v>537</v>
      </c>
      <c r="C9" s="320" t="n">
        <v>0.03</v>
      </c>
      <c r="D9" s="319"/>
      <c r="F9" s="313"/>
      <c r="G9" s="313"/>
      <c r="H9" s="313"/>
      <c r="I9" s="313"/>
      <c r="J9" s="313"/>
      <c r="K9" s="313"/>
      <c r="L9" s="313"/>
    </row>
    <row r="10" customFormat="false" ht="13.8" hidden="false" customHeight="false" outlineLevel="0" collapsed="false">
      <c r="A10" s="316" t="s">
        <v>538</v>
      </c>
      <c r="B10" s="317" t="s">
        <v>539</v>
      </c>
      <c r="C10" s="320" t="n">
        <v>0.08</v>
      </c>
      <c r="D10" s="319"/>
      <c r="F10" s="313"/>
      <c r="G10" s="313"/>
      <c r="H10" s="313"/>
      <c r="I10" s="313"/>
      <c r="J10" s="313"/>
      <c r="K10" s="313"/>
      <c r="L10" s="313"/>
    </row>
    <row r="11" customFormat="false" ht="13.8" hidden="false" customHeight="false" outlineLevel="0" collapsed="false">
      <c r="A11" s="316" t="s">
        <v>540</v>
      </c>
      <c r="B11" s="321" t="s">
        <v>541</v>
      </c>
      <c r="C11" s="322" t="n">
        <f aca="false">SUM(C3:C10)</f>
        <v>0.368</v>
      </c>
      <c r="D11" s="319"/>
      <c r="F11" s="313"/>
      <c r="G11" s="313"/>
      <c r="H11" s="313"/>
      <c r="I11" s="313"/>
      <c r="J11" s="313"/>
      <c r="K11" s="313"/>
      <c r="L11" s="313"/>
    </row>
    <row r="12" customFormat="false" ht="13.8" hidden="false" customHeight="false" outlineLevel="0" collapsed="false">
      <c r="A12" s="323"/>
      <c r="B12" s="324"/>
      <c r="C12" s="325"/>
      <c r="D12" s="319"/>
      <c r="F12" s="313"/>
      <c r="G12" s="313"/>
      <c r="H12" s="313"/>
      <c r="I12" s="313"/>
      <c r="J12" s="313"/>
      <c r="K12" s="313"/>
      <c r="L12" s="313"/>
    </row>
    <row r="13" customFormat="false" ht="13.8" hidden="false" customHeight="false" outlineLevel="0" collapsed="false">
      <c r="A13" s="316" t="s">
        <v>542</v>
      </c>
      <c r="B13" s="317" t="s">
        <v>543</v>
      </c>
      <c r="C13" s="320" t="n">
        <f aca="false">ROUND(IF('3.CAGED'!C22&gt;24,(1-12/'3.CAGED'!C22)*0.1111,0.1111-C22),4)</f>
        <v>0.0619</v>
      </c>
      <c r="D13" s="319"/>
      <c r="F13" s="313"/>
      <c r="G13" s="313"/>
      <c r="H13" s="313"/>
      <c r="I13" s="313"/>
      <c r="J13" s="313"/>
      <c r="K13" s="313"/>
      <c r="L13" s="313"/>
    </row>
    <row r="14" customFormat="false" ht="13.8" hidden="false" customHeight="false" outlineLevel="0" collapsed="false">
      <c r="A14" s="316" t="s">
        <v>544</v>
      </c>
      <c r="B14" s="317" t="s">
        <v>545</v>
      </c>
      <c r="C14" s="320" t="n">
        <f aca="false">ROUND('3.CAGED'!C26/'3.CAGED'!C23,4)</f>
        <v>0.0833</v>
      </c>
      <c r="D14" s="319"/>
      <c r="F14" s="313"/>
      <c r="G14" s="313"/>
      <c r="H14" s="313"/>
      <c r="I14" s="313"/>
      <c r="J14" s="313"/>
      <c r="K14" s="313"/>
      <c r="L14" s="313"/>
    </row>
    <row r="15" customFormat="false" ht="13.8" hidden="false" customHeight="false" outlineLevel="0" collapsed="false">
      <c r="A15" s="316" t="s">
        <v>546</v>
      </c>
      <c r="B15" s="317" t="s">
        <v>547</v>
      </c>
      <c r="C15" s="320" t="n">
        <v>0.0006</v>
      </c>
      <c r="D15" s="319"/>
      <c r="F15" s="313"/>
      <c r="G15" s="313"/>
      <c r="H15" s="313"/>
      <c r="I15" s="313"/>
      <c r="J15" s="313"/>
      <c r="K15" s="313"/>
      <c r="L15" s="313"/>
    </row>
    <row r="16" customFormat="false" ht="13.8" hidden="false" customHeight="false" outlineLevel="0" collapsed="false">
      <c r="A16" s="316" t="s">
        <v>548</v>
      </c>
      <c r="B16" s="317" t="s">
        <v>549</v>
      </c>
      <c r="C16" s="320" t="n">
        <v>0.0082</v>
      </c>
      <c r="D16" s="319"/>
      <c r="F16" s="313"/>
      <c r="G16" s="313"/>
      <c r="H16" s="313"/>
      <c r="I16" s="313"/>
      <c r="J16" s="313"/>
      <c r="K16" s="313"/>
      <c r="L16" s="313"/>
    </row>
    <row r="17" customFormat="false" ht="13.8" hidden="false" customHeight="false" outlineLevel="0" collapsed="false">
      <c r="A17" s="316" t="s">
        <v>550</v>
      </c>
      <c r="B17" s="317" t="s">
        <v>551</v>
      </c>
      <c r="C17" s="320" t="n">
        <v>0.0031</v>
      </c>
      <c r="D17" s="319"/>
      <c r="F17" s="313"/>
      <c r="G17" s="313"/>
      <c r="H17" s="313"/>
      <c r="I17" s="313"/>
      <c r="J17" s="313"/>
      <c r="K17" s="313"/>
      <c r="L17" s="313"/>
    </row>
    <row r="18" customFormat="false" ht="13.8" hidden="false" customHeight="false" outlineLevel="0" collapsed="false">
      <c r="A18" s="316" t="s">
        <v>552</v>
      </c>
      <c r="B18" s="317" t="s">
        <v>553</v>
      </c>
      <c r="C18" s="320" t="n">
        <v>0.0166</v>
      </c>
      <c r="D18" s="319"/>
      <c r="F18" s="313"/>
      <c r="G18" s="313"/>
      <c r="H18" s="313"/>
      <c r="I18" s="313"/>
      <c r="J18" s="313"/>
      <c r="K18" s="313"/>
      <c r="L18" s="313"/>
    </row>
    <row r="19" customFormat="false" ht="13.8" hidden="false" customHeight="false" outlineLevel="0" collapsed="false">
      <c r="A19" s="316" t="s">
        <v>554</v>
      </c>
      <c r="B19" s="321" t="s">
        <v>555</v>
      </c>
      <c r="C19" s="322" t="n">
        <f aca="false">SUM(C13:C18)</f>
        <v>0.1737</v>
      </c>
      <c r="D19" s="326"/>
      <c r="F19" s="313"/>
      <c r="G19" s="313"/>
      <c r="H19" s="313"/>
      <c r="I19" s="313"/>
      <c r="J19" s="313"/>
      <c r="K19" s="313"/>
      <c r="L19" s="313"/>
    </row>
    <row r="20" customFormat="false" ht="13.8" hidden="false" customHeight="false" outlineLevel="0" collapsed="false">
      <c r="A20" s="323"/>
      <c r="B20" s="324"/>
      <c r="C20" s="325"/>
      <c r="D20" s="326"/>
      <c r="F20" s="313"/>
      <c r="G20" s="313"/>
      <c r="H20" s="313"/>
      <c r="I20" s="313"/>
      <c r="J20" s="313"/>
      <c r="K20" s="313"/>
      <c r="L20" s="313"/>
    </row>
    <row r="21" customFormat="false" ht="13.8" hidden="false" customHeight="false" outlineLevel="0" collapsed="false">
      <c r="A21" s="316" t="s">
        <v>556</v>
      </c>
      <c r="B21" s="317" t="s">
        <v>557</v>
      </c>
      <c r="C21" s="320" t="n">
        <f aca="false">ROUND(('3.CAGED'!C27) *'3.CAGED'!C20/'3.CAGED'!C23,4)</f>
        <v>0.0256</v>
      </c>
      <c r="D21" s="319"/>
      <c r="E21" s="327"/>
      <c r="F21" s="313"/>
      <c r="G21" s="313"/>
      <c r="H21" s="313"/>
      <c r="I21" s="313"/>
      <c r="J21" s="313"/>
      <c r="K21" s="313"/>
      <c r="L21" s="313"/>
    </row>
    <row r="22" customFormat="false" ht="13.8" hidden="false" customHeight="false" outlineLevel="0" collapsed="false">
      <c r="A22" s="316" t="s">
        <v>558</v>
      </c>
      <c r="B22" s="317" t="s">
        <v>559</v>
      </c>
      <c r="C22" s="320" t="n">
        <f aca="false">ROUND(IF('3.CAGED'!C22&gt;12,12/'3.CAGED'!C22*0.1111,0.1111),4)</f>
        <v>0.0492</v>
      </c>
      <c r="D22" s="319"/>
      <c r="F22" s="313"/>
      <c r="G22" s="313"/>
      <c r="H22" s="328"/>
      <c r="I22" s="313"/>
      <c r="J22" s="313"/>
      <c r="K22" s="313"/>
      <c r="L22" s="313"/>
    </row>
    <row r="23" customFormat="false" ht="13.8" hidden="false" customHeight="false" outlineLevel="0" collapsed="false">
      <c r="A23" s="316" t="s">
        <v>560</v>
      </c>
      <c r="B23" s="317" t="s">
        <v>561</v>
      </c>
      <c r="C23" s="320" t="n">
        <f aca="false">C21*C22</f>
        <v>0.00125952</v>
      </c>
      <c r="D23" s="319"/>
      <c r="E23" s="327"/>
      <c r="F23" s="313"/>
      <c r="G23" s="313"/>
      <c r="H23" s="313"/>
      <c r="I23" s="313"/>
      <c r="J23" s="313"/>
      <c r="K23" s="313"/>
      <c r="L23" s="313"/>
    </row>
    <row r="24" customFormat="false" ht="13.8" hidden="false" customHeight="false" outlineLevel="0" collapsed="false">
      <c r="A24" s="316" t="s">
        <v>562</v>
      </c>
      <c r="B24" s="317" t="s">
        <v>563</v>
      </c>
      <c r="C24" s="320" t="n">
        <f aca="false">ROUND(('3.CAGED'!C23+'3.CAGED'!C24+'3.CAGED'!C26)/'3.CAGED'!C21*'3.CAGED'!C28*'3.CAGED'!C29*'3.CAGED'!C20/'3.CAGED'!C23,4)</f>
        <v>0.0205</v>
      </c>
      <c r="D24" s="319"/>
      <c r="F24" s="313"/>
      <c r="G24" s="329"/>
      <c r="H24" s="313"/>
      <c r="I24" s="313"/>
      <c r="J24" s="313"/>
      <c r="K24" s="313"/>
      <c r="L24" s="313"/>
    </row>
    <row r="25" customFormat="false" ht="13.8" hidden="false" customHeight="false" outlineLevel="0" collapsed="false">
      <c r="A25" s="316" t="s">
        <v>564</v>
      </c>
      <c r="B25" s="317" t="s">
        <v>565</v>
      </c>
      <c r="C25" s="320" t="n">
        <f aca="false">ROUND(('3.CAGED'!C25/'3.CAGED'!C23)*'3.CAGED'!C20/12,4)</f>
        <v>0.0018</v>
      </c>
      <c r="D25" s="319"/>
      <c r="F25" s="313"/>
      <c r="G25" s="313"/>
      <c r="H25" s="313"/>
      <c r="I25" s="313"/>
      <c r="J25" s="313"/>
      <c r="K25" s="313"/>
      <c r="L25" s="313"/>
    </row>
    <row r="26" customFormat="false" ht="13.8" hidden="false" customHeight="false" outlineLevel="0" collapsed="false">
      <c r="A26" s="316" t="s">
        <v>566</v>
      </c>
      <c r="B26" s="321" t="s">
        <v>567</v>
      </c>
      <c r="C26" s="322" t="n">
        <f aca="false">SUM(C21:C25)</f>
        <v>0.09835952</v>
      </c>
      <c r="D26" s="326"/>
      <c r="F26" s="313"/>
      <c r="G26" s="313"/>
      <c r="H26" s="313"/>
      <c r="I26" s="313"/>
      <c r="J26" s="313"/>
      <c r="K26" s="313"/>
      <c r="L26" s="313"/>
    </row>
    <row r="27" customFormat="false" ht="13.8" hidden="false" customHeight="false" outlineLevel="0" collapsed="false">
      <c r="A27" s="323"/>
      <c r="B27" s="324"/>
      <c r="C27" s="325"/>
      <c r="D27" s="326"/>
      <c r="F27" s="313"/>
      <c r="G27" s="313"/>
      <c r="H27" s="313"/>
      <c r="I27" s="313"/>
      <c r="J27" s="313"/>
      <c r="K27" s="313"/>
      <c r="L27" s="313"/>
    </row>
    <row r="28" customFormat="false" ht="13.8" hidden="false" customHeight="false" outlineLevel="0" collapsed="false">
      <c r="A28" s="316" t="s">
        <v>568</v>
      </c>
      <c r="B28" s="317" t="s">
        <v>569</v>
      </c>
      <c r="C28" s="320" t="n">
        <f aca="false">ROUND(C11*C19,4)</f>
        <v>0.0639</v>
      </c>
      <c r="D28" s="319"/>
      <c r="F28" s="313"/>
      <c r="G28" s="313"/>
      <c r="H28" s="313"/>
      <c r="I28" s="313"/>
      <c r="J28" s="313"/>
      <c r="K28" s="313"/>
      <c r="L28" s="313"/>
    </row>
    <row r="29" customFormat="false" ht="14.15" hidden="false" customHeight="false" outlineLevel="0" collapsed="false">
      <c r="A29" s="316" t="s">
        <v>570</v>
      </c>
      <c r="B29" s="330" t="s">
        <v>571</v>
      </c>
      <c r="C29" s="320" t="n">
        <f aca="false">ROUND((C21*C10),4)</f>
        <v>0.002</v>
      </c>
      <c r="D29" s="319"/>
      <c r="F29" s="313"/>
      <c r="G29" s="313"/>
      <c r="H29" s="313"/>
      <c r="I29" s="313"/>
      <c r="J29" s="313"/>
      <c r="K29" s="313"/>
      <c r="L29" s="313"/>
    </row>
    <row r="30" customFormat="false" ht="13.8" hidden="false" customHeight="false" outlineLevel="0" collapsed="false">
      <c r="A30" s="316" t="s">
        <v>572</v>
      </c>
      <c r="B30" s="321" t="s">
        <v>573</v>
      </c>
      <c r="C30" s="322" t="n">
        <f aca="false">SUM(C28:C29)</f>
        <v>0.0659</v>
      </c>
      <c r="D30" s="326"/>
      <c r="F30" s="313"/>
      <c r="G30" s="313"/>
      <c r="H30" s="313"/>
      <c r="I30" s="313"/>
      <c r="J30" s="313"/>
      <c r="K30" s="313"/>
      <c r="L30" s="313"/>
    </row>
    <row r="31" customFormat="false" ht="13.8" hidden="false" customHeight="false" outlineLevel="0" collapsed="false">
      <c r="A31" s="331"/>
      <c r="B31" s="332" t="s">
        <v>574</v>
      </c>
      <c r="C31" s="333" t="n">
        <f aca="false">C30+C26+C19+C11</f>
        <v>0.70595952</v>
      </c>
      <c r="D31" s="326"/>
      <c r="F31" s="313"/>
      <c r="G31" s="313"/>
      <c r="H31" s="313"/>
      <c r="I31" s="313"/>
      <c r="J31" s="313"/>
      <c r="K31" s="313"/>
      <c r="L31" s="313"/>
    </row>
    <row r="32" customFormat="false" ht="13.8" hidden="false" customHeight="false" outlineLevel="0" collapsed="false">
      <c r="A32" s="319"/>
      <c r="B32" s="334"/>
      <c r="C32" s="335"/>
      <c r="D32" s="336"/>
      <c r="F32" s="313"/>
      <c r="G32" s="313"/>
      <c r="H32" s="313"/>
      <c r="I32" s="313"/>
      <c r="J32" s="313"/>
      <c r="K32" s="313"/>
      <c r="L32" s="313"/>
    </row>
    <row r="33" customFormat="false" ht="13.8" hidden="false" customHeight="false" outlineLevel="0" collapsed="false">
      <c r="A33" s="319"/>
      <c r="B33" s="319"/>
      <c r="C33" s="337"/>
      <c r="D33" s="338"/>
      <c r="F33" s="313"/>
      <c r="G33" s="313"/>
      <c r="H33" s="313"/>
      <c r="I33" s="313"/>
      <c r="J33" s="313"/>
      <c r="K33" s="313"/>
      <c r="L33" s="313"/>
    </row>
  </sheetData>
  <mergeCells count="1">
    <mergeCell ref="A1:C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L29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D29" activeCellId="0" sqref="D2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8.58"/>
    <col collapsed="false" customWidth="true" hidden="false" outlineLevel="0" max="2" min="2" style="116" width="72.67"/>
    <col collapsed="false" customWidth="true" hidden="false" outlineLevel="0" max="3" min="3" style="116" width="13.71"/>
    <col collapsed="false" customWidth="true" hidden="false" outlineLevel="0" max="4" min="4" style="116" width="10.3"/>
    <col collapsed="false" customWidth="true" hidden="false" outlineLevel="0" max="5" min="5" style="116" width="13.71"/>
    <col collapsed="false" customWidth="true" hidden="false" outlineLevel="0" max="64" min="6" style="116" width="9.14"/>
  </cols>
  <sheetData>
    <row r="1" customFormat="false" ht="17.35" hidden="false" customHeight="false" outlineLevel="0" collapsed="false">
      <c r="B1" s="294" t="s">
        <v>575</v>
      </c>
      <c r="C1" s="294"/>
    </row>
    <row r="2" customFormat="false" ht="13.8" hidden="false" customHeight="false" outlineLevel="0" collapsed="false">
      <c r="A2" s="313"/>
      <c r="B2" s="339" t="s">
        <v>576</v>
      </c>
      <c r="C2" s="340"/>
    </row>
    <row r="3" customFormat="false" ht="13.8" hidden="false" customHeight="false" outlineLevel="0" collapsed="false">
      <c r="A3" s="313"/>
      <c r="B3" s="341" t="s">
        <v>577</v>
      </c>
      <c r="C3" s="342" t="n">
        <v>2100</v>
      </c>
    </row>
    <row r="4" customFormat="false" ht="13.8" hidden="false" customHeight="false" outlineLevel="0" collapsed="false">
      <c r="A4" s="313"/>
      <c r="B4" s="343" t="s">
        <v>578</v>
      </c>
      <c r="C4" s="342" t="n">
        <v>2031</v>
      </c>
    </row>
    <row r="5" customFormat="false" ht="13.8" hidden="false" customHeight="false" outlineLevel="0" collapsed="false">
      <c r="A5" s="313"/>
      <c r="B5" s="256" t="s">
        <v>579</v>
      </c>
      <c r="C5" s="308" t="n">
        <v>44</v>
      </c>
    </row>
    <row r="6" customFormat="false" ht="13.8" hidden="false" customHeight="false" outlineLevel="0" collapsed="false">
      <c r="A6" s="313"/>
      <c r="B6" s="256" t="s">
        <v>580</v>
      </c>
      <c r="C6" s="344" t="n">
        <v>1192</v>
      </c>
    </row>
    <row r="7" customFormat="false" ht="13.8" hidden="false" customHeight="false" outlineLevel="0" collapsed="false">
      <c r="A7" s="313"/>
      <c r="B7" s="256" t="s">
        <v>581</v>
      </c>
      <c r="C7" s="308" t="n">
        <v>372</v>
      </c>
    </row>
    <row r="8" customFormat="false" ht="13.8" hidden="false" customHeight="false" outlineLevel="0" collapsed="false">
      <c r="A8" s="313"/>
      <c r="B8" s="256" t="s">
        <v>582</v>
      </c>
      <c r="C8" s="308" t="n">
        <v>22</v>
      </c>
    </row>
    <row r="9" customFormat="false" ht="13.8" hidden="false" customHeight="false" outlineLevel="0" collapsed="false">
      <c r="A9" s="313"/>
      <c r="B9" s="256" t="s">
        <v>583</v>
      </c>
      <c r="C9" s="308" t="n">
        <v>350</v>
      </c>
    </row>
    <row r="10" customFormat="false" ht="13.8" hidden="false" customHeight="false" outlineLevel="0" collapsed="false">
      <c r="A10" s="313"/>
      <c r="B10" s="256" t="s">
        <v>584</v>
      </c>
      <c r="C10" s="308" t="n">
        <v>1</v>
      </c>
    </row>
    <row r="11" customFormat="false" ht="13.8" hidden="false" customHeight="false" outlineLevel="0" collapsed="false">
      <c r="A11" s="313"/>
      <c r="B11" s="256" t="s">
        <v>585</v>
      </c>
      <c r="C11" s="308" t="n">
        <v>30</v>
      </c>
    </row>
    <row r="12" customFormat="false" ht="13.8" hidden="false" customHeight="false" outlineLevel="0" collapsed="false">
      <c r="A12" s="313"/>
      <c r="B12" s="345" t="s">
        <v>586</v>
      </c>
      <c r="C12" s="346" t="n">
        <v>0</v>
      </c>
    </row>
    <row r="13" customFormat="false" ht="13.8" hidden="false" customHeight="false" outlineLevel="0" collapsed="false">
      <c r="A13" s="313"/>
      <c r="B13" s="347" t="s">
        <v>587</v>
      </c>
      <c r="C13" s="346" t="n">
        <v>0</v>
      </c>
    </row>
    <row r="14" customFormat="false" ht="13.8" hidden="false" customHeight="false" outlineLevel="0" collapsed="false">
      <c r="A14" s="313" t="s">
        <v>588</v>
      </c>
      <c r="B14" s="339" t="s">
        <v>589</v>
      </c>
      <c r="C14" s="340"/>
    </row>
    <row r="15" customFormat="false" ht="13.8" hidden="false" customHeight="false" outlineLevel="0" collapsed="false">
      <c r="A15" s="313"/>
      <c r="B15" s="348" t="s">
        <v>590</v>
      </c>
      <c r="C15" s="349" t="n">
        <v>4625</v>
      </c>
    </row>
    <row r="16" customFormat="false" ht="13.8" hidden="false" customHeight="false" outlineLevel="0" collapsed="false">
      <c r="A16" s="313"/>
      <c r="B16" s="256" t="s">
        <v>591</v>
      </c>
      <c r="C16" s="344" t="n">
        <v>4694</v>
      </c>
    </row>
    <row r="17" customFormat="false" ht="13.8" hidden="false" customHeight="false" outlineLevel="0" collapsed="false">
      <c r="B17" s="256" t="s">
        <v>592</v>
      </c>
      <c r="C17" s="253" t="n">
        <f aca="false">C3-C4</f>
        <v>69</v>
      </c>
    </row>
    <row r="18" customFormat="false" ht="13.8" hidden="false" customHeight="false" outlineLevel="0" collapsed="false">
      <c r="B18" s="233"/>
      <c r="C18" s="350"/>
    </row>
    <row r="19" customFormat="false" ht="13.8" hidden="false" customHeight="false" outlineLevel="0" collapsed="false">
      <c r="A19" s="301"/>
      <c r="B19" s="341" t="s">
        <v>593</v>
      </c>
      <c r="C19" s="351" t="n">
        <f aca="false">MEDIAN(C15,C16)</f>
        <v>4659.5</v>
      </c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S19" s="301"/>
      <c r="T19" s="301"/>
      <c r="U19" s="301"/>
      <c r="V19" s="301"/>
      <c r="W19" s="301"/>
      <c r="X19" s="301"/>
      <c r="Y19" s="301"/>
      <c r="Z19" s="301"/>
      <c r="AA19" s="301"/>
      <c r="AB19" s="301"/>
      <c r="AC19" s="301"/>
      <c r="AD19" s="301"/>
      <c r="AE19" s="301"/>
      <c r="AF19" s="301"/>
      <c r="AG19" s="301"/>
      <c r="AH19" s="301"/>
      <c r="AI19" s="301"/>
      <c r="AJ19" s="301"/>
      <c r="AK19" s="301"/>
      <c r="AL19" s="301"/>
      <c r="AM19" s="301"/>
      <c r="AN19" s="301"/>
      <c r="AO19" s="301"/>
      <c r="AP19" s="301"/>
      <c r="AQ19" s="301"/>
      <c r="AR19" s="301"/>
      <c r="AS19" s="301"/>
      <c r="AT19" s="301"/>
      <c r="AU19" s="301"/>
      <c r="AV19" s="301"/>
      <c r="AW19" s="301"/>
      <c r="AX19" s="301"/>
      <c r="AY19" s="301"/>
      <c r="AZ19" s="301"/>
      <c r="BA19" s="301"/>
      <c r="BB19" s="301"/>
      <c r="BC19" s="301"/>
      <c r="BD19" s="301"/>
      <c r="BE19" s="301"/>
      <c r="BF19" s="301"/>
      <c r="BG19" s="301"/>
      <c r="BH19" s="301"/>
      <c r="BI19" s="301"/>
      <c r="BJ19" s="301"/>
      <c r="BK19" s="301"/>
      <c r="BL19" s="301"/>
    </row>
    <row r="20" customFormat="false" ht="13.8" hidden="false" customHeight="false" outlineLevel="0" collapsed="false">
      <c r="B20" s="343" t="s">
        <v>594</v>
      </c>
      <c r="C20" s="352" t="n">
        <f aca="false">C6/C19</f>
        <v>0.255821440068677</v>
      </c>
    </row>
    <row r="21" customFormat="false" ht="13.8" hidden="false" customHeight="false" outlineLevel="0" collapsed="false">
      <c r="B21" s="343" t="s">
        <v>595</v>
      </c>
      <c r="C21" s="352" t="n">
        <f aca="false">MEDIAN(C3,C4)/C19</f>
        <v>0.443287906427728</v>
      </c>
    </row>
    <row r="22" customFormat="false" ht="13.8" hidden="false" customHeight="false" outlineLevel="0" collapsed="false">
      <c r="A22" s="301"/>
      <c r="B22" s="343" t="s">
        <v>596</v>
      </c>
      <c r="C22" s="353" t="n">
        <f aca="false">12/C21</f>
        <v>27.0704429920116</v>
      </c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  <c r="AJ22" s="301"/>
      <c r="AK22" s="301"/>
      <c r="AL22" s="301"/>
      <c r="AM22" s="301"/>
      <c r="AN22" s="301"/>
      <c r="AO22" s="301"/>
      <c r="AP22" s="301"/>
      <c r="AQ22" s="301"/>
      <c r="AR22" s="301"/>
      <c r="AS22" s="301"/>
      <c r="AT22" s="301"/>
      <c r="AU22" s="301"/>
      <c r="AV22" s="301"/>
      <c r="AW22" s="301"/>
      <c r="AX22" s="301"/>
      <c r="AY22" s="301"/>
      <c r="AZ22" s="301"/>
      <c r="BA22" s="301"/>
      <c r="BB22" s="301"/>
      <c r="BC22" s="301"/>
      <c r="BD22" s="301"/>
      <c r="BE22" s="301"/>
      <c r="BF22" s="301"/>
      <c r="BG22" s="301"/>
      <c r="BH22" s="301"/>
      <c r="BI22" s="301"/>
      <c r="BJ22" s="301"/>
      <c r="BK22" s="301"/>
      <c r="BL22" s="301"/>
    </row>
    <row r="23" customFormat="false" ht="13.8" hidden="false" customHeight="false" outlineLevel="0" collapsed="false">
      <c r="B23" s="343" t="s">
        <v>597</v>
      </c>
      <c r="C23" s="354" t="n">
        <v>360</v>
      </c>
    </row>
    <row r="24" customFormat="false" ht="13.8" hidden="false" customHeight="false" outlineLevel="0" collapsed="false">
      <c r="B24" s="343" t="s">
        <v>598</v>
      </c>
      <c r="C24" s="354" t="n">
        <v>10</v>
      </c>
    </row>
    <row r="25" customFormat="false" ht="13.8" hidden="false" customHeight="false" outlineLevel="0" collapsed="false">
      <c r="B25" s="341" t="s">
        <v>599</v>
      </c>
      <c r="C25" s="355" t="n">
        <v>30</v>
      </c>
    </row>
    <row r="26" customFormat="false" ht="13.8" hidden="false" customHeight="false" outlineLevel="0" collapsed="false">
      <c r="B26" s="341" t="s">
        <v>600</v>
      </c>
      <c r="C26" s="355" t="n">
        <v>30</v>
      </c>
    </row>
    <row r="27" customFormat="false" ht="13.8" hidden="false" customHeight="false" outlineLevel="0" collapsed="false">
      <c r="A27" s="301"/>
      <c r="B27" s="341" t="s">
        <v>601</v>
      </c>
      <c r="C27" s="355" t="n">
        <f aca="false">30+(3*TRUNC(1/C21))</f>
        <v>36</v>
      </c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301"/>
      <c r="AI27" s="301"/>
      <c r="AJ27" s="301"/>
      <c r="AK27" s="301"/>
      <c r="AL27" s="301"/>
      <c r="AM27" s="301"/>
      <c r="AN27" s="301"/>
      <c r="AO27" s="301"/>
      <c r="AP27" s="301"/>
      <c r="AQ27" s="301"/>
      <c r="AR27" s="301"/>
      <c r="AS27" s="301"/>
      <c r="AT27" s="301"/>
      <c r="AU27" s="301"/>
      <c r="AV27" s="301"/>
      <c r="AW27" s="301"/>
      <c r="AX27" s="301"/>
      <c r="AY27" s="301"/>
      <c r="AZ27" s="301"/>
      <c r="BA27" s="301"/>
      <c r="BB27" s="301"/>
      <c r="BC27" s="301"/>
      <c r="BD27" s="301"/>
      <c r="BE27" s="301"/>
      <c r="BF27" s="301"/>
      <c r="BG27" s="301"/>
      <c r="BH27" s="301"/>
      <c r="BI27" s="301"/>
      <c r="BJ27" s="301"/>
      <c r="BK27" s="301"/>
      <c r="BL27" s="301"/>
    </row>
    <row r="28" customFormat="false" ht="13.8" hidden="false" customHeight="false" outlineLevel="0" collapsed="false">
      <c r="A28" s="301"/>
      <c r="B28" s="343" t="s">
        <v>539</v>
      </c>
      <c r="C28" s="356" t="n">
        <v>0.08</v>
      </c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301"/>
      <c r="BA28" s="301"/>
      <c r="BB28" s="301"/>
      <c r="BC28" s="301"/>
      <c r="BD28" s="301"/>
      <c r="BE28" s="301"/>
      <c r="BF28" s="301"/>
      <c r="BG28" s="301"/>
      <c r="BH28" s="301"/>
      <c r="BI28" s="301"/>
      <c r="BJ28" s="301"/>
      <c r="BK28" s="301"/>
      <c r="BL28" s="301"/>
    </row>
    <row r="29" customFormat="false" ht="13.8" hidden="false" customHeight="false" outlineLevel="0" collapsed="false">
      <c r="A29" s="301"/>
      <c r="B29" s="357" t="s">
        <v>602</v>
      </c>
      <c r="C29" s="358" t="n">
        <v>0.4</v>
      </c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301"/>
      <c r="AA29" s="301"/>
      <c r="AB29" s="301"/>
      <c r="AC29" s="301"/>
      <c r="AD29" s="301"/>
      <c r="AE29" s="301"/>
      <c r="AF29" s="301"/>
      <c r="AG29" s="301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01"/>
      <c r="BA29" s="301"/>
      <c r="BB29" s="301"/>
      <c r="BC29" s="301"/>
      <c r="BD29" s="301"/>
      <c r="BE29" s="301"/>
      <c r="BF29" s="301"/>
      <c r="BG29" s="301"/>
      <c r="BH29" s="301"/>
      <c r="BI29" s="301"/>
      <c r="BJ29" s="301"/>
      <c r="BK29" s="301"/>
      <c r="BL29" s="301"/>
    </row>
  </sheetData>
  <mergeCells count="1">
    <mergeCell ref="B1:C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9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3" activeCellId="0" sqref="A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24.59"/>
    <col collapsed="false" customWidth="true" hidden="false" outlineLevel="0" max="2" min="2" style="116" width="22.49"/>
    <col collapsed="false" customWidth="true" hidden="false" outlineLevel="0" max="64" min="3" style="116" width="9.14"/>
    <col collapsed="false" customWidth="true" hidden="false" outlineLevel="0" max="1024" min="65" style="3" width="9.14"/>
  </cols>
  <sheetData>
    <row r="1" customFormat="false" ht="19.5" hidden="false" customHeight="true" outlineLevel="0" collapsed="false">
      <c r="A1" s="359" t="s">
        <v>603</v>
      </c>
      <c r="B1" s="359"/>
    </row>
    <row r="2" customFormat="false" ht="19.5" hidden="false" customHeight="true" outlineLevel="0" collapsed="false">
      <c r="A2" s="360" t="s">
        <v>604</v>
      </c>
      <c r="B2" s="361" t="s">
        <v>605</v>
      </c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1"/>
      <c r="AH2" s="301"/>
      <c r="AI2" s="301"/>
      <c r="AJ2" s="301"/>
      <c r="AK2" s="301"/>
      <c r="AL2" s="301"/>
      <c r="AM2" s="301"/>
      <c r="AN2" s="301"/>
      <c r="AO2" s="301"/>
      <c r="AP2" s="301"/>
      <c r="AQ2" s="301"/>
      <c r="AR2" s="301"/>
      <c r="AS2" s="301"/>
      <c r="AT2" s="301"/>
      <c r="AU2" s="301"/>
      <c r="AV2" s="301"/>
      <c r="AW2" s="301"/>
      <c r="AX2" s="301"/>
      <c r="AY2" s="301"/>
      <c r="AZ2" s="301"/>
      <c r="BA2" s="301"/>
      <c r="BB2" s="301"/>
      <c r="BC2" s="301"/>
      <c r="BD2" s="301"/>
      <c r="BE2" s="301"/>
      <c r="BF2" s="301"/>
      <c r="BG2" s="301"/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  <c r="BV2" s="301"/>
      <c r="BW2" s="301"/>
      <c r="BX2" s="301"/>
      <c r="BY2" s="301"/>
      <c r="BZ2" s="301"/>
      <c r="CA2" s="301"/>
      <c r="CB2" s="301"/>
      <c r="CC2" s="301"/>
      <c r="CD2" s="301"/>
      <c r="CE2" s="301"/>
      <c r="CF2" s="301"/>
      <c r="CG2" s="301"/>
      <c r="CH2" s="301"/>
      <c r="CI2" s="301"/>
      <c r="CJ2" s="301"/>
      <c r="CK2" s="301"/>
      <c r="CL2" s="301"/>
      <c r="CM2" s="301"/>
      <c r="CN2" s="301"/>
      <c r="CO2" s="301"/>
      <c r="CP2" s="301"/>
      <c r="CQ2" s="301"/>
      <c r="CR2" s="301"/>
      <c r="CS2" s="301"/>
      <c r="CT2" s="301"/>
      <c r="CU2" s="301"/>
      <c r="CV2" s="301"/>
      <c r="CW2" s="301"/>
      <c r="CX2" s="301"/>
      <c r="CY2" s="301"/>
      <c r="CZ2" s="301"/>
      <c r="DA2" s="301"/>
      <c r="DB2" s="301"/>
      <c r="DC2" s="301"/>
      <c r="DD2" s="301"/>
      <c r="DE2" s="301"/>
      <c r="DF2" s="301"/>
      <c r="DG2" s="301"/>
      <c r="DH2" s="301"/>
      <c r="DI2" s="301"/>
      <c r="DJ2" s="301"/>
      <c r="DK2" s="301"/>
      <c r="DL2" s="301"/>
      <c r="DM2" s="301"/>
      <c r="DN2" s="301"/>
      <c r="DO2" s="301"/>
      <c r="DP2" s="301"/>
      <c r="DQ2" s="301"/>
      <c r="DR2" s="301"/>
      <c r="DS2" s="301"/>
      <c r="DT2" s="301"/>
      <c r="DU2" s="301"/>
      <c r="DV2" s="301"/>
      <c r="DW2" s="301"/>
      <c r="DX2" s="301"/>
      <c r="DY2" s="301"/>
      <c r="DZ2" s="301"/>
      <c r="EA2" s="301"/>
      <c r="EB2" s="301"/>
      <c r="EC2" s="301"/>
      <c r="ED2" s="301"/>
      <c r="EE2" s="301"/>
      <c r="EF2" s="301"/>
      <c r="EG2" s="301"/>
      <c r="EH2" s="301"/>
      <c r="EI2" s="301"/>
      <c r="EJ2" s="301"/>
      <c r="EK2" s="301"/>
      <c r="EL2" s="301"/>
      <c r="EM2" s="301"/>
      <c r="EN2" s="301"/>
      <c r="EO2" s="301"/>
      <c r="EP2" s="301"/>
      <c r="EQ2" s="301"/>
      <c r="ER2" s="301"/>
      <c r="ES2" s="301"/>
      <c r="ET2" s="301"/>
      <c r="EU2" s="301"/>
      <c r="EV2" s="301"/>
      <c r="EW2" s="301"/>
      <c r="EX2" s="301"/>
      <c r="EY2" s="301"/>
      <c r="EZ2" s="301"/>
      <c r="FA2" s="301"/>
      <c r="FB2" s="301"/>
      <c r="FC2" s="301"/>
      <c r="FD2" s="301"/>
      <c r="FE2" s="301"/>
      <c r="FF2" s="301"/>
      <c r="FG2" s="301"/>
      <c r="FH2" s="301"/>
      <c r="FI2" s="301"/>
      <c r="FJ2" s="301"/>
      <c r="FK2" s="301"/>
      <c r="FL2" s="301"/>
      <c r="FM2" s="301"/>
      <c r="FN2" s="301"/>
      <c r="FO2" s="301"/>
      <c r="FP2" s="301"/>
      <c r="FQ2" s="301"/>
      <c r="FR2" s="301"/>
      <c r="FS2" s="301"/>
      <c r="FT2" s="301"/>
      <c r="FU2" s="301"/>
      <c r="FV2" s="301"/>
      <c r="FW2" s="301"/>
      <c r="FX2" s="301"/>
      <c r="FY2" s="301"/>
      <c r="FZ2" s="301"/>
      <c r="GA2" s="301"/>
      <c r="GB2" s="301"/>
      <c r="GC2" s="301"/>
      <c r="GD2" s="301"/>
      <c r="GE2" s="301"/>
      <c r="GF2" s="301"/>
      <c r="GG2" s="301"/>
      <c r="GH2" s="301"/>
      <c r="GI2" s="301"/>
      <c r="GJ2" s="301"/>
      <c r="GK2" s="301"/>
      <c r="GL2" s="301"/>
      <c r="GM2" s="301"/>
      <c r="GN2" s="301"/>
      <c r="GO2" s="301"/>
      <c r="GP2" s="301"/>
      <c r="GQ2" s="301"/>
      <c r="GR2" s="301"/>
      <c r="GS2" s="301"/>
      <c r="GT2" s="301"/>
      <c r="GU2" s="301"/>
      <c r="GV2" s="301"/>
      <c r="GW2" s="301"/>
      <c r="GX2" s="301"/>
      <c r="GY2" s="301"/>
      <c r="GZ2" s="301"/>
      <c r="HA2" s="301"/>
      <c r="HB2" s="301"/>
      <c r="HC2" s="301"/>
      <c r="HD2" s="301"/>
      <c r="HE2" s="301"/>
      <c r="HF2" s="301"/>
      <c r="HG2" s="301"/>
      <c r="HH2" s="301"/>
      <c r="HI2" s="301"/>
      <c r="HJ2" s="301"/>
      <c r="HK2" s="301"/>
      <c r="HL2" s="301"/>
      <c r="HM2" s="301"/>
      <c r="HN2" s="301"/>
      <c r="HO2" s="301"/>
      <c r="HP2" s="301"/>
      <c r="HQ2" s="301"/>
      <c r="HR2" s="301"/>
      <c r="HS2" s="301"/>
      <c r="HT2" s="301"/>
      <c r="HU2" s="301"/>
      <c r="HV2" s="301"/>
      <c r="HW2" s="301"/>
      <c r="HX2" s="301"/>
      <c r="HY2" s="301"/>
      <c r="HZ2" s="301"/>
      <c r="IA2" s="301"/>
      <c r="IB2" s="301"/>
      <c r="IC2" s="301"/>
      <c r="ID2" s="301"/>
      <c r="IE2" s="301"/>
      <c r="IF2" s="301"/>
      <c r="IG2" s="301"/>
      <c r="IH2" s="301"/>
      <c r="II2" s="301"/>
      <c r="IJ2" s="301"/>
      <c r="IK2" s="301"/>
      <c r="IL2" s="301"/>
      <c r="IM2" s="301"/>
      <c r="IN2" s="301"/>
      <c r="IO2" s="301"/>
      <c r="IP2" s="301"/>
      <c r="IQ2" s="301"/>
      <c r="IR2" s="301"/>
      <c r="IS2" s="301"/>
      <c r="IT2" s="301"/>
      <c r="IU2" s="301"/>
      <c r="IV2" s="301"/>
      <c r="IW2" s="301"/>
      <c r="IX2" s="301"/>
      <c r="IY2" s="301"/>
      <c r="IZ2" s="301"/>
      <c r="JA2" s="301"/>
      <c r="JB2" s="301"/>
      <c r="JC2" s="301"/>
      <c r="JD2" s="301"/>
      <c r="JE2" s="301"/>
      <c r="JF2" s="301"/>
      <c r="JG2" s="301"/>
      <c r="JH2" s="301"/>
      <c r="JI2" s="301"/>
      <c r="JJ2" s="301"/>
      <c r="JK2" s="301"/>
      <c r="JL2" s="301"/>
      <c r="JM2" s="301"/>
      <c r="JN2" s="301"/>
      <c r="JO2" s="301"/>
      <c r="JP2" s="301"/>
      <c r="JQ2" s="301"/>
      <c r="JR2" s="301"/>
      <c r="JS2" s="301"/>
      <c r="JT2" s="301"/>
      <c r="JU2" s="301"/>
      <c r="JV2" s="301"/>
      <c r="JW2" s="301"/>
      <c r="JX2" s="301"/>
      <c r="JY2" s="301"/>
      <c r="JZ2" s="301"/>
      <c r="KA2" s="301"/>
      <c r="KB2" s="301"/>
      <c r="KC2" s="301"/>
      <c r="KD2" s="301"/>
      <c r="KE2" s="301"/>
      <c r="KF2" s="301"/>
      <c r="KG2" s="301"/>
      <c r="KH2" s="301"/>
      <c r="KI2" s="301"/>
      <c r="KJ2" s="301"/>
      <c r="KK2" s="301"/>
      <c r="KL2" s="301"/>
      <c r="KM2" s="301"/>
      <c r="KN2" s="301"/>
      <c r="KO2" s="301"/>
      <c r="KP2" s="301"/>
      <c r="KQ2" s="301"/>
      <c r="KR2" s="301"/>
      <c r="KS2" s="301"/>
      <c r="KT2" s="301"/>
      <c r="KU2" s="301"/>
      <c r="KV2" s="301"/>
      <c r="KW2" s="301"/>
      <c r="KX2" s="301"/>
      <c r="KY2" s="301"/>
      <c r="KZ2" s="301"/>
      <c r="LA2" s="301"/>
      <c r="LB2" s="301"/>
      <c r="LC2" s="301"/>
      <c r="LD2" s="301"/>
      <c r="LE2" s="301"/>
      <c r="LF2" s="301"/>
      <c r="LG2" s="301"/>
      <c r="LH2" s="301"/>
      <c r="LI2" s="301"/>
      <c r="LJ2" s="301"/>
      <c r="LK2" s="301"/>
      <c r="LL2" s="301"/>
      <c r="LM2" s="301"/>
      <c r="LN2" s="301"/>
      <c r="LO2" s="301"/>
      <c r="LP2" s="301"/>
      <c r="LQ2" s="301"/>
      <c r="LR2" s="301"/>
      <c r="LS2" s="301"/>
      <c r="LT2" s="301"/>
      <c r="LU2" s="301"/>
      <c r="LV2" s="301"/>
      <c r="LW2" s="301"/>
      <c r="LX2" s="301"/>
      <c r="LY2" s="301"/>
      <c r="LZ2" s="301"/>
      <c r="MA2" s="301"/>
      <c r="MB2" s="301"/>
      <c r="MC2" s="301"/>
      <c r="MD2" s="301"/>
      <c r="ME2" s="301"/>
      <c r="MF2" s="301"/>
      <c r="MG2" s="301"/>
      <c r="MH2" s="301"/>
      <c r="MI2" s="301"/>
      <c r="MJ2" s="301"/>
      <c r="MK2" s="301"/>
      <c r="ML2" s="301"/>
      <c r="MM2" s="301"/>
      <c r="MN2" s="301"/>
      <c r="MO2" s="301"/>
      <c r="MP2" s="301"/>
      <c r="MQ2" s="301"/>
      <c r="MR2" s="301"/>
      <c r="MS2" s="301"/>
      <c r="MT2" s="301"/>
      <c r="MU2" s="301"/>
      <c r="MV2" s="301"/>
      <c r="MW2" s="301"/>
      <c r="MX2" s="301"/>
      <c r="MY2" s="301"/>
      <c r="MZ2" s="301"/>
      <c r="NA2" s="301"/>
      <c r="NB2" s="301"/>
      <c r="NC2" s="301"/>
      <c r="ND2" s="301"/>
      <c r="NE2" s="301"/>
      <c r="NF2" s="301"/>
      <c r="NG2" s="301"/>
      <c r="NH2" s="301"/>
      <c r="NI2" s="301"/>
      <c r="NJ2" s="301"/>
      <c r="NK2" s="301"/>
      <c r="NL2" s="301"/>
      <c r="NM2" s="301"/>
      <c r="NN2" s="301"/>
      <c r="NO2" s="301"/>
      <c r="NP2" s="301"/>
      <c r="NQ2" s="301"/>
      <c r="NR2" s="301"/>
      <c r="NS2" s="301"/>
      <c r="NT2" s="301"/>
      <c r="NU2" s="301"/>
      <c r="NV2" s="301"/>
      <c r="NW2" s="301"/>
      <c r="NX2" s="301"/>
      <c r="NY2" s="301"/>
      <c r="NZ2" s="301"/>
      <c r="OA2" s="301"/>
      <c r="OB2" s="301"/>
      <c r="OC2" s="301"/>
      <c r="OD2" s="301"/>
      <c r="OE2" s="301"/>
      <c r="OF2" s="301"/>
      <c r="OG2" s="301"/>
      <c r="OH2" s="301"/>
      <c r="OI2" s="301"/>
      <c r="OJ2" s="301"/>
      <c r="OK2" s="301"/>
      <c r="OL2" s="301"/>
      <c r="OM2" s="301"/>
      <c r="ON2" s="301"/>
      <c r="OO2" s="301"/>
      <c r="OP2" s="301"/>
      <c r="OQ2" s="301"/>
      <c r="OR2" s="301"/>
      <c r="OS2" s="301"/>
      <c r="OT2" s="301"/>
      <c r="OU2" s="301"/>
      <c r="OV2" s="301"/>
      <c r="OW2" s="301"/>
      <c r="OX2" s="301"/>
      <c r="OY2" s="301"/>
      <c r="OZ2" s="301"/>
      <c r="PA2" s="301"/>
      <c r="PB2" s="301"/>
      <c r="PC2" s="301"/>
      <c r="PD2" s="301"/>
      <c r="PE2" s="301"/>
      <c r="PF2" s="301"/>
      <c r="PG2" s="301"/>
      <c r="PH2" s="301"/>
      <c r="PI2" s="301"/>
      <c r="PJ2" s="301"/>
      <c r="PK2" s="301"/>
      <c r="PL2" s="301"/>
      <c r="PM2" s="301"/>
      <c r="PN2" s="301"/>
      <c r="PO2" s="301"/>
      <c r="PP2" s="301"/>
      <c r="PQ2" s="301"/>
      <c r="PR2" s="301"/>
      <c r="PS2" s="301"/>
      <c r="PT2" s="301"/>
      <c r="PU2" s="301"/>
      <c r="PV2" s="301"/>
      <c r="PW2" s="301"/>
      <c r="PX2" s="301"/>
      <c r="PY2" s="301"/>
      <c r="PZ2" s="301"/>
      <c r="QA2" s="301"/>
      <c r="QB2" s="301"/>
      <c r="QC2" s="301"/>
      <c r="QD2" s="301"/>
      <c r="QE2" s="301"/>
      <c r="QF2" s="301"/>
      <c r="QG2" s="301"/>
      <c r="QH2" s="301"/>
      <c r="QI2" s="301"/>
      <c r="QJ2" s="301"/>
      <c r="QK2" s="301"/>
      <c r="QL2" s="301"/>
      <c r="QM2" s="301"/>
      <c r="QN2" s="301"/>
      <c r="QO2" s="301"/>
      <c r="QP2" s="301"/>
      <c r="QQ2" s="301"/>
      <c r="QR2" s="301"/>
      <c r="QS2" s="301"/>
      <c r="QT2" s="301"/>
      <c r="QU2" s="301"/>
      <c r="QV2" s="301"/>
      <c r="QW2" s="301"/>
      <c r="QX2" s="301"/>
      <c r="QY2" s="301"/>
      <c r="QZ2" s="301"/>
      <c r="RA2" s="301"/>
      <c r="RB2" s="301"/>
      <c r="RC2" s="301"/>
      <c r="RD2" s="301"/>
      <c r="RE2" s="301"/>
      <c r="RF2" s="301"/>
      <c r="RG2" s="301"/>
      <c r="RH2" s="301"/>
      <c r="RI2" s="301"/>
      <c r="RJ2" s="301"/>
      <c r="RK2" s="301"/>
      <c r="RL2" s="301"/>
      <c r="RM2" s="301"/>
      <c r="RN2" s="301"/>
      <c r="RO2" s="301"/>
      <c r="RP2" s="301"/>
      <c r="RQ2" s="301"/>
      <c r="RR2" s="301"/>
      <c r="RS2" s="301"/>
      <c r="RT2" s="301"/>
      <c r="RU2" s="301"/>
      <c r="RV2" s="301"/>
      <c r="RW2" s="301"/>
      <c r="RX2" s="301"/>
      <c r="RY2" s="301"/>
      <c r="RZ2" s="301"/>
      <c r="SA2" s="301"/>
      <c r="SB2" s="301"/>
      <c r="SC2" s="301"/>
      <c r="SD2" s="301"/>
      <c r="SE2" s="301"/>
      <c r="SF2" s="301"/>
      <c r="SG2" s="301"/>
      <c r="SH2" s="301"/>
      <c r="SI2" s="301"/>
      <c r="SJ2" s="301"/>
      <c r="SK2" s="301"/>
      <c r="SL2" s="301"/>
      <c r="SM2" s="301"/>
      <c r="SN2" s="301"/>
      <c r="SO2" s="301"/>
      <c r="SP2" s="301"/>
      <c r="SQ2" s="301"/>
      <c r="SR2" s="301"/>
      <c r="SS2" s="301"/>
      <c r="ST2" s="301"/>
      <c r="SU2" s="301"/>
      <c r="SV2" s="301"/>
      <c r="SW2" s="301"/>
      <c r="SX2" s="301"/>
      <c r="SY2" s="301"/>
      <c r="SZ2" s="301"/>
      <c r="TA2" s="301"/>
      <c r="TB2" s="301"/>
      <c r="TC2" s="301"/>
      <c r="TD2" s="301"/>
      <c r="TE2" s="301"/>
      <c r="TF2" s="301"/>
      <c r="TG2" s="301"/>
      <c r="TH2" s="301"/>
      <c r="TI2" s="301"/>
      <c r="TJ2" s="301"/>
      <c r="TK2" s="301"/>
      <c r="TL2" s="301"/>
      <c r="TM2" s="301"/>
      <c r="TN2" s="301"/>
      <c r="TO2" s="301"/>
      <c r="TP2" s="301"/>
      <c r="TQ2" s="301"/>
      <c r="TR2" s="301"/>
      <c r="TS2" s="301"/>
      <c r="TT2" s="301"/>
      <c r="TU2" s="301"/>
      <c r="TV2" s="301"/>
      <c r="TW2" s="301"/>
      <c r="TX2" s="301"/>
      <c r="TY2" s="301"/>
      <c r="TZ2" s="301"/>
      <c r="UA2" s="301"/>
      <c r="UB2" s="301"/>
      <c r="UC2" s="301"/>
      <c r="UD2" s="301"/>
      <c r="UE2" s="301"/>
      <c r="UF2" s="301"/>
      <c r="UG2" s="301"/>
      <c r="UH2" s="301"/>
      <c r="UI2" s="301"/>
      <c r="UJ2" s="301"/>
      <c r="UK2" s="301"/>
      <c r="UL2" s="301"/>
      <c r="UM2" s="301"/>
      <c r="UN2" s="301"/>
      <c r="UO2" s="301"/>
      <c r="UP2" s="301"/>
      <c r="UQ2" s="301"/>
      <c r="UR2" s="301"/>
      <c r="US2" s="301"/>
      <c r="UT2" s="301"/>
      <c r="UU2" s="301"/>
      <c r="UV2" s="301"/>
      <c r="UW2" s="301"/>
      <c r="UX2" s="301"/>
      <c r="UY2" s="301"/>
      <c r="UZ2" s="301"/>
      <c r="VA2" s="301"/>
      <c r="VB2" s="301"/>
      <c r="VC2" s="301"/>
      <c r="VD2" s="301"/>
      <c r="VE2" s="301"/>
      <c r="VF2" s="301"/>
      <c r="VG2" s="301"/>
      <c r="VH2" s="301"/>
      <c r="VI2" s="301"/>
      <c r="VJ2" s="301"/>
      <c r="VK2" s="301"/>
      <c r="VL2" s="301"/>
      <c r="VM2" s="301"/>
      <c r="VN2" s="301"/>
      <c r="VO2" s="301"/>
      <c r="VP2" s="301"/>
      <c r="VQ2" s="301"/>
      <c r="VR2" s="301"/>
      <c r="VS2" s="301"/>
      <c r="VT2" s="301"/>
      <c r="VU2" s="301"/>
      <c r="VV2" s="301"/>
      <c r="VW2" s="301"/>
      <c r="VX2" s="301"/>
      <c r="VY2" s="301"/>
      <c r="VZ2" s="301"/>
      <c r="WA2" s="301"/>
      <c r="WB2" s="301"/>
      <c r="WC2" s="301"/>
      <c r="WD2" s="301"/>
      <c r="WE2" s="301"/>
      <c r="WF2" s="301"/>
      <c r="WG2" s="301"/>
      <c r="WH2" s="301"/>
      <c r="WI2" s="301"/>
      <c r="WJ2" s="301"/>
      <c r="WK2" s="301"/>
      <c r="WL2" s="301"/>
      <c r="WM2" s="301"/>
      <c r="WN2" s="301"/>
      <c r="WO2" s="301"/>
      <c r="WP2" s="301"/>
      <c r="WQ2" s="301"/>
      <c r="WR2" s="301"/>
      <c r="WS2" s="301"/>
      <c r="WT2" s="301"/>
      <c r="WU2" s="301"/>
      <c r="WV2" s="301"/>
      <c r="WW2" s="301"/>
      <c r="WX2" s="301"/>
      <c r="WY2" s="301"/>
      <c r="WZ2" s="301"/>
      <c r="XA2" s="301"/>
      <c r="XB2" s="301"/>
      <c r="XC2" s="301"/>
      <c r="XD2" s="301"/>
      <c r="XE2" s="301"/>
      <c r="XF2" s="301"/>
      <c r="XG2" s="301"/>
      <c r="XH2" s="301"/>
      <c r="XI2" s="301"/>
      <c r="XJ2" s="301"/>
      <c r="XK2" s="301"/>
      <c r="XL2" s="301"/>
      <c r="XM2" s="301"/>
      <c r="XN2" s="301"/>
      <c r="XO2" s="301"/>
      <c r="XP2" s="301"/>
      <c r="XQ2" s="301"/>
      <c r="XR2" s="301"/>
      <c r="XS2" s="301"/>
      <c r="XT2" s="301"/>
      <c r="XU2" s="301"/>
      <c r="XV2" s="301"/>
      <c r="XW2" s="301"/>
      <c r="XX2" s="301"/>
      <c r="XY2" s="301"/>
      <c r="XZ2" s="301"/>
      <c r="YA2" s="301"/>
      <c r="YB2" s="301"/>
      <c r="YC2" s="301"/>
      <c r="YD2" s="301"/>
      <c r="YE2" s="301"/>
      <c r="YF2" s="301"/>
      <c r="YG2" s="301"/>
      <c r="YH2" s="301"/>
      <c r="YI2" s="301"/>
      <c r="YJ2" s="301"/>
      <c r="YK2" s="301"/>
      <c r="YL2" s="301"/>
      <c r="YM2" s="301"/>
      <c r="YN2" s="301"/>
      <c r="YO2" s="301"/>
      <c r="YP2" s="301"/>
      <c r="YQ2" s="301"/>
      <c r="YR2" s="301"/>
      <c r="YS2" s="301"/>
      <c r="YT2" s="301"/>
      <c r="YU2" s="301"/>
      <c r="YV2" s="301"/>
      <c r="YW2" s="301"/>
      <c r="YX2" s="301"/>
      <c r="YY2" s="301"/>
      <c r="YZ2" s="301"/>
      <c r="ZA2" s="301"/>
      <c r="ZB2" s="301"/>
      <c r="ZC2" s="301"/>
      <c r="ZD2" s="301"/>
      <c r="ZE2" s="301"/>
      <c r="ZF2" s="301"/>
      <c r="ZG2" s="301"/>
      <c r="ZH2" s="301"/>
      <c r="ZI2" s="301"/>
      <c r="ZJ2" s="301"/>
      <c r="ZK2" s="301"/>
      <c r="ZL2" s="301"/>
      <c r="ZM2" s="301"/>
      <c r="ZN2" s="301"/>
      <c r="ZO2" s="301"/>
      <c r="ZP2" s="301"/>
      <c r="ZQ2" s="301"/>
      <c r="ZR2" s="301"/>
      <c r="ZS2" s="301"/>
      <c r="ZT2" s="301"/>
      <c r="ZU2" s="301"/>
      <c r="ZV2" s="301"/>
      <c r="ZW2" s="301"/>
      <c r="ZX2" s="301"/>
      <c r="ZY2" s="301"/>
      <c r="ZZ2" s="301"/>
      <c r="AAA2" s="301"/>
      <c r="AAB2" s="301"/>
      <c r="AAC2" s="301"/>
      <c r="AAD2" s="301"/>
      <c r="AAE2" s="301"/>
      <c r="AAF2" s="301"/>
      <c r="AAG2" s="301"/>
      <c r="AAH2" s="301"/>
      <c r="AAI2" s="301"/>
      <c r="AAJ2" s="301"/>
      <c r="AAK2" s="301"/>
      <c r="AAL2" s="301"/>
      <c r="AAM2" s="301"/>
      <c r="AAN2" s="301"/>
      <c r="AAO2" s="301"/>
      <c r="AAP2" s="301"/>
      <c r="AAQ2" s="301"/>
      <c r="AAR2" s="301"/>
      <c r="AAS2" s="301"/>
      <c r="AAT2" s="301"/>
      <c r="AAU2" s="301"/>
      <c r="AAV2" s="301"/>
      <c r="AAW2" s="301"/>
      <c r="AAX2" s="301"/>
      <c r="AAY2" s="301"/>
      <c r="AAZ2" s="301"/>
      <c r="ABA2" s="301"/>
      <c r="ABB2" s="301"/>
      <c r="ABC2" s="301"/>
      <c r="ABD2" s="301"/>
      <c r="ABE2" s="301"/>
      <c r="ABF2" s="301"/>
      <c r="ABG2" s="301"/>
      <c r="ABH2" s="301"/>
      <c r="ABI2" s="301"/>
      <c r="ABJ2" s="301"/>
      <c r="ABK2" s="301"/>
      <c r="ABL2" s="301"/>
      <c r="ABM2" s="301"/>
      <c r="ABN2" s="301"/>
      <c r="ABO2" s="301"/>
      <c r="ABP2" s="301"/>
      <c r="ABQ2" s="301"/>
      <c r="ABR2" s="301"/>
      <c r="ABS2" s="301"/>
      <c r="ABT2" s="301"/>
      <c r="ABU2" s="301"/>
      <c r="ABV2" s="301"/>
      <c r="ABW2" s="301"/>
      <c r="ABX2" s="301"/>
      <c r="ABY2" s="301"/>
      <c r="ABZ2" s="301"/>
      <c r="ACA2" s="301"/>
      <c r="ACB2" s="301"/>
      <c r="ACC2" s="301"/>
      <c r="ACD2" s="301"/>
      <c r="ACE2" s="301"/>
      <c r="ACF2" s="301"/>
      <c r="ACG2" s="301"/>
      <c r="ACH2" s="301"/>
      <c r="ACI2" s="301"/>
      <c r="ACJ2" s="301"/>
      <c r="ACK2" s="301"/>
      <c r="ACL2" s="301"/>
      <c r="ACM2" s="301"/>
      <c r="ACN2" s="301"/>
      <c r="ACO2" s="301"/>
      <c r="ACP2" s="301"/>
      <c r="ACQ2" s="301"/>
      <c r="ACR2" s="301"/>
      <c r="ACS2" s="301"/>
      <c r="ACT2" s="301"/>
      <c r="ACU2" s="301"/>
      <c r="ACV2" s="301"/>
      <c r="ACW2" s="301"/>
      <c r="ACX2" s="301"/>
      <c r="ACY2" s="301"/>
      <c r="ACZ2" s="301"/>
      <c r="ADA2" s="301"/>
      <c r="ADB2" s="301"/>
      <c r="ADC2" s="301"/>
      <c r="ADD2" s="301"/>
      <c r="ADE2" s="301"/>
      <c r="ADF2" s="301"/>
      <c r="ADG2" s="301"/>
      <c r="ADH2" s="301"/>
      <c r="ADI2" s="301"/>
      <c r="ADJ2" s="301"/>
      <c r="ADK2" s="301"/>
      <c r="ADL2" s="301"/>
      <c r="ADM2" s="301"/>
      <c r="ADN2" s="301"/>
      <c r="ADO2" s="301"/>
      <c r="ADP2" s="301"/>
      <c r="ADQ2" s="301"/>
      <c r="ADR2" s="301"/>
      <c r="ADS2" s="301"/>
      <c r="ADT2" s="301"/>
      <c r="ADU2" s="301"/>
      <c r="ADV2" s="301"/>
      <c r="ADW2" s="301"/>
      <c r="ADX2" s="301"/>
      <c r="ADY2" s="301"/>
      <c r="ADZ2" s="301"/>
      <c r="AEA2" s="301"/>
      <c r="AEB2" s="301"/>
      <c r="AEC2" s="301"/>
      <c r="AED2" s="301"/>
      <c r="AEE2" s="301"/>
      <c r="AEF2" s="301"/>
      <c r="AEG2" s="301"/>
      <c r="AEH2" s="301"/>
      <c r="AEI2" s="301"/>
      <c r="AEJ2" s="301"/>
      <c r="AEK2" s="301"/>
      <c r="AEL2" s="301"/>
      <c r="AEM2" s="301"/>
      <c r="AEN2" s="301"/>
      <c r="AEO2" s="301"/>
      <c r="AEP2" s="301"/>
      <c r="AEQ2" s="301"/>
      <c r="AER2" s="301"/>
      <c r="AES2" s="301"/>
      <c r="AET2" s="301"/>
      <c r="AEU2" s="301"/>
      <c r="AEV2" s="301"/>
      <c r="AEW2" s="301"/>
      <c r="AEX2" s="301"/>
      <c r="AEY2" s="301"/>
      <c r="AEZ2" s="301"/>
      <c r="AFA2" s="301"/>
      <c r="AFB2" s="301"/>
      <c r="AFC2" s="301"/>
      <c r="AFD2" s="301"/>
      <c r="AFE2" s="301"/>
      <c r="AFF2" s="301"/>
      <c r="AFG2" s="301"/>
      <c r="AFH2" s="301"/>
      <c r="AFI2" s="301"/>
      <c r="AFJ2" s="301"/>
      <c r="AFK2" s="301"/>
      <c r="AFL2" s="301"/>
      <c r="AFM2" s="301"/>
      <c r="AFN2" s="301"/>
      <c r="AFO2" s="301"/>
      <c r="AFP2" s="301"/>
      <c r="AFQ2" s="301"/>
      <c r="AFR2" s="301"/>
      <c r="AFS2" s="301"/>
      <c r="AFT2" s="301"/>
      <c r="AFU2" s="301"/>
      <c r="AFV2" s="301"/>
      <c r="AFW2" s="301"/>
      <c r="AFX2" s="301"/>
      <c r="AFY2" s="301"/>
      <c r="AFZ2" s="301"/>
      <c r="AGA2" s="301"/>
      <c r="AGB2" s="301"/>
      <c r="AGC2" s="301"/>
      <c r="AGD2" s="301"/>
      <c r="AGE2" s="301"/>
      <c r="AGF2" s="301"/>
      <c r="AGG2" s="301"/>
      <c r="AGH2" s="301"/>
      <c r="AGI2" s="301"/>
      <c r="AGJ2" s="301"/>
      <c r="AGK2" s="301"/>
      <c r="AGL2" s="301"/>
      <c r="AGM2" s="301"/>
      <c r="AGN2" s="301"/>
      <c r="AGO2" s="301"/>
      <c r="AGP2" s="301"/>
      <c r="AGQ2" s="301"/>
      <c r="AGR2" s="301"/>
      <c r="AGS2" s="301"/>
      <c r="AGT2" s="301"/>
      <c r="AGU2" s="301"/>
      <c r="AGV2" s="301"/>
      <c r="AGW2" s="301"/>
      <c r="AGX2" s="301"/>
      <c r="AGY2" s="301"/>
      <c r="AGZ2" s="301"/>
      <c r="AHA2" s="301"/>
      <c r="AHB2" s="301"/>
      <c r="AHC2" s="301"/>
      <c r="AHD2" s="301"/>
      <c r="AHE2" s="301"/>
      <c r="AHF2" s="301"/>
      <c r="AHG2" s="301"/>
      <c r="AHH2" s="301"/>
      <c r="AHI2" s="301"/>
      <c r="AHJ2" s="301"/>
      <c r="AHK2" s="301"/>
      <c r="AHL2" s="301"/>
      <c r="AHM2" s="301"/>
      <c r="AHN2" s="301"/>
      <c r="AHO2" s="301"/>
      <c r="AHP2" s="301"/>
      <c r="AHQ2" s="301"/>
      <c r="AHR2" s="301"/>
      <c r="AHS2" s="301"/>
      <c r="AHT2" s="301"/>
      <c r="AHU2" s="301"/>
      <c r="AHV2" s="301"/>
      <c r="AHW2" s="301"/>
      <c r="AHX2" s="301"/>
      <c r="AHY2" s="301"/>
      <c r="AHZ2" s="301"/>
      <c r="AIA2" s="301"/>
      <c r="AIB2" s="301"/>
      <c r="AIC2" s="301"/>
      <c r="AID2" s="301"/>
      <c r="AIE2" s="301"/>
      <c r="AIF2" s="301"/>
      <c r="AIG2" s="301"/>
      <c r="AIH2" s="301"/>
      <c r="AII2" s="301"/>
      <c r="AIJ2" s="301"/>
      <c r="AIK2" s="301"/>
      <c r="AIL2" s="301"/>
      <c r="AIM2" s="301"/>
      <c r="AIN2" s="301"/>
      <c r="AIO2" s="301"/>
      <c r="AIP2" s="301"/>
      <c r="AIQ2" s="301"/>
      <c r="AIR2" s="301"/>
      <c r="AIS2" s="301"/>
      <c r="AIT2" s="301"/>
      <c r="AIU2" s="301"/>
      <c r="AIV2" s="301"/>
      <c r="AIW2" s="301"/>
      <c r="AIX2" s="301"/>
      <c r="AIY2" s="301"/>
      <c r="AIZ2" s="301"/>
      <c r="AJA2" s="301"/>
      <c r="AJB2" s="301"/>
      <c r="AJC2" s="301"/>
      <c r="AJD2" s="301"/>
      <c r="AJE2" s="301"/>
      <c r="AJF2" s="301"/>
      <c r="AJG2" s="301"/>
      <c r="AJH2" s="301"/>
      <c r="AJI2" s="301"/>
      <c r="AJJ2" s="301"/>
      <c r="AJK2" s="301"/>
      <c r="AJL2" s="301"/>
      <c r="AJM2" s="301"/>
      <c r="AJN2" s="301"/>
      <c r="AJO2" s="301"/>
      <c r="AJP2" s="301"/>
      <c r="AJQ2" s="301"/>
      <c r="AJR2" s="301"/>
      <c r="AJS2" s="301"/>
      <c r="AJT2" s="301"/>
      <c r="AJU2" s="301"/>
      <c r="AJV2" s="301"/>
      <c r="AJW2" s="301"/>
      <c r="AJX2" s="301"/>
      <c r="AJY2" s="301"/>
      <c r="AJZ2" s="301"/>
      <c r="AKA2" s="301"/>
      <c r="AKB2" s="301"/>
      <c r="AKC2" s="301"/>
      <c r="AKD2" s="301"/>
      <c r="AKE2" s="301"/>
      <c r="AKF2" s="301"/>
      <c r="AKG2" s="301"/>
      <c r="AKH2" s="301"/>
      <c r="AKI2" s="301"/>
      <c r="AKJ2" s="301"/>
      <c r="AKK2" s="301"/>
      <c r="AKL2" s="301"/>
      <c r="AKM2" s="301"/>
      <c r="AKN2" s="301"/>
      <c r="AKO2" s="301"/>
      <c r="AKP2" s="301"/>
      <c r="AKQ2" s="301"/>
      <c r="AKR2" s="301"/>
      <c r="AKS2" s="301"/>
      <c r="AKT2" s="301"/>
      <c r="AKU2" s="301"/>
      <c r="AKV2" s="301"/>
      <c r="AKW2" s="301"/>
      <c r="AKX2" s="301"/>
      <c r="AKY2" s="301"/>
      <c r="AKZ2" s="301"/>
      <c r="ALA2" s="301"/>
      <c r="ALB2" s="301"/>
      <c r="ALC2" s="301"/>
      <c r="ALD2" s="301"/>
      <c r="ALE2" s="301"/>
      <c r="ALF2" s="301"/>
      <c r="ALG2" s="301"/>
      <c r="ALH2" s="301"/>
      <c r="ALI2" s="301"/>
      <c r="ALJ2" s="301"/>
      <c r="ALK2" s="301"/>
      <c r="ALL2" s="301"/>
      <c r="ALM2" s="301"/>
      <c r="ALN2" s="301"/>
      <c r="ALO2" s="301"/>
      <c r="ALP2" s="301"/>
      <c r="ALQ2" s="301"/>
      <c r="ALR2" s="301"/>
      <c r="ALS2" s="301"/>
      <c r="ALT2" s="301"/>
      <c r="ALU2" s="301"/>
      <c r="ALV2" s="301"/>
      <c r="ALW2" s="301"/>
      <c r="ALX2" s="301"/>
      <c r="ALY2" s="301"/>
      <c r="ALZ2" s="301"/>
      <c r="AMA2" s="301"/>
      <c r="AMB2" s="301"/>
      <c r="AMC2" s="301"/>
      <c r="AMD2" s="301"/>
      <c r="AME2" s="301"/>
      <c r="AMF2" s="301"/>
      <c r="AMG2" s="301"/>
      <c r="AMH2" s="301"/>
      <c r="AMI2" s="301"/>
      <c r="AMJ2" s="301"/>
    </row>
    <row r="3" customFormat="false" ht="19.5" hidden="false" customHeight="true" outlineLevel="0" collapsed="false">
      <c r="A3" s="362" t="n">
        <v>1</v>
      </c>
      <c r="B3" s="363" t="n">
        <v>33.63</v>
      </c>
    </row>
    <row r="4" customFormat="false" ht="19.5" hidden="false" customHeight="true" outlineLevel="0" collapsed="false">
      <c r="A4" s="362" t="n">
        <v>2</v>
      </c>
      <c r="B4" s="363" t="n">
        <v>43.13</v>
      </c>
    </row>
    <row r="5" customFormat="false" ht="19.5" hidden="false" customHeight="true" outlineLevel="0" collapsed="false">
      <c r="A5" s="362" t="n">
        <v>3</v>
      </c>
      <c r="B5" s="363" t="n">
        <v>48.68</v>
      </c>
    </row>
    <row r="6" customFormat="false" ht="19.5" hidden="false" customHeight="true" outlineLevel="0" collapsed="false">
      <c r="A6" s="362" t="n">
        <v>4</v>
      </c>
      <c r="B6" s="363" t="n">
        <v>52.62</v>
      </c>
    </row>
    <row r="7" customFormat="false" ht="19.5" hidden="false" customHeight="true" outlineLevel="0" collapsed="false">
      <c r="A7" s="362" t="n">
        <v>5</v>
      </c>
      <c r="B7" s="363" t="n">
        <v>55.68</v>
      </c>
    </row>
    <row r="8" customFormat="false" ht="19.5" hidden="false" customHeight="true" outlineLevel="0" collapsed="false">
      <c r="A8" s="362" t="n">
        <v>6</v>
      </c>
      <c r="B8" s="363" t="n">
        <v>58.18</v>
      </c>
    </row>
    <row r="9" customFormat="false" ht="19.5" hidden="false" customHeight="true" outlineLevel="0" collapsed="false">
      <c r="A9" s="362" t="n">
        <v>7</v>
      </c>
      <c r="B9" s="363" t="n">
        <v>60.29</v>
      </c>
    </row>
    <row r="10" customFormat="false" ht="19.5" hidden="false" customHeight="true" outlineLevel="0" collapsed="false">
      <c r="A10" s="362" t="n">
        <v>8</v>
      </c>
      <c r="B10" s="363" t="n">
        <v>62.12</v>
      </c>
    </row>
    <row r="11" customFormat="false" ht="19.5" hidden="false" customHeight="true" outlineLevel="0" collapsed="false">
      <c r="A11" s="362" t="n">
        <v>9</v>
      </c>
      <c r="B11" s="363" t="n">
        <v>63.73</v>
      </c>
    </row>
    <row r="12" customFormat="false" ht="19.5" hidden="false" customHeight="true" outlineLevel="0" collapsed="false">
      <c r="A12" s="362" t="n">
        <v>10</v>
      </c>
      <c r="B12" s="363" t="n">
        <v>65.18</v>
      </c>
    </row>
    <row r="13" customFormat="false" ht="19.5" hidden="false" customHeight="true" outlineLevel="0" collapsed="false">
      <c r="A13" s="362" t="n">
        <v>11</v>
      </c>
      <c r="B13" s="363" t="n">
        <v>66.48</v>
      </c>
    </row>
    <row r="14" customFormat="false" ht="19.5" hidden="false" customHeight="true" outlineLevel="0" collapsed="false">
      <c r="A14" s="362" t="n">
        <v>12</v>
      </c>
      <c r="B14" s="363" t="n">
        <v>67.67</v>
      </c>
    </row>
    <row r="15" customFormat="false" ht="19.5" hidden="false" customHeight="true" outlineLevel="0" collapsed="false">
      <c r="A15" s="362" t="n">
        <v>13</v>
      </c>
      <c r="B15" s="363" t="n">
        <v>68.77</v>
      </c>
    </row>
    <row r="16" customFormat="false" ht="19.5" hidden="false" customHeight="true" outlineLevel="0" collapsed="false">
      <c r="A16" s="362" t="n">
        <v>14</v>
      </c>
      <c r="B16" s="363" t="n">
        <v>69.79</v>
      </c>
    </row>
    <row r="17" customFormat="false" ht="19.5" hidden="false" customHeight="true" outlineLevel="0" collapsed="false">
      <c r="A17" s="364" t="n">
        <v>15</v>
      </c>
      <c r="B17" s="365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24" activeCellId="0" sqref="A2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116" width="70.49"/>
    <col collapsed="false" customWidth="true" hidden="false" outlineLevel="0" max="3" min="2" style="116" width="9.14"/>
    <col collapsed="false" customWidth="true" hidden="false" outlineLevel="0" max="4" min="4" style="116" width="12.88"/>
    <col collapsed="false" customWidth="true" hidden="false" outlineLevel="0" max="64" min="5" style="116" width="9.14"/>
  </cols>
  <sheetData>
    <row r="1" customFormat="false" ht="17.35" hidden="false" customHeight="false" outlineLevel="0" collapsed="false">
      <c r="A1" s="366" t="s">
        <v>606</v>
      </c>
    </row>
    <row r="2" customFormat="false" ht="12.8" hidden="false" customHeight="false" outlineLevel="0" collapsed="false">
      <c r="A2" s="367"/>
    </row>
    <row r="3" customFormat="false" ht="12.8" hidden="false" customHeight="false" outlineLevel="0" collapsed="false">
      <c r="A3" s="367" t="s">
        <v>607</v>
      </c>
    </row>
    <row r="4" customFormat="false" ht="12.8" hidden="false" customHeight="false" outlineLevel="0" collapsed="false">
      <c r="A4" s="367"/>
    </row>
    <row r="5" customFormat="false" ht="12.8" hidden="false" customHeight="false" outlineLevel="0" collapsed="false">
      <c r="A5" s="367"/>
    </row>
    <row r="6" customFormat="false" ht="12.8" hidden="false" customHeight="false" outlineLevel="0" collapsed="false">
      <c r="A6" s="367"/>
    </row>
    <row r="7" customFormat="false" ht="12.8" hidden="false" customHeight="false" outlineLevel="0" collapsed="false">
      <c r="A7" s="367"/>
    </row>
    <row r="8" customFormat="false" ht="12.8" hidden="false" customHeight="false" outlineLevel="0" collapsed="false">
      <c r="A8" s="367"/>
    </row>
    <row r="9" customFormat="false" ht="12.8" hidden="false" customHeight="false" outlineLevel="0" collapsed="false">
      <c r="A9" s="367"/>
    </row>
    <row r="10" customFormat="false" ht="12.8" hidden="false" customHeight="false" outlineLevel="0" collapsed="false">
      <c r="A10" s="367"/>
    </row>
    <row r="11" customFormat="false" ht="12.8" hidden="false" customHeight="false" outlineLevel="0" collapsed="false">
      <c r="A11" s="367"/>
    </row>
    <row r="12" customFormat="false" ht="15" hidden="false" customHeight="false" outlineLevel="0" collapsed="false">
      <c r="A12" s="368" t="s">
        <v>608</v>
      </c>
    </row>
    <row r="13" customFormat="false" ht="15" hidden="false" customHeight="false" outlineLevel="0" collapsed="false">
      <c r="A13" s="368" t="s">
        <v>609</v>
      </c>
    </row>
    <row r="14" customFormat="false" ht="15" hidden="false" customHeight="false" outlineLevel="0" collapsed="false">
      <c r="A14" s="368" t="s">
        <v>610</v>
      </c>
    </row>
    <row r="15" customFormat="false" ht="15" hidden="false" customHeight="false" outlineLevel="0" collapsed="false">
      <c r="A15" s="368" t="s">
        <v>611</v>
      </c>
    </row>
    <row r="16" customFormat="false" ht="15" hidden="false" customHeight="false" outlineLevel="0" collapsed="false">
      <c r="A16" s="368" t="s">
        <v>612</v>
      </c>
    </row>
    <row r="17" customFormat="false" ht="15" hidden="false" customHeight="false" outlineLevel="0" collapsed="false">
      <c r="A17" s="369" t="s">
        <v>613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5838</TotalTime>
  <Application>LibreOffice/26.2.5.2$Windows_X86_64 LibreOffice_project/cd7284b4cbbfeb507e630c1aac019f4157393acb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2026-08-12T15:23:32Z</cp:lastPrinted>
  <dcterms:modified xsi:type="dcterms:W3CDTF">2026-08-12T15:24:14Z</dcterms:modified>
  <cp:revision>245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