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9.xml.rels" ContentType="application/vnd.openxmlformats-package.relationships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drawings/vmlDrawing6.vml" ContentType="application/vnd.openxmlformats-officedocument.vmlDrawing"/>
  <Override PartName="/xl/drawings/vmlDrawing7.vml" ContentType="application/vnd.openxmlformats-officedocument.vmlDrawing"/>
  <Override PartName="/xl/drawings/vmlDrawing8.vml" ContentType="application/vnd.openxmlformats-officedocument.vmlDrawing"/>
  <Override PartName="/xl/drawings/vmlDrawing9.vml" ContentType="application/vnd.openxmlformats-officedocument.vmlDrawing"/>
  <Override PartName="/xl/comments2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9"/>
  </bookViews>
  <sheets>
    <sheet name="CAGED" sheetId="1" state="visible" r:id="rId2"/>
    <sheet name="CAGED_2" sheetId="2" state="visible" r:id="rId3"/>
    <sheet name="Encargos" sheetId="3" state="visible" r:id="rId4"/>
    <sheet name="Encargos_2" sheetId="4" state="visible" r:id="rId5"/>
    <sheet name="Mão de obra_motorista" sheetId="5" state="visible" r:id="rId6"/>
    <sheet name="Mão de obra_auxiliar" sheetId="6" state="visible" r:id="rId7"/>
    <sheet name="Remuneração de capital" sheetId="7" state="visible" r:id="rId8"/>
    <sheet name="BDI" sheetId="8" state="visible" r:id="rId9"/>
    <sheet name="Impostos e manutenção" sheetId="9" state="visible" r:id="rId10"/>
    <sheet name="Composição de custos" sheetId="10" state="visible" r:id="rId11"/>
    <sheet name="oleos" sheetId="11" state="visible" r:id="rId1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Preencher somente os campos em verde.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Preencher somente os campos em verde.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1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Obrigações obrigatórias por Lei que incidem sobre a folha</t>
        </r>
      </text>
    </comment>
    <comment ref="B19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Corresponde aos encargos sobre valores pagos aos trabalhadores
como salário em dias em que não há prestação de serviços</t>
        </r>
      </text>
    </comment>
    <comment ref="B26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Encargos sobre valores pagos aos
empregados, mas que não sofrem incidência direta dos encargos do Grupo A</t>
        </r>
      </text>
    </comment>
    <comment ref="B30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Corresponde ao percentual de encargos sociais originado da
reincidência de um encargo ou grupo de encargos sobre outro</t>
        </r>
      </text>
    </comment>
    <comment ref="C15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6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7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8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1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Obrigações obrigatórias por Lei que incidem sobre a folha</t>
        </r>
      </text>
    </comment>
    <comment ref="B19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Corresponde aos encargos sobre valores pagos aos trabalhadores
como salário em dias em que não há prestação de serviços</t>
        </r>
      </text>
    </comment>
    <comment ref="B26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Encargos sobre valores pagos aos
empregados, mas que não sofrem incidência direta dos encargos do Grupo A</t>
        </r>
      </text>
    </comment>
    <comment ref="B30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Corresponde ao percentual de encargos sociais originado da
reincidência de um encargo ou grupo de encargos sobre outro</t>
        </r>
      </text>
    </comment>
    <comment ref="C15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6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7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  <comment ref="C18" authorId="0">
      <text>
        <r>
          <rPr>
            <b val="true"/>
            <sz val="9"/>
            <color rgb="FF000000"/>
            <rFont val="Tahoma"/>
            <family val="0"/>
            <charset val="1"/>
          </rPr>
          <t xml:space="preserve">Orientação do cálculo na apostila e de acordo com o material do TCE RS 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É o percentual referente ao tempo em que os equipamentos, veículos e mão de obra ficam envolvidos com a prestação dos serviços contratados. É calculado em função das horas trabalhadas por semana no cumprimento do contrato.</t>
        </r>
      </text>
    </comment>
    <comment ref="A10" authorId="0">
      <text>
        <r>
          <rPr>
            <sz val="11"/>
            <color rgb="FF000000"/>
            <rFont val="Calibri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31" authorId="0">
      <text>
        <r>
          <rPr>
            <sz val="11"/>
            <color rgb="FF000000"/>
            <rFont val="Calibri"/>
            <family val="2"/>
            <charset val="1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B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fator de utilização das equipes de coleta. 
Por exemplo:
Equipes com utilização integral = 100%
Equipes com utilização parcial = n° horas trabalhadas por semana /44 horas. Ex. 16/44=0,3636 * 100 = 36,36%</t>
        </r>
      </text>
    </comment>
    <comment ref="C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diurno nos domingos e feriados</t>
        </r>
      </text>
    </comment>
    <comment ref="C9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</t>
        </r>
      </text>
    </comment>
    <comment ref="C1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</t>
        </r>
      </text>
    </comment>
    <comment ref="C1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Percentual estabelecido nas Normas de Segurança de Trabalho ou pelo laudo de responsável técnico devidamente habilitado</t>
        </r>
      </text>
    </comment>
    <comment ref="C1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trabalhadores na função</t>
        </r>
      </text>
    </comment>
    <comment ref="C2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noturnas trabalhadas no intervalo das 22:00h as 5:00h</t>
        </r>
      </text>
    </comment>
    <comment ref="C2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noturno nos domingos e feriados</t>
        </r>
      </text>
    </comment>
    <comment ref="C26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horas extras trabalhadas em horário noturno (das 22:00h as 5h) nos domingos e feriados
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
</t>
        </r>
      </text>
    </comment>
    <comment ref="C2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noturno de segunda à sábado</t>
        </r>
      </text>
    </comment>
    <comment ref="C29" authorId="0">
      <text>
        <r>
          <rPr>
            <b val="true"/>
            <sz val="8"/>
            <color rgb="FF000000"/>
            <rFont val="Tahoma"/>
            <family val="2"/>
            <charset val="1"/>
          </rPr>
          <t xml:space="preserve">Informar o número de horas extras trabalhadas em horário noturno (das 22:00h as 5h) de segunda a sábado</t>
        </r>
      </text>
    </comment>
    <comment ref="C3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</t>
        </r>
      </text>
    </comment>
    <comment ref="C35" authorId="0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3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trabalhadores na função</t>
        </r>
      </text>
    </comment>
    <comment ref="C4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médio de dias trabalhados por mês</t>
        </r>
      </text>
    </comment>
    <comment ref="D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Piso da categoria fixado na Convenção Coletiva</t>
        </r>
      </text>
    </comment>
    <comment ref="D4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unitário do VT no município</t>
        </r>
      </text>
    </comment>
    <comment ref="D45" authorId="0">
      <text>
        <r>
          <rPr>
            <sz val="9"/>
            <color rgb="FF000000"/>
            <rFont val="Tahoma"/>
            <family val="2"/>
            <charset val="1"/>
          </rPr>
          <t xml:space="preserve">Valor Unitário considerando o desconto legal de até 6% do salário
</t>
        </r>
      </text>
    </comment>
    <comment ref="D50" authorId="0">
      <text>
        <r>
          <rPr>
            <sz val="9"/>
            <color rgb="FF000000"/>
            <rFont val="Tahoma"/>
            <family val="2"/>
            <charset val="1"/>
          </rPr>
          <t xml:space="preserve">Informar o valor unitário diário do vale refeição, considerando o desconto aplicável ao funcionário, conforme Convenção Coletiva da categoria.</t>
        </r>
      </text>
    </comment>
    <comment ref="D5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mensal do auxilio alimentação, considerando o desconto aplicável ao funcionário, conforme Convenção Coletiva da categoria</t>
        </r>
      </text>
    </comment>
  </commentList>
</comments>
</file>

<file path=xl/comments6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É o percentual referente ao tempo em que os equipamentos, veículos e mão de obra ficam envolvidos com a prestação dos serviços contratados. É calculado em função das horas trabalhadas por semana no cumprimento do contrato.</t>
        </r>
      </text>
    </comment>
    <comment ref="A10" authorId="0">
      <text>
        <r>
          <rPr>
            <sz val="11"/>
            <color rgb="FF000000"/>
            <rFont val="Calibri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31" authorId="0">
      <text>
        <r>
          <rPr>
            <sz val="11"/>
            <color rgb="FF000000"/>
            <rFont val="Calibri"/>
            <family val="2"/>
            <charset val="1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B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fator de utilização das equipes de coleta. 
Por exemplo:
Equipes com utilização integral = 100%
Equipes com utilização parcial = n° horas trabalhadas por semana /44 horas. Ex. 16/44=0,3636 * 100 = 36,36%</t>
        </r>
      </text>
    </comment>
    <comment ref="C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diurno nos domingos e feriados</t>
        </r>
      </text>
    </comment>
    <comment ref="C9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</t>
        </r>
      </text>
    </comment>
    <comment ref="C1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</t>
        </r>
      </text>
    </comment>
    <comment ref="C1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Percentual estabelecido nas Normas de Segurança de Trabalho ou pelo laudo de responsável técnico devidamente habilitado</t>
        </r>
      </text>
    </comment>
    <comment ref="C1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trabalhadores na função</t>
        </r>
      </text>
    </comment>
    <comment ref="C2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noturnas trabalhadas no intervalo das 22:00h as 5:00h</t>
        </r>
      </text>
    </comment>
    <comment ref="C2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noturno nos domingos e feriados</t>
        </r>
      </text>
    </comment>
    <comment ref="C26" author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horas extras trabalhadas em horário noturno (das 22:00h as 5h) nos domingos e feriados
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
</t>
        </r>
      </text>
    </comment>
    <comment ref="C2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horas extras trabalhadas em horário noturno de segunda à sábado</t>
        </r>
      </text>
    </comment>
    <comment ref="C29" authorId="0">
      <text>
        <r>
          <rPr>
            <b val="true"/>
            <sz val="8"/>
            <color rgb="FF000000"/>
            <rFont val="Tahoma"/>
            <family val="2"/>
            <charset val="1"/>
          </rPr>
          <t xml:space="preserve">Informar o número de horas extras trabalhadas em horário noturno (das 22:00h as 5h) de segunda a sábado</t>
        </r>
      </text>
    </comment>
    <comment ref="C3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</t>
        </r>
      </text>
    </comment>
    <comment ref="C35" authorId="0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3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trabalhadores na função</t>
        </r>
      </text>
    </comment>
    <comment ref="C4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médio de dias trabalhados por mês</t>
        </r>
      </text>
    </comment>
    <comment ref="D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Piso da categoria fixado na Convenção Coletiva</t>
        </r>
      </text>
    </comment>
    <comment ref="D4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unitário do VT no município</t>
        </r>
      </text>
    </comment>
    <comment ref="D45" authorId="0">
      <text>
        <r>
          <rPr>
            <sz val="9"/>
            <color rgb="FF000000"/>
            <rFont val="Tahoma"/>
            <family val="2"/>
            <charset val="1"/>
          </rPr>
          <t xml:space="preserve">Valor Unitário considerando o desconto legal de até 6% do salário
</t>
        </r>
      </text>
    </comment>
    <comment ref="D50" authorId="0">
      <text>
        <r>
          <rPr>
            <sz val="9"/>
            <color rgb="FF000000"/>
            <rFont val="Tahoma"/>
            <family val="2"/>
            <charset val="1"/>
          </rPr>
          <t xml:space="preserve">Informar o valor unitário diário do vale refeição, considerando o desconto aplicável ao funcionário, conforme Convenção Coletiva da categoria.</t>
        </r>
      </text>
    </comment>
    <comment ref="D5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mensal do auxilio alimentação, considerando o desconto aplicável ao funcionário, conforme Convenção Coletiva da categoria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do veículo novo. Admitido a utilização da tabela FIPE
</t>
        </r>
      </text>
    </comment>
    <comment ref="C3" authorId="0">
      <text>
        <r>
          <rPr>
            <sz val="9"/>
            <color rgb="FF000000"/>
            <rFont val="Tahoma"/>
            <family val="2"/>
            <charset val="1"/>
          </rPr>
          <t xml:space="preserve">Informar a vida útil estimada para o veículo, em anos</t>
        </r>
      </text>
    </comment>
    <comment ref="C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residual estimado</t>
        </r>
      </text>
    </comment>
    <comment ref="C6" authorId="0">
      <text>
        <r>
          <rPr>
            <sz val="9"/>
            <color rgb="FF000000"/>
            <rFont val="Tahoma"/>
            <family val="2"/>
            <charset val="1"/>
          </rPr>
          <t xml:space="preserve">Na elaboração do orçamento-base da licitação, informar 0 (zero). Na proposta da licitante, informar a idade do veículo proposto.</t>
        </r>
      </text>
    </comment>
    <comment ref="C1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veículos do respectivo modelo
</t>
        </r>
      </text>
    </comment>
    <comment ref="C2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taxa de juros anual para remuneração do capital. Recomenda-se o uso da Taxa SELIC
</t>
        </r>
      </text>
    </comment>
  </commentList>
</comments>
</file>

<file path=xl/comments8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2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Não devem incluir IRPJ ou CSLL conforme jurisprudência do TCU</t>
        </r>
      </text>
    </comment>
    <comment ref="C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% de Administração Central estimado</t>
        </r>
      </text>
    </comment>
    <comment ref="C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% de Seguros, Riscos e Garantia estimado
</t>
        </r>
      </text>
    </comment>
    <comment ref="C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% de Lucro estimado
</t>
        </r>
      </text>
    </comment>
    <comment ref="C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percentual de ISS, de acordo com a legislação tributária do município onde serão prestados os serviços. De 2% até o limite de 5%.</t>
        </r>
      </text>
    </comment>
    <comment ref="C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E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anual da taxa financeira, em percentual. Admite-se utilizar a SELIC</t>
        </r>
      </text>
    </comment>
    <comment ref="E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média de dias úteis entre data de pagamento prevista no contrato e a data final do período de adimplemento da parcela</t>
        </r>
      </text>
    </comment>
  </commentList>
</comments>
</file>

<file path=xl/comments9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Apenas quando exigida a contratação no Edital</t>
        </r>
      </text>
    </comment>
    <comment ref="B14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quilometragem mensal percorrida, de acordo com o projeto básico</t>
        </r>
      </text>
    </comment>
    <comment ref="C1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consumo estimado do veículo em km/l</t>
        </r>
      </text>
    </comment>
    <comment ref="C2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consumo de óleo da transmissão a cada 1000km</t>
        </r>
      </text>
    </comment>
    <comment ref="C2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consumo de óleo hidráulico a cada 1000km</t>
        </r>
      </text>
    </comment>
    <comment ref="C2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consumo de graxa a cada 1000km</t>
        </r>
      </text>
    </comment>
    <comment ref="C3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quantidade de pneus novos de 1 veículo</t>
        </r>
      </text>
    </comment>
    <comment ref="C3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número de recapagens por pneu de acordo com Resolução Contran 445/2013.</t>
        </r>
      </text>
    </comment>
    <comment ref="C40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a durabilidade média dos pneus considerando as recapagens, em km</t>
        </r>
      </text>
    </comment>
    <comment ref="D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do seguro obrigatório e licenciamento anual do veículo</t>
        </r>
      </text>
    </comment>
    <comment ref="D8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valor do seguro contra terceiros de um veículo, se houver previsão no Projeto Básico</t>
        </r>
      </text>
    </comment>
    <comment ref="D1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do combustivel</t>
        </r>
      </text>
    </comment>
    <comment ref="D19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do litro do óleo do motor</t>
        </r>
      </text>
    </comment>
    <comment ref="D21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do litro do óleo da transmissão</t>
        </r>
      </text>
    </comment>
    <comment ref="D23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do litro do óleo hidráulico</t>
        </r>
      </text>
    </comment>
    <comment ref="D25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do litro da graxa</t>
        </r>
      </text>
    </comment>
    <comment ref="D37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de cada pneu</t>
        </r>
      </text>
    </comment>
    <comment ref="D39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Informar o preço unitário de cada recapagem</t>
        </r>
      </text>
    </comment>
  </commentList>
</comments>
</file>

<file path=xl/sharedStrings.xml><?xml version="1.0" encoding="utf-8"?>
<sst xmlns="http://schemas.openxmlformats.org/spreadsheetml/2006/main" count="578" uniqueCount="261">
  <si>
    <t xml:space="preserve">1. CAGED</t>
  </si>
  <si>
    <t xml:space="preserve">Rio Grande do Sul  - Transporte Escolar - CNAE 49248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</si>
  <si>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</si>
  <si>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</si>
  <si>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</si>
  <si>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</si>
  <si>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</si>
  <si>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</si>
  <si>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</si>
  <si>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</si>
  <si>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</si>
  <si>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</si>
  <si>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Acordo</t>
  </si>
  <si>
    <t xml:space="preserve">Indicadores</t>
  </si>
  <si>
    <t xml:space="preserve">Estoque recuperado início do Período 01-12-2018</t>
  </si>
  <si>
    <t xml:space="preserve">Estoque recuperado final do Período 30-11-2019</t>
  </si>
  <si>
    <t xml:space="preserve">Variação Emprego Absoluta de 01-12-2018 a 30-11-2019</t>
  </si>
  <si>
    <t xml:space="preserve">Estoque Médio</t>
  </si>
  <si>
    <t xml:space="preserve">% Demitidos s/ Justa Causa em relação ao Estoque Médio</t>
  </si>
  <si>
    <t xml:space="preserve">Taxa de Rotatividade</t>
  </si>
  <si>
    <t xml:space="preserve">Rotatividade temporal (meses)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</si>
  <si>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</si>
  <si>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</si>
  <si>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</si>
  <si>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</si>
  <si>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Dias de Aviso prévio</t>
  </si>
  <si>
    <t xml:space="preserve">FGTS</t>
  </si>
  <si>
    <t xml:space="preserve">Multa FGTS</t>
  </si>
  <si>
    <t xml:space="preserve">Rio Grande do Sul  - Transporte Escolar - CNAE 85503</t>
  </si>
  <si>
    <t xml:space="preserve">Estoque recuperado início do Período 01-01-2019</t>
  </si>
  <si>
    <t xml:space="preserve">Estoque recuperado final do Período 31-12-2019</t>
  </si>
  <si>
    <t xml:space="preserve">Variação Emprego Absoluta de 01-01-2019 a 31-12-2019</t>
  </si>
  <si>
    <t xml:space="preserve">2. 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</si>
  <si>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</si>
  <si>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</si>
  <si>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</si>
  <si>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</si>
  <si>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</si>
  <si>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</si>
  <si>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</si>
  <si>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</si>
  <si>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</si>
  <si>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</si>
  <si>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</si>
  <si>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</si>
  <si>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</si>
  <si>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</si>
  <si>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</si>
  <si>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</si>
  <si>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</si>
  <si>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mas do anexo IV paga</t>
  </si>
  <si>
    <t xml:space="preserve">A8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</si>
  <si>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</si>
  <si>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</si>
  <si>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</si>
  <si>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</si>
  <si>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</si>
  <si>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</si>
  <si>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</si>
  <si>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</si>
  <si>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</si>
  <si>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</si>
  <si>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</si>
  <si>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</si>
  <si>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</si>
  <si>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</si>
  <si>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</si>
  <si>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</si>
  <si>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</si>
  <si>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</si>
  <si>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</si>
  <si>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</si>
  <si>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</si>
  <si>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</si>
  <si>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</si>
  <si>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</si>
  <si>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</si>
  <si>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</si>
  <si>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</si>
  <si>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</si>
  <si>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</si>
  <si>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</si>
  <si>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</si>
  <si>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FGTS sobre aviso prévio indenizado</t>
  </si>
  <si>
    <t xml:space="preserve">D</t>
  </si>
  <si>
    <t xml:space="preserve">SOMA GRUPO D</t>
  </si>
  <si>
    <t xml:space="preserve">SOMA (A+B+C+D)</t>
  </si>
  <si>
    <t xml:space="preserve">Fator de utilização (FU)</t>
  </si>
  <si>
    <t xml:space="preserve">10:30 h manhã</t>
  </si>
  <si>
    <t xml:space="preserve">9:30 h tarde</t>
  </si>
  <si>
    <t xml:space="preserve">20 horas na escola… dividir o horário </t>
  </si>
  <si>
    <t xml:space="preserve">3. Composição da mão-de-obra</t>
  </si>
  <si>
    <t xml:space="preserve">3.1. Motorista Turno do Dia</t>
  </si>
  <si>
    <t xml:space="preserve">Discriminação</t>
  </si>
  <si>
    <t xml:space="preserve">Unidade</t>
  </si>
  <si>
    <t xml:space="preserve">Quantidade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</si>
  <si>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</si>
  <si>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</si>
  <si>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</si>
  <si>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 (2)</t>
  </si>
  <si>
    <t xml:space="preserve">mês</t>
  </si>
  <si>
    <t xml:space="preserve">Salário mínimo nacional (1)</t>
  </si>
  <si>
    <t xml:space="preserve">Horas Extras (100%)</t>
  </si>
  <si>
    <t xml:space="preserve">hora</t>
  </si>
  <si>
    <t xml:space="preserve">Horas Extras (50%)</t>
  </si>
  <si>
    <t xml:space="preserve">Descanso Semanal Remunerado (DSR) - hora extra</t>
  </si>
  <si>
    <t xml:space="preserve">R$</t>
  </si>
  <si>
    <t xml:space="preserve">Base de cálculo da Insalubridade</t>
  </si>
  <si>
    <t xml:space="preserve">Adicional de Insalubridade</t>
  </si>
  <si>
    <t xml:space="preserve">%</t>
  </si>
  <si>
    <t xml:space="preserve">Soma</t>
  </si>
  <si>
    <t xml:space="preserve">Encargos Sociais</t>
  </si>
  <si>
    <t xml:space="preserve">Total por Motorista</t>
  </si>
  <si>
    <t xml:space="preserve">Total do Efetivo</t>
  </si>
  <si>
    <t xml:space="preserve">homem</t>
  </si>
  <si>
    <t xml:space="preserve">Fator de utilização</t>
  </si>
  <si>
    <t xml:space="preserve">3.2. Motorista Turno Noite</t>
  </si>
  <si>
    <t xml:space="preserve">Adicional Noturno</t>
  </si>
  <si>
    <t xml:space="preserve">horas trabalhadas</t>
  </si>
  <si>
    <t xml:space="preserve">hora contabilizada</t>
  </si>
  <si>
    <t xml:space="preserve">Horas Extras Noturnas (100%)</t>
  </si>
  <si>
    <t xml:space="preserve">Horas Extras Noturnas (50%)</t>
  </si>
  <si>
    <t xml:space="preserve">3.3. Vale Transporte</t>
  </si>
  <si>
    <t xml:space="preserve">Vale Transporte</t>
  </si>
  <si>
    <t xml:space="preserve">Dias Trabalhados por mês</t>
  </si>
  <si>
    <t xml:space="preserve">dia</t>
  </si>
  <si>
    <t xml:space="preserve">Motorista</t>
  </si>
  <si>
    <t xml:space="preserve">vale</t>
  </si>
  <si>
    <t xml:space="preserve">3.4. Vale-refeição (diário)</t>
  </si>
  <si>
    <t xml:space="preserve">unidade</t>
  </si>
  <si>
    <t xml:space="preserve">3.5. Auxílio Alimentação (mensal)</t>
  </si>
  <si>
    <t xml:space="preserve">CUSTO TOTAL MÃO-DE-OBRA</t>
  </si>
  <si>
    <t xml:space="preserve">R$/mês</t>
  </si>
  <si>
    <t xml:space="preserve">20 horas</t>
  </si>
  <si>
    <t xml:space="preserve">3.1. Auxiliar/monitor escolar Dia</t>
  </si>
  <si>
    <t xml:space="preserve">Total por Auxiliar/monitor escolar</t>
  </si>
  <si>
    <t xml:space="preserve">3.2. Auxiliar/monitor escolar Noite</t>
  </si>
  <si>
    <t xml:space="preserve">Auxiliar/monitor escolar</t>
  </si>
  <si>
    <t xml:space="preserve">Dados de Depreciação</t>
  </si>
  <si>
    <t xml:space="preserve">FIPE</t>
  </si>
  <si>
    <t xml:space="preserve">Valor do inicial veículo</t>
  </si>
  <si>
    <t xml:space="preserve">Minibus Comfort 19 lugares 2023</t>
  </si>
  <si>
    <t xml:space="preserve">Mercedes Benz - Sprinter 313 Van Luxo 2.2 129Cv 16L Dies - 2009 - Diesel</t>
  </si>
  <si>
    <t xml:space="preserve">Vida útil estimada</t>
  </si>
  <si>
    <t xml:space="preserve">anos</t>
  </si>
  <si>
    <t xml:space="preserve">% de depreciação</t>
  </si>
  <si>
    <t xml:space="preserve">Mercedes Benz - Sprinter 313 Van Street Luxo 16L. Dies. - 2012 - Diesel </t>
  </si>
  <si>
    <t xml:space="preserve">Valor residual</t>
  </si>
  <si>
    <t xml:space="preserve">Vida útil utilizada (idade do veículo)</t>
  </si>
  <si>
    <t xml:space="preserve">Mercedes Benz - Sprinter 413 Van Luxo 2.2 16 E 20L Dies - 2012 - Diesel </t>
  </si>
  <si>
    <t xml:space="preserve">Depreciação acumulada</t>
  </si>
  <si>
    <t xml:space="preserve">4. Depreciação e Remuneração de Capital</t>
  </si>
  <si>
    <t xml:space="preserve">4.1. Depreciação</t>
  </si>
  <si>
    <t xml:space="preserve">Custo de aquisição (valor inicial)</t>
  </si>
  <si>
    <t xml:space="preserve">Vida útil</t>
  </si>
  <si>
    <t xml:space="preserve">Idade do veículo</t>
  </si>
  <si>
    <t xml:space="preserve">Depreciação do chassis</t>
  </si>
  <si>
    <t xml:space="preserve">Depreciação mensal veículos</t>
  </si>
  <si>
    <t xml:space="preserve">Total por veículo</t>
  </si>
  <si>
    <t xml:space="preserve">Total da frota</t>
  </si>
  <si>
    <t xml:space="preserve">4.2. Remuneração do Capital</t>
  </si>
  <si>
    <t xml:space="preserve">Custo do chassis</t>
  </si>
  <si>
    <t xml:space="preserve">Taxa de juros anual nominal</t>
  </si>
  <si>
    <t xml:space="preserve">Valor do veículo proposto (V0)*</t>
  </si>
  <si>
    <t xml:space="preserve">Investimento médio</t>
  </si>
  <si>
    <t xml:space="preserve">Remuneração mensal de capital do chassis</t>
  </si>
  <si>
    <t xml:space="preserve">*valor do veículo proposto (para veículos usados) devem considerar o valor do bem depreciado até a data da proposta.</t>
  </si>
  <si>
    <t xml:space="preserve">6. Composição do BDI - Benefícios e Despesas Indiretas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</si>
  <si>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</si>
  <si>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</si>
  <si>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</si>
  <si>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</si>
  <si>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</si>
  <si>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</si>
  <si>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</si>
  <si>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</si>
  <si>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i</t>
  </si>
  <si>
    <t xml:space="preserve">Tributos - ISS</t>
  </si>
  <si>
    <t xml:space="preserve">T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</si>
  <si>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</si>
  <si>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</si>
  <si>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</si>
  <si>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</si>
  <si>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</si>
  <si>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Transporte intermunicipal escolar não tem ISS</t>
  </si>
  <si>
    <t xml:space="preserve">CUSTO TOTAL MENSAL COM DESPESAS OPERACIONAIS</t>
  </si>
  <si>
    <t xml:space="preserve">6.1. Benefícios e Despesas Indiretas - BDI</t>
  </si>
  <si>
    <t xml:space="preserve">Benefícios e despesas indiretas</t>
  </si>
  <si>
    <t xml:space="preserve">CUSTO MENSAL COM BDI (R$/mês)</t>
  </si>
  <si>
    <t xml:space="preserve">5. Impostos e manutenção</t>
  </si>
  <si>
    <t xml:space="preserve">5.1. Impostos e Seguros</t>
  </si>
  <si>
    <t xml:space="preserve">IPVA</t>
  </si>
  <si>
    <t xml:space="preserve">Licenciamento e Seguro obrigatório</t>
  </si>
  <si>
    <t xml:space="preserve">Seguro contra terceiros</t>
  </si>
  <si>
    <t xml:space="preserve">Impostos e seguros mensais</t>
  </si>
  <si>
    <t xml:space="preserve">5.2. Consumos</t>
  </si>
  <si>
    <t xml:space="preserve">411,20 km manhã/semana</t>
  </si>
  <si>
    <t xml:space="preserve">Quilometragem mensal</t>
  </si>
  <si>
    <t xml:space="preserve">406,80 km tarde/semana</t>
  </si>
  <si>
    <t xml:space="preserve">(multipliquei por 4,5 semanas por mês)</t>
  </si>
  <si>
    <t xml:space="preserve">Consumo</t>
  </si>
  <si>
    <t xml:space="preserve">Custo de óleo diesel / km rodado</t>
  </si>
  <si>
    <t xml:space="preserve">km/l</t>
  </si>
  <si>
    <t xml:space="preserve">Custo mensal com óleo diesel</t>
  </si>
  <si>
    <t xml:space="preserve">km</t>
  </si>
  <si>
    <t xml:space="preserve">Custo de óleo do motor /1.000 km rodados</t>
  </si>
  <si>
    <t xml:space="preserve">l/1.000 km</t>
  </si>
  <si>
    <t xml:space="preserve">Custo mensal com óleo do motor</t>
  </si>
  <si>
    <t xml:space="preserve">Custo de óleo da transmissão /1.000 km</t>
  </si>
  <si>
    <t xml:space="preserve">Custo mensal com óleo da transmissão</t>
  </si>
  <si>
    <t xml:space="preserve">Custo de óleo hidráulico / 1.000 km</t>
  </si>
  <si>
    <t xml:space="preserve">Custo mensal com óleo hidráulico</t>
  </si>
  <si>
    <t xml:space="preserve">Custo de graxa /1.000 km rodados</t>
  </si>
  <si>
    <t xml:space="preserve">kg/1.000 km</t>
  </si>
  <si>
    <t xml:space="preserve">Custo mensal com graxa</t>
  </si>
  <si>
    <t xml:space="preserve">Custo com consumos/km rodado</t>
  </si>
  <si>
    <t xml:space="preserve">R$/km rodado</t>
  </si>
  <si>
    <t xml:space="preserve">5.3. Manutenção preventiva e corretiva</t>
  </si>
  <si>
    <t xml:space="preserve">Custo de manutenção</t>
  </si>
  <si>
    <t xml:space="preserve">120 a hora</t>
  </si>
  <si>
    <t xml:space="preserve">5.4. Pneus</t>
  </si>
  <si>
    <t xml:space="preserve">Custo do jogo de pneus 225/75 R16</t>
  </si>
  <si>
    <t xml:space="preserve">Número de recapagens por pneu</t>
  </si>
  <si>
    <t xml:space="preserve">Custo de recapagem</t>
  </si>
  <si>
    <r>
      <rPr>
        <sz val="10"/>
        <rFont val="Arial"/>
        <family val="2"/>
        <charset val="1"/>
      </rPr>
      <t xml:space="preserve">Custo jg. compl. + </t>
    </r>
    <r>
      <rPr>
        <sz val="10"/>
        <color rgb="FFFF0000"/>
        <rFont val="Arial"/>
        <family val="2"/>
        <charset val="1"/>
      </rPr>
      <t xml:space="preserve">X</t>
    </r>
    <r>
      <rPr>
        <sz val="10"/>
        <rFont val="Arial"/>
        <family val="2"/>
        <charset val="1"/>
      </rPr>
      <t xml:space="preserve"> recap./ km rodado</t>
    </r>
  </si>
  <si>
    <t xml:space="preserve">km/jogo</t>
  </si>
  <si>
    <t xml:space="preserve">Coloquei 20.000 km pois pega estrada de chão</t>
  </si>
  <si>
    <t xml:space="preserve">Custo mensal com pneus</t>
  </si>
  <si>
    <t xml:space="preserve">CUSTO TOTAL DE IMPOSTOS E MANUTENÇÃO</t>
  </si>
  <si>
    <t xml:space="preserve">7. Transporte Escolar - Planilha de composição de custos</t>
  </si>
  <si>
    <t xml:space="preserve">Custo (R$/mês)</t>
  </si>
  <si>
    <t xml:space="preserve">1. Mão-de-obra</t>
  </si>
  <si>
    <t xml:space="preserve">1.1. Motorista dia</t>
  </si>
  <si>
    <t xml:space="preserve">1.1.2. Motorista noite</t>
  </si>
  <si>
    <t xml:space="preserve">1.2. Auxiliar/monitora</t>
  </si>
  <si>
    <t xml:space="preserve">1.3. Vale transporte</t>
  </si>
  <si>
    <t xml:space="preserve">1.4. Vale Refeição (diário)</t>
  </si>
  <si>
    <t xml:space="preserve">1.5. Auxílio alimentção (mensal)</t>
  </si>
  <si>
    <t xml:space="preserve">2. Veículos</t>
  </si>
  <si>
    <t xml:space="preserve">2.1. Depreciação</t>
  </si>
  <si>
    <t xml:space="preserve">2.2. Remuneração de capital</t>
  </si>
  <si>
    <t xml:space="preserve">2.3. Impostos e seguros</t>
  </si>
  <si>
    <t xml:space="preserve">2.4. Consumos</t>
  </si>
  <si>
    <t xml:space="preserve">2.5. Manutenção</t>
  </si>
  <si>
    <t xml:space="preserve">2.6. Pneus</t>
  </si>
  <si>
    <t xml:space="preserve">3. BDI</t>
  </si>
  <si>
    <t xml:space="preserve">PREÇO TOTAL MENSAL (1+2+3)</t>
  </si>
  <si>
    <t xml:space="preserve">Quilometragem total </t>
  </si>
  <si>
    <t xml:space="preserve">2.950</t>
  </si>
  <si>
    <t xml:space="preserve">PREÇO POR KM RODADO</t>
  </si>
  <si>
    <t xml:space="preserve">litros</t>
  </si>
  <si>
    <t xml:space="preserve">10000 km</t>
  </si>
  <si>
    <t xml:space="preserve">óleo motor</t>
  </si>
  <si>
    <t xml:space="preserve">LUBRAX OFFROAD 5W30</t>
  </si>
  <si>
    <t xml:space="preserve">óleo transmissão</t>
  </si>
  <si>
    <t xml:space="preserve">MULTI ATF</t>
  </si>
  <si>
    <t xml:space="preserve">óleo hidráulica</t>
  </si>
  <si>
    <t xml:space="preserve">Óleo da Direção Hidráulica - Tutela ATF-GI-M-Tipo A-SAE 10W -1L</t>
  </si>
  <si>
    <t xml:space="preserve">450 km</t>
  </si>
  <si>
    <t xml:space="preserve">graxa</t>
  </si>
  <si>
    <t xml:space="preserve">graxa patente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</si>
</sst>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0%"/>
    <numFmt numFmtId="166" formatCode="_(* #,##0.00_);_(* \(#,##0.00\);_(* \-??_);_(@_)"/>
    <numFmt numFmtId="167" formatCode="General"/>
    <numFmt numFmtId="168" formatCode="0.00%"/>
    <numFmt numFmtId="169" formatCode="0.0000"/>
    <numFmt numFmtId="170" formatCode="0.00"/>
    <numFmt numFmtId="171" formatCode="0"/>
    <numFmt numFmtId="172" formatCode="_(* #,##0_);_(* \(#,##0\);_(* \-??_);_(@_)"/>
    <numFmt numFmtId="173" formatCode="#,##0.00"/>
    <numFmt numFmtId="174" formatCode="#,##0"/>
    <numFmt numFmtId="175" formatCode="[$R$-416]\ #,##0.00;[RED]\-[$R$-416]\ #,##0.00"/>
    <numFmt numFmtId="176" formatCode="_-* #,##0.00_-;\-* #,##0.00_-;_-* \-??_-;_-@_-"/>
    <numFmt numFmtId="177" formatCode="_-* #,##0.0000_-;\-* #,##0.0000_-;_-* \-????_-;_-@_-"/>
    <numFmt numFmtId="178" formatCode="@"/>
  </numFmts>
  <fonts count="2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  <font>
      <b val="true"/>
      <sz val="14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9"/>
      <color rgb="FF000000"/>
      <name val="Tahoma"/>
      <family val="2"/>
      <charset val="1"/>
    </font>
    <font>
      <sz val="11"/>
      <color rgb="FF000000"/>
      <name val="Arial"/>
      <family val="2"/>
      <charset val="1"/>
    </font>
    <font>
      <b val="true"/>
      <sz val="9"/>
      <color rgb="FF000000"/>
      <name val="Tahoma"/>
      <family val="0"/>
      <charset val="1"/>
    </font>
    <font>
      <b val="true"/>
      <sz val="10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sz val="10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8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 val="true"/>
      <u val="single"/>
      <sz val="11"/>
      <name val="Calibri"/>
      <family val="2"/>
      <charset val="1"/>
    </font>
    <font>
      <sz val="12"/>
      <color rgb="FF0000FF"/>
      <name val="Arial"/>
      <family val="2"/>
      <charset val="1"/>
    </font>
    <font>
      <u val="single"/>
      <sz val="10"/>
      <color rgb="FF0000FF"/>
      <name val="Arial"/>
      <family val="2"/>
      <charset val="1"/>
    </font>
    <font>
      <sz val="8"/>
      <name val="Arial"/>
      <family val="2"/>
      <charset val="1"/>
    </font>
    <font>
      <sz val="10"/>
      <color rgb="FFFF000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DDD9C3"/>
        <bgColor rgb="FFD9D9D9"/>
      </patternFill>
    </fill>
    <fill>
      <patternFill patternType="solid">
        <fgColor rgb="FF92D050"/>
        <bgColor rgb="FFA6A6A6"/>
      </patternFill>
    </fill>
    <fill>
      <patternFill patternType="solid">
        <fgColor rgb="FFBFBFBF"/>
        <bgColor rgb="FFC0C0C0"/>
      </patternFill>
    </fill>
    <fill>
      <patternFill patternType="solid">
        <fgColor rgb="FFA6A6A6"/>
        <bgColor rgb="FFBFBFBF"/>
      </patternFill>
    </fill>
    <fill>
      <patternFill patternType="solid">
        <fgColor rgb="FFD9D9D9"/>
        <bgColor rgb="FFDDD9C3"/>
      </patternFill>
    </fill>
    <fill>
      <patternFill patternType="solid">
        <fgColor rgb="FFFFCDD2"/>
        <bgColor rgb="FFDDD9C3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FFFFFF"/>
        <bgColor rgb="FFCCFFFF"/>
      </patternFill>
    </fill>
  </fills>
  <borders count="4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2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6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8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9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5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1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0" borderId="7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5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8" fillId="0" borderId="5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7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5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3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14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6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0" fillId="0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5" borderId="1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6" fillId="0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6" borderId="6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6" borderId="15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6" fillId="6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7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0" fillId="7" borderId="5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15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5" borderId="16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5" borderId="17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6" fillId="5" borderId="18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2" fillId="4" borderId="19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3" borderId="20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4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4" fillId="0" borderId="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8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8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8" borderId="23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5" fillId="8" borderId="24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3" borderId="2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2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4" fillId="9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6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0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4" fillId="0" borderId="15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8" borderId="2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27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72" fontId="14" fillId="0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3" borderId="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4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2" fontId="14" fillId="0" borderId="15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8" borderId="21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4" fillId="3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4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7" fillId="4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7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3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2" fillId="0" borderId="29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7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4" fillId="10" borderId="2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4" fillId="1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1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10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32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2" fillId="8" borderId="2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8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8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8" borderId="34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3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0" borderId="6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7" fillId="0" borderId="15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7" fillId="0" borderId="5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3" borderId="15" xf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0" borderId="5" xf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3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3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3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7" fillId="0" borderId="3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3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3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6" borderId="1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6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8" fillId="6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7" fillId="0" borderId="16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7" fillId="0" borderId="17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7" fillId="0" borderId="18" xf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7" fillId="4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4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4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17" fillId="4" borderId="2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4" fillId="0" borderId="28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4" fillId="0" borderId="2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0" borderId="21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7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4" borderId="21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5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4" fontId="14" fillId="3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4" fillId="3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4" fillId="3" borderId="2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5" fontId="14" fillId="0" borderId="2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7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4" fillId="3" borderId="1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5" fontId="14" fillId="0" borderId="1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3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2" fillId="0" borderId="15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12" fillId="0" borderId="1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4" fillId="3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25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4" fontId="14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7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12" fillId="0" borderId="4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0" borderId="1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17" fillId="0" borderId="1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12" fillId="0" borderId="5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0" fillId="0" borderId="1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5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7" fillId="0" borderId="5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4" fillId="0" borderId="5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17" fillId="0" borderId="17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12" fillId="0" borderId="18" xfId="2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8" fontId="0" fillId="3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4" fillId="0" borderId="41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5" fontId="0" fillId="0" borderId="4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1"/>
    <cellStyle name="Porcentagem 2" xfId="22"/>
    <cellStyle name="Vírgula 2" xfId="23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DDD9C3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FFCDD2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3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4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5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6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vmlDrawing" Target="../drawings/vmlDrawing7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8.v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comments" Target="../comments9.xml"/><Relationship Id="rId2" Type="http://schemas.openxmlformats.org/officeDocument/2006/relationships/vmlDrawing" Target="../drawings/vmlDrawing9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C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0" activeCellId="0" sqref="C20"/>
    </sheetView>
  </sheetViews>
  <sheetFormatPr defaultColWidth="8.7578125" defaultRowHeight="15" zeroHeight="false" outlineLevelRow="0" outlineLevelCol="0"/>
  <cols>
    <col collapsed="false" customWidth="true" hidden="false" outlineLevel="0" max="2" min="2" style="0" width="73.57"/>
    <col collapsed="false" customWidth="true" hidden="false" outlineLevel="0" max="3" min="3" style="0" width="17.86"/>
  </cols>
  <sheetData>
    <row r="1" customFormat="false" ht="18" hidden="false" customHeight="false" outlineLevel="0" collapsed="false">
      <c r="B1" s="1" t="s">
        <v>0</v>
      </c>
      <c r="C1" s="1"/>
    </row>
    <row r="2" customFormat="false" ht="15" hidden="false" customHeight="false" outlineLevel="0" collapsed="false">
      <c r="B2" s="2" t="s">
        <v>1</v>
      </c>
      <c r="C2" s="3"/>
    </row>
    <row r="3" customFormat="false" ht="15" hidden="false" customHeight="false" outlineLevel="0" collapsed="false">
      <c r="B3" s="4" t="s">
        <v>2</v>
      </c>
      <c r="C3" s="5" t="n">
        <v>808</v>
      </c>
    </row>
    <row r="4" customFormat="false" ht="15" hidden="false" customHeight="false" outlineLevel="0" collapsed="false">
      <c r="B4" s="6" t="s">
        <v>3</v>
      </c>
      <c r="C4" s="5" t="n">
        <v>765</v>
      </c>
    </row>
    <row r="5" customFormat="false" ht="15" hidden="false" customHeight="false" outlineLevel="0" collapsed="false">
      <c r="B5" s="7" t="s">
        <v>4</v>
      </c>
      <c r="C5" s="8" t="n">
        <v>2</v>
      </c>
    </row>
    <row r="6" customFormat="false" ht="15" hidden="false" customHeight="false" outlineLevel="0" collapsed="false">
      <c r="B6" s="7" t="s">
        <v>5</v>
      </c>
      <c r="C6" s="8" t="n">
        <v>504</v>
      </c>
    </row>
    <row r="7" customFormat="false" ht="15" hidden="false" customHeight="false" outlineLevel="0" collapsed="false">
      <c r="B7" s="7" t="s">
        <v>6</v>
      </c>
      <c r="C7" s="8" t="n">
        <v>130</v>
      </c>
    </row>
    <row r="8" customFormat="false" ht="15" hidden="false" customHeight="false" outlineLevel="0" collapsed="false">
      <c r="B8" s="7" t="s">
        <v>7</v>
      </c>
      <c r="C8" s="8" t="n">
        <v>6</v>
      </c>
    </row>
    <row r="9" customFormat="false" ht="15" hidden="false" customHeight="false" outlineLevel="0" collapsed="false">
      <c r="B9" s="7" t="s">
        <v>8</v>
      </c>
      <c r="C9" s="8" t="n">
        <v>116</v>
      </c>
    </row>
    <row r="10" customFormat="false" ht="15" hidden="false" customHeight="false" outlineLevel="0" collapsed="false">
      <c r="B10" s="7" t="s">
        <v>9</v>
      </c>
      <c r="C10" s="8" t="n">
        <v>1</v>
      </c>
    </row>
    <row r="11" customFormat="false" ht="15" hidden="false" customHeight="false" outlineLevel="0" collapsed="false">
      <c r="B11" s="7" t="s">
        <v>10</v>
      </c>
      <c r="C11" s="8" t="n">
        <v>3</v>
      </c>
    </row>
    <row r="12" customFormat="false" ht="15" hidden="false" customHeight="false" outlineLevel="0" collapsed="false">
      <c r="B12" s="9" t="s">
        <v>11</v>
      </c>
      <c r="C12" s="10" t="n">
        <v>0</v>
      </c>
    </row>
    <row r="13" customFormat="false" ht="15" hidden="false" customHeight="false" outlineLevel="0" collapsed="false">
      <c r="B13" s="11" t="s">
        <v>12</v>
      </c>
      <c r="C13" s="10" t="n">
        <v>0</v>
      </c>
    </row>
    <row r="14" customFormat="false" ht="15" hidden="false" customHeight="false" outlineLevel="0" collapsed="false">
      <c r="B14" s="2" t="s">
        <v>13</v>
      </c>
      <c r="C14" s="12"/>
    </row>
    <row r="15" customFormat="false" ht="15" hidden="false" customHeight="false" outlineLevel="0" collapsed="false">
      <c r="B15" s="13" t="s">
        <v>14</v>
      </c>
      <c r="C15" s="14" t="n">
        <v>0</v>
      </c>
    </row>
    <row r="16" customFormat="false" ht="15" hidden="false" customHeight="false" outlineLevel="0" collapsed="false">
      <c r="B16" s="7" t="s">
        <v>15</v>
      </c>
      <c r="C16" s="8" t="n">
        <v>43</v>
      </c>
    </row>
    <row r="17" customFormat="false" ht="15" hidden="false" customHeight="false" outlineLevel="0" collapsed="false">
      <c r="B17" s="7" t="s">
        <v>16</v>
      </c>
      <c r="C17" s="15" t="n">
        <f aca="false">C3-C4</f>
        <v>43</v>
      </c>
    </row>
    <row r="18" customFormat="false" ht="15" hidden="false" customHeight="false" outlineLevel="0" collapsed="false">
      <c r="B18" s="16"/>
      <c r="C18" s="17"/>
    </row>
    <row r="19" customFormat="false" ht="15" hidden="false" customHeight="false" outlineLevel="0" collapsed="false">
      <c r="B19" s="4" t="s">
        <v>17</v>
      </c>
      <c r="C19" s="18" t="n">
        <f aca="false">MEDIAN(C15,C16)</f>
        <v>21.5</v>
      </c>
    </row>
    <row r="20" customFormat="false" ht="15" hidden="false" customHeight="false" outlineLevel="0" collapsed="false">
      <c r="B20" s="6" t="s">
        <v>18</v>
      </c>
      <c r="C20" s="19" t="n">
        <f aca="false">C6/C19</f>
        <v>23.4418604651163</v>
      </c>
    </row>
    <row r="21" customFormat="false" ht="15" hidden="false" customHeight="false" outlineLevel="0" collapsed="false">
      <c r="B21" s="6" t="s">
        <v>19</v>
      </c>
      <c r="C21" s="19" t="n">
        <f aca="false">MEDIAN(C3,C4)/C19</f>
        <v>36.5813953488372</v>
      </c>
    </row>
    <row r="22" customFormat="false" ht="15" hidden="false" customHeight="false" outlineLevel="0" collapsed="false">
      <c r="B22" s="6" t="s">
        <v>20</v>
      </c>
      <c r="C22" s="20" t="n">
        <f aca="false">12/C21</f>
        <v>0.328035600762873</v>
      </c>
    </row>
    <row r="23" customFormat="false" ht="15" hidden="false" customHeight="false" outlineLevel="0" collapsed="false">
      <c r="B23" s="6" t="s">
        <v>21</v>
      </c>
      <c r="C23" s="21" t="n">
        <v>360</v>
      </c>
    </row>
    <row r="24" customFormat="false" ht="15" hidden="false" customHeight="false" outlineLevel="0" collapsed="false">
      <c r="B24" s="6" t="s">
        <v>22</v>
      </c>
      <c r="C24" s="21" t="n">
        <v>10</v>
      </c>
    </row>
    <row r="25" customFormat="false" ht="15" hidden="false" customHeight="false" outlineLevel="0" collapsed="false">
      <c r="B25" s="4" t="s">
        <v>23</v>
      </c>
      <c r="C25" s="22" t="n">
        <v>30</v>
      </c>
    </row>
    <row r="26" customFormat="false" ht="15" hidden="false" customHeight="false" outlineLevel="0" collapsed="false">
      <c r="B26" s="4" t="s">
        <v>24</v>
      </c>
      <c r="C26" s="22" t="n">
        <v>30</v>
      </c>
    </row>
    <row r="27" customFormat="false" ht="15" hidden="false" customHeight="false" outlineLevel="0" collapsed="false">
      <c r="B27" s="4" t="s">
        <v>25</v>
      </c>
      <c r="C27" s="22" t="n">
        <v>36</v>
      </c>
    </row>
    <row r="28" customFormat="false" ht="15" hidden="false" customHeight="false" outlineLevel="0" collapsed="false">
      <c r="B28" s="6" t="s">
        <v>26</v>
      </c>
      <c r="C28" s="23" t="n">
        <v>0.08</v>
      </c>
    </row>
    <row r="29" customFormat="false" ht="15.75" hidden="false" customHeight="false" outlineLevel="0" collapsed="false">
      <c r="B29" s="24" t="s">
        <v>27</v>
      </c>
      <c r="C29" s="25" t="n">
        <v>0.5</v>
      </c>
    </row>
  </sheetData>
  <mergeCells count="1">
    <mergeCell ref="B1:C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C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6" activeCellId="0" sqref="H16"/>
    </sheetView>
  </sheetViews>
  <sheetFormatPr defaultColWidth="8.7578125" defaultRowHeight="15" zeroHeight="false" outlineLevelRow="0" outlineLevelCol="0"/>
  <cols>
    <col collapsed="false" customWidth="true" hidden="false" outlineLevel="0" max="2" min="2" style="0" width="73.57"/>
    <col collapsed="false" customWidth="true" hidden="false" outlineLevel="0" max="3" min="3" style="0" width="17.86"/>
  </cols>
  <sheetData>
    <row r="1" customFormat="false" ht="18" hidden="false" customHeight="false" outlineLevel="0" collapsed="false">
      <c r="B1" s="1" t="s">
        <v>0</v>
      </c>
      <c r="C1" s="1"/>
    </row>
    <row r="2" customFormat="false" ht="15" hidden="false" customHeight="false" outlineLevel="0" collapsed="false">
      <c r="B2" s="2" t="s">
        <v>28</v>
      </c>
      <c r="C2" s="3"/>
    </row>
    <row r="3" customFormat="false" ht="15" hidden="false" customHeight="false" outlineLevel="0" collapsed="false">
      <c r="B3" s="4" t="s">
        <v>2</v>
      </c>
      <c r="C3" s="5" t="n">
        <v>378</v>
      </c>
    </row>
    <row r="4" customFormat="false" ht="15" hidden="false" customHeight="false" outlineLevel="0" collapsed="false">
      <c r="B4" s="6" t="s">
        <v>3</v>
      </c>
      <c r="C4" s="5" t="n">
        <v>267</v>
      </c>
    </row>
    <row r="5" customFormat="false" ht="15" hidden="false" customHeight="false" outlineLevel="0" collapsed="false">
      <c r="B5" s="7" t="s">
        <v>4</v>
      </c>
      <c r="C5" s="8" t="n">
        <v>0</v>
      </c>
    </row>
    <row r="6" customFormat="false" ht="15" hidden="false" customHeight="false" outlineLevel="0" collapsed="false">
      <c r="B6" s="7" t="s">
        <v>5</v>
      </c>
      <c r="C6" s="8" t="n">
        <v>104</v>
      </c>
    </row>
    <row r="7" customFormat="false" ht="15" hidden="false" customHeight="false" outlineLevel="0" collapsed="false">
      <c r="B7" s="7" t="s">
        <v>6</v>
      </c>
      <c r="C7" s="8" t="n">
        <v>62</v>
      </c>
    </row>
    <row r="8" customFormat="false" ht="15" hidden="false" customHeight="false" outlineLevel="0" collapsed="false">
      <c r="B8" s="7" t="s">
        <v>7</v>
      </c>
      <c r="C8" s="8" t="n">
        <v>19</v>
      </c>
    </row>
    <row r="9" customFormat="false" ht="15" hidden="false" customHeight="false" outlineLevel="0" collapsed="false">
      <c r="B9" s="7" t="s">
        <v>8</v>
      </c>
      <c r="C9" s="8" t="n">
        <v>53</v>
      </c>
    </row>
    <row r="10" customFormat="false" ht="15" hidden="false" customHeight="false" outlineLevel="0" collapsed="false">
      <c r="B10" s="7" t="s">
        <v>9</v>
      </c>
      <c r="C10" s="8" t="n">
        <v>0</v>
      </c>
    </row>
    <row r="11" customFormat="false" ht="15" hidden="false" customHeight="false" outlineLevel="0" collapsed="false">
      <c r="B11" s="7" t="s">
        <v>10</v>
      </c>
      <c r="C11" s="8" t="n">
        <v>0</v>
      </c>
    </row>
    <row r="12" customFormat="false" ht="15" hidden="false" customHeight="false" outlineLevel="0" collapsed="false">
      <c r="B12" s="9" t="s">
        <v>11</v>
      </c>
      <c r="C12" s="10" t="n">
        <v>0</v>
      </c>
    </row>
    <row r="13" customFormat="false" ht="15" hidden="false" customHeight="false" outlineLevel="0" collapsed="false">
      <c r="B13" s="11" t="s">
        <v>12</v>
      </c>
      <c r="C13" s="10" t="n">
        <v>0</v>
      </c>
    </row>
    <row r="14" customFormat="false" ht="15" hidden="false" customHeight="false" outlineLevel="0" collapsed="false">
      <c r="B14" s="2" t="s">
        <v>13</v>
      </c>
      <c r="C14" s="12"/>
    </row>
    <row r="15" customFormat="false" ht="15" hidden="false" customHeight="false" outlineLevel="0" collapsed="false">
      <c r="B15" s="13" t="s">
        <v>29</v>
      </c>
      <c r="C15" s="14" t="n">
        <v>0</v>
      </c>
    </row>
    <row r="16" customFormat="false" ht="15" hidden="false" customHeight="false" outlineLevel="0" collapsed="false">
      <c r="B16" s="7" t="s">
        <v>30</v>
      </c>
      <c r="C16" s="8" t="n">
        <v>111</v>
      </c>
    </row>
    <row r="17" customFormat="false" ht="15" hidden="false" customHeight="false" outlineLevel="0" collapsed="false">
      <c r="B17" s="7" t="s">
        <v>31</v>
      </c>
      <c r="C17" s="15" t="n">
        <f aca="false">C3-C4</f>
        <v>111</v>
      </c>
    </row>
    <row r="18" customFormat="false" ht="15" hidden="false" customHeight="false" outlineLevel="0" collapsed="false">
      <c r="B18" s="16"/>
      <c r="C18" s="17"/>
    </row>
    <row r="19" customFormat="false" ht="15" hidden="false" customHeight="false" outlineLevel="0" collapsed="false">
      <c r="B19" s="4" t="s">
        <v>17</v>
      </c>
      <c r="C19" s="18" t="n">
        <f aca="false">MEDIAN(C15,C16)</f>
        <v>55.5</v>
      </c>
    </row>
    <row r="20" customFormat="false" ht="15" hidden="false" customHeight="false" outlineLevel="0" collapsed="false">
      <c r="B20" s="6" t="s">
        <v>18</v>
      </c>
      <c r="C20" s="19" t="n">
        <f aca="false">C6/C19</f>
        <v>1.87387387387387</v>
      </c>
    </row>
    <row r="21" customFormat="false" ht="15" hidden="false" customHeight="false" outlineLevel="0" collapsed="false">
      <c r="B21" s="6" t="s">
        <v>19</v>
      </c>
      <c r="C21" s="19" t="n">
        <f aca="false">MEDIAN(C3,C4)/C19</f>
        <v>5.81081081081081</v>
      </c>
    </row>
    <row r="22" customFormat="false" ht="15" hidden="false" customHeight="false" outlineLevel="0" collapsed="false">
      <c r="B22" s="6" t="s">
        <v>20</v>
      </c>
      <c r="C22" s="20" t="n">
        <f aca="false">12/C21</f>
        <v>2.06511627906977</v>
      </c>
    </row>
    <row r="23" customFormat="false" ht="15" hidden="false" customHeight="false" outlineLevel="0" collapsed="false">
      <c r="B23" s="6" t="s">
        <v>21</v>
      </c>
      <c r="C23" s="21" t="n">
        <v>360</v>
      </c>
    </row>
    <row r="24" customFormat="false" ht="15" hidden="false" customHeight="false" outlineLevel="0" collapsed="false">
      <c r="B24" s="6" t="s">
        <v>22</v>
      </c>
      <c r="C24" s="21" t="n">
        <v>10</v>
      </c>
    </row>
    <row r="25" customFormat="false" ht="15" hidden="false" customHeight="false" outlineLevel="0" collapsed="false">
      <c r="B25" s="4" t="s">
        <v>23</v>
      </c>
      <c r="C25" s="22" t="n">
        <v>30</v>
      </c>
    </row>
    <row r="26" customFormat="false" ht="15" hidden="false" customHeight="false" outlineLevel="0" collapsed="false">
      <c r="B26" s="4" t="s">
        <v>24</v>
      </c>
      <c r="C26" s="22" t="n">
        <v>30</v>
      </c>
    </row>
    <row r="27" customFormat="false" ht="15" hidden="false" customHeight="false" outlineLevel="0" collapsed="false">
      <c r="B27" s="4" t="s">
        <v>25</v>
      </c>
      <c r="C27" s="22" t="n">
        <v>36</v>
      </c>
    </row>
    <row r="28" customFormat="false" ht="15" hidden="false" customHeight="false" outlineLevel="0" collapsed="false">
      <c r="B28" s="6" t="s">
        <v>26</v>
      </c>
      <c r="C28" s="23" t="n">
        <v>0.08</v>
      </c>
    </row>
    <row r="29" customFormat="false" ht="15.75" hidden="false" customHeight="false" outlineLevel="0" collapsed="false">
      <c r="B29" s="24" t="s">
        <v>27</v>
      </c>
      <c r="C29" s="25" t="n">
        <v>0.5</v>
      </c>
    </row>
  </sheetData>
  <mergeCells count="1">
    <mergeCell ref="B1:C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6" activeCellId="0" sqref="I6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7.57"/>
    <col collapsed="false" customWidth="true" hidden="false" outlineLevel="0" max="2" min="2" style="0" width="39.57"/>
    <col collapsed="false" customWidth="true" hidden="false" outlineLevel="0" max="3" min="3" style="0" width="13.7"/>
  </cols>
  <sheetData>
    <row r="1" customFormat="false" ht="18" hidden="false" customHeight="false" outlineLevel="0" collapsed="false">
      <c r="A1" s="26" t="s">
        <v>32</v>
      </c>
      <c r="B1" s="26"/>
      <c r="C1" s="26"/>
    </row>
    <row r="2" customFormat="false" ht="15" hidden="false" customHeight="false" outlineLevel="0" collapsed="false">
      <c r="A2" s="27" t="s">
        <v>33</v>
      </c>
      <c r="B2" s="28" t="s">
        <v>34</v>
      </c>
      <c r="C2" s="29" t="s">
        <v>35</v>
      </c>
      <c r="E2" s="30"/>
    </row>
    <row r="3" customFormat="false" ht="13.8" hidden="false" customHeight="false" outlineLevel="0" collapsed="false">
      <c r="A3" s="27" t="s">
        <v>36</v>
      </c>
      <c r="B3" s="28" t="s">
        <v>37</v>
      </c>
      <c r="C3" s="31" t="n">
        <v>0.2</v>
      </c>
      <c r="E3" s="30" t="n">
        <v>0</v>
      </c>
    </row>
    <row r="4" customFormat="false" ht="13.8" hidden="false" customHeight="false" outlineLevel="0" collapsed="false">
      <c r="A4" s="27" t="s">
        <v>38</v>
      </c>
      <c r="B4" s="28" t="s">
        <v>39</v>
      </c>
      <c r="C4" s="31" t="n">
        <v>0.015</v>
      </c>
      <c r="E4" s="30" t="n">
        <v>0</v>
      </c>
    </row>
    <row r="5" customFormat="false" ht="13.8" hidden="false" customHeight="false" outlineLevel="0" collapsed="false">
      <c r="A5" s="27" t="s">
        <v>40</v>
      </c>
      <c r="B5" s="28" t="s">
        <v>41</v>
      </c>
      <c r="C5" s="31" t="n">
        <v>0.01</v>
      </c>
      <c r="E5" s="30" t="n">
        <v>0</v>
      </c>
    </row>
    <row r="6" customFormat="false" ht="13.8" hidden="false" customHeight="false" outlineLevel="0" collapsed="false">
      <c r="A6" s="27" t="s">
        <v>42</v>
      </c>
      <c r="B6" s="28" t="s">
        <v>43</v>
      </c>
      <c r="C6" s="31" t="n">
        <v>0.002</v>
      </c>
      <c r="E6" s="30" t="n">
        <v>0</v>
      </c>
    </row>
    <row r="7" customFormat="false" ht="13.8" hidden="false" customHeight="false" outlineLevel="0" collapsed="false">
      <c r="A7" s="27" t="s">
        <v>44</v>
      </c>
      <c r="B7" s="28" t="s">
        <v>45</v>
      </c>
      <c r="C7" s="31" t="n">
        <v>0.006</v>
      </c>
      <c r="E7" s="30" t="n">
        <v>0</v>
      </c>
    </row>
    <row r="8" customFormat="false" ht="13.8" hidden="false" customHeight="false" outlineLevel="0" collapsed="false">
      <c r="A8" s="27" t="s">
        <v>46</v>
      </c>
      <c r="B8" s="28" t="s">
        <v>47</v>
      </c>
      <c r="C8" s="31" t="n">
        <v>0.025</v>
      </c>
      <c r="E8" s="30" t="n">
        <v>0</v>
      </c>
    </row>
    <row r="9" customFormat="false" ht="13.8" hidden="false" customHeight="false" outlineLevel="0" collapsed="false">
      <c r="A9" s="27" t="s">
        <v>48</v>
      </c>
      <c r="B9" s="28" t="s">
        <v>49</v>
      </c>
      <c r="C9" s="31" t="n">
        <v>0.03</v>
      </c>
      <c r="E9" s="30" t="n">
        <v>0</v>
      </c>
      <c r="F9" s="0" t="s">
        <v>50</v>
      </c>
    </row>
    <row r="10" customFormat="false" ht="13.8" hidden="false" customHeight="false" outlineLevel="0" collapsed="false">
      <c r="A10" s="27" t="s">
        <v>51</v>
      </c>
      <c r="B10" s="28" t="s">
        <v>26</v>
      </c>
      <c r="C10" s="31" t="n">
        <v>0.08</v>
      </c>
      <c r="E10" s="30"/>
    </row>
    <row r="11" customFormat="false" ht="15" hidden="false" customHeight="false" outlineLevel="0" collapsed="false">
      <c r="A11" s="27" t="s">
        <v>52</v>
      </c>
      <c r="B11" s="32" t="s">
        <v>53</v>
      </c>
      <c r="C11" s="33" t="n">
        <f aca="false">SUM(C3:C10)</f>
        <v>0.368</v>
      </c>
      <c r="E11" s="30"/>
    </row>
    <row r="12" customFormat="false" ht="15" hidden="false" customHeight="false" outlineLevel="0" collapsed="false">
      <c r="A12" s="34"/>
      <c r="B12" s="35"/>
      <c r="C12" s="36"/>
      <c r="E12" s="30"/>
    </row>
    <row r="13" customFormat="false" ht="15" hidden="false" customHeight="false" outlineLevel="0" collapsed="false">
      <c r="A13" s="27" t="s">
        <v>54</v>
      </c>
      <c r="B13" s="28" t="s">
        <v>55</v>
      </c>
      <c r="C13" s="37" t="n">
        <f aca="false">ROUND(IF(CAGED!C22&gt;24,(1-12/CAGED!C22)*0.1111,0.1111-C22),4)</f>
        <v>0</v>
      </c>
    </row>
    <row r="14" customFormat="false" ht="15" hidden="false" customHeight="false" outlineLevel="0" collapsed="false">
      <c r="A14" s="27" t="s">
        <v>56</v>
      </c>
      <c r="B14" s="28" t="s">
        <v>57</v>
      </c>
      <c r="C14" s="38" t="n">
        <f aca="false">ROUND(CAGED!C26/CAGED!C23,4)</f>
        <v>0.0833</v>
      </c>
    </row>
    <row r="15" customFormat="false" ht="15" hidden="false" customHeight="false" outlineLevel="0" collapsed="false">
      <c r="A15" s="27" t="s">
        <v>58</v>
      </c>
      <c r="B15" s="28" t="s">
        <v>59</v>
      </c>
      <c r="C15" s="38" t="n">
        <v>0.0006</v>
      </c>
    </row>
    <row r="16" customFormat="false" ht="15" hidden="false" customHeight="false" outlineLevel="0" collapsed="false">
      <c r="A16" s="27" t="s">
        <v>60</v>
      </c>
      <c r="B16" s="28" t="s">
        <v>61</v>
      </c>
      <c r="C16" s="38" t="n">
        <v>0.0082</v>
      </c>
    </row>
    <row r="17" customFormat="false" ht="15" hidden="false" customHeight="false" outlineLevel="0" collapsed="false">
      <c r="A17" s="27" t="s">
        <v>62</v>
      </c>
      <c r="B17" s="28" t="s">
        <v>63</v>
      </c>
      <c r="C17" s="38" t="n">
        <v>0.0001</v>
      </c>
    </row>
    <row r="18" customFormat="false" ht="15" hidden="false" customHeight="false" outlineLevel="0" collapsed="false">
      <c r="A18" s="27" t="s">
        <v>64</v>
      </c>
      <c r="B18" s="28" t="s">
        <v>65</v>
      </c>
      <c r="C18" s="38" t="n">
        <v>0.0166</v>
      </c>
    </row>
    <row r="19" customFormat="false" ht="15" hidden="false" customHeight="false" outlineLevel="0" collapsed="false">
      <c r="A19" s="27" t="s">
        <v>66</v>
      </c>
      <c r="B19" s="32" t="s">
        <v>67</v>
      </c>
      <c r="C19" s="33" t="n">
        <f aca="false">SUM(C13:C18)</f>
        <v>0.1088</v>
      </c>
    </row>
    <row r="20" customFormat="false" ht="15" hidden="false" customHeight="false" outlineLevel="0" collapsed="false">
      <c r="A20" s="34"/>
      <c r="B20" s="35"/>
      <c r="C20" s="36"/>
    </row>
    <row r="21" customFormat="false" ht="15" hidden="false" customHeight="false" outlineLevel="0" collapsed="false">
      <c r="A21" s="27" t="s">
        <v>68</v>
      </c>
      <c r="B21" s="28" t="s">
        <v>69</v>
      </c>
      <c r="C21" s="38" t="n">
        <f aca="false">ROUND((CAGED!C27) *CAGED!C20/CAGED!C23,4)</f>
        <v>2.3442</v>
      </c>
    </row>
    <row r="22" customFormat="false" ht="15" hidden="false" customHeight="false" outlineLevel="0" collapsed="false">
      <c r="A22" s="27" t="s">
        <v>70</v>
      </c>
      <c r="B22" s="28" t="s">
        <v>71</v>
      </c>
      <c r="C22" s="38" t="n">
        <f aca="false">ROUND(IF(CAGED!C22&gt;12,12/CAGED!C22*0.1111,0.1111),4)</f>
        <v>0.1111</v>
      </c>
    </row>
    <row r="23" customFormat="false" ht="15" hidden="false" customHeight="false" outlineLevel="0" collapsed="false">
      <c r="A23" s="27" t="s">
        <v>72</v>
      </c>
      <c r="B23" s="28" t="s">
        <v>73</v>
      </c>
      <c r="C23" s="38" t="n">
        <f aca="false">C21*C22</f>
        <v>0.26044062</v>
      </c>
    </row>
    <row r="24" customFormat="false" ht="15" hidden="false" customHeight="false" outlineLevel="0" collapsed="false">
      <c r="A24" s="27" t="s">
        <v>74</v>
      </c>
      <c r="B24" s="28" t="s">
        <v>75</v>
      </c>
      <c r="C24" s="38" t="n">
        <f aca="false">ROUND((CAGED!C23+CAGED!C24+CAGED!C26)/CAGED!C21*CAGED!C28*CAGED!C29*CAGED!C20/CAGED!C23,4)</f>
        <v>0.0285</v>
      </c>
    </row>
    <row r="25" customFormat="false" ht="15" hidden="false" customHeight="false" outlineLevel="0" collapsed="false">
      <c r="A25" s="27" t="s">
        <v>76</v>
      </c>
      <c r="B25" s="28" t="s">
        <v>77</v>
      </c>
      <c r="C25" s="38" t="n">
        <f aca="false">ROUND((CAGED!C25/CAGED!C23)*CAGED!C20/12,4)</f>
        <v>0.1628</v>
      </c>
    </row>
    <row r="26" customFormat="false" ht="15" hidden="false" customHeight="false" outlineLevel="0" collapsed="false">
      <c r="A26" s="27" t="s">
        <v>78</v>
      </c>
      <c r="B26" s="32" t="s">
        <v>79</v>
      </c>
      <c r="C26" s="33" t="n">
        <f aca="false">SUM(C21:C25)</f>
        <v>2.90704062</v>
      </c>
    </row>
    <row r="27" customFormat="false" ht="15" hidden="false" customHeight="false" outlineLevel="0" collapsed="false">
      <c r="A27" s="34"/>
      <c r="B27" s="35"/>
      <c r="C27" s="36"/>
    </row>
    <row r="28" customFormat="false" ht="15" hidden="false" customHeight="false" outlineLevel="0" collapsed="false">
      <c r="A28" s="27" t="s">
        <v>80</v>
      </c>
      <c r="B28" s="28" t="s">
        <v>81</v>
      </c>
      <c r="C28" s="38" t="n">
        <f aca="false">ROUND(C11*C19,4)</f>
        <v>0.04</v>
      </c>
    </row>
    <row r="29" customFormat="false" ht="28.5" hidden="false" customHeight="false" outlineLevel="0" collapsed="false">
      <c r="A29" s="27" t="s">
        <v>82</v>
      </c>
      <c r="B29" s="39" t="s">
        <v>83</v>
      </c>
      <c r="C29" s="38" t="n">
        <f aca="false">ROUND((C21*C10),4)</f>
        <v>0.1875</v>
      </c>
    </row>
    <row r="30" customFormat="false" ht="15" hidden="false" customHeight="false" outlineLevel="0" collapsed="false">
      <c r="A30" s="27" t="s">
        <v>84</v>
      </c>
      <c r="B30" s="32" t="s">
        <v>85</v>
      </c>
      <c r="C30" s="33" t="n">
        <f aca="false">SUM(C28:C29)</f>
        <v>0.2275</v>
      </c>
    </row>
    <row r="31" customFormat="false" ht="15.75" hidden="false" customHeight="false" outlineLevel="0" collapsed="false">
      <c r="A31" s="40"/>
      <c r="B31" s="41" t="s">
        <v>86</v>
      </c>
      <c r="C31" s="42" t="n">
        <f aca="false">C30+C26+C19+C11</f>
        <v>3.61134062</v>
      </c>
    </row>
  </sheetData>
  <mergeCells count="1">
    <mergeCell ref="A1:C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7.57"/>
    <col collapsed="false" customWidth="true" hidden="false" outlineLevel="0" max="2" min="2" style="0" width="39.57"/>
    <col collapsed="false" customWidth="true" hidden="false" outlineLevel="0" max="3" min="3" style="0" width="13.7"/>
  </cols>
  <sheetData>
    <row r="1" customFormat="false" ht="18" hidden="false" customHeight="false" outlineLevel="0" collapsed="false">
      <c r="A1" s="26" t="s">
        <v>32</v>
      </c>
      <c r="B1" s="26"/>
      <c r="C1" s="26"/>
    </row>
    <row r="2" customFormat="false" ht="15" hidden="false" customHeight="false" outlineLevel="0" collapsed="false">
      <c r="A2" s="27" t="s">
        <v>33</v>
      </c>
      <c r="B2" s="28" t="s">
        <v>34</v>
      </c>
      <c r="C2" s="29" t="s">
        <v>35</v>
      </c>
    </row>
    <row r="3" customFormat="false" ht="15" hidden="false" customHeight="false" outlineLevel="0" collapsed="false">
      <c r="A3" s="27" t="s">
        <v>36</v>
      </c>
      <c r="B3" s="28" t="s">
        <v>37</v>
      </c>
      <c r="C3" s="31" t="n">
        <v>0.2</v>
      </c>
    </row>
    <row r="4" customFormat="false" ht="15" hidden="false" customHeight="false" outlineLevel="0" collapsed="false">
      <c r="A4" s="27" t="s">
        <v>38</v>
      </c>
      <c r="B4" s="28" t="s">
        <v>39</v>
      </c>
      <c r="C4" s="31" t="n">
        <v>0.015</v>
      </c>
    </row>
    <row r="5" customFormat="false" ht="15" hidden="false" customHeight="false" outlineLevel="0" collapsed="false">
      <c r="A5" s="27" t="s">
        <v>40</v>
      </c>
      <c r="B5" s="28" t="s">
        <v>41</v>
      </c>
      <c r="C5" s="31" t="n">
        <v>0.01</v>
      </c>
    </row>
    <row r="6" customFormat="false" ht="15" hidden="false" customHeight="false" outlineLevel="0" collapsed="false">
      <c r="A6" s="27" t="s">
        <v>42</v>
      </c>
      <c r="B6" s="28" t="s">
        <v>43</v>
      </c>
      <c r="C6" s="31" t="n">
        <v>0.002</v>
      </c>
    </row>
    <row r="7" customFormat="false" ht="15" hidden="false" customHeight="false" outlineLevel="0" collapsed="false">
      <c r="A7" s="27" t="s">
        <v>44</v>
      </c>
      <c r="B7" s="28" t="s">
        <v>45</v>
      </c>
      <c r="C7" s="31" t="n">
        <v>0.006</v>
      </c>
    </row>
    <row r="8" customFormat="false" ht="15" hidden="false" customHeight="false" outlineLevel="0" collapsed="false">
      <c r="A8" s="27" t="s">
        <v>46</v>
      </c>
      <c r="B8" s="28" t="s">
        <v>47</v>
      </c>
      <c r="C8" s="31" t="n">
        <v>0.025</v>
      </c>
    </row>
    <row r="9" customFormat="false" ht="15" hidden="false" customHeight="false" outlineLevel="0" collapsed="false">
      <c r="A9" s="27" t="s">
        <v>48</v>
      </c>
      <c r="B9" s="28" t="s">
        <v>49</v>
      </c>
      <c r="C9" s="31" t="n">
        <v>0.03</v>
      </c>
    </row>
    <row r="10" customFormat="false" ht="15" hidden="false" customHeight="false" outlineLevel="0" collapsed="false">
      <c r="A10" s="27" t="s">
        <v>51</v>
      </c>
      <c r="B10" s="28" t="s">
        <v>26</v>
      </c>
      <c r="C10" s="31" t="n">
        <v>0.08</v>
      </c>
    </row>
    <row r="11" customFormat="false" ht="15" hidden="false" customHeight="false" outlineLevel="0" collapsed="false">
      <c r="A11" s="27" t="s">
        <v>52</v>
      </c>
      <c r="B11" s="32" t="s">
        <v>53</v>
      </c>
      <c r="C11" s="33" t="n">
        <f aca="false">SUM(C3:C10)</f>
        <v>0.368</v>
      </c>
    </row>
    <row r="12" customFormat="false" ht="15" hidden="false" customHeight="false" outlineLevel="0" collapsed="false">
      <c r="A12" s="34"/>
      <c r="B12" s="35"/>
      <c r="C12" s="36"/>
    </row>
    <row r="13" customFormat="false" ht="15" hidden="false" customHeight="false" outlineLevel="0" collapsed="false">
      <c r="A13" s="27" t="s">
        <v>54</v>
      </c>
      <c r="B13" s="28" t="s">
        <v>55</v>
      </c>
      <c r="C13" s="37" t="n">
        <f aca="false">ROUND(IF(CAGED_2!C22&gt;24,(1-12/CAGED_2!C22)*0.1111,0.1111-C22),4)</f>
        <v>0</v>
      </c>
    </row>
    <row r="14" customFormat="false" ht="15" hidden="false" customHeight="false" outlineLevel="0" collapsed="false">
      <c r="A14" s="27" t="s">
        <v>56</v>
      </c>
      <c r="B14" s="28" t="s">
        <v>57</v>
      </c>
      <c r="C14" s="38" t="n">
        <f aca="false">ROUND(CAGED_2!C26/CAGED_2!C23,4)</f>
        <v>0.0833</v>
      </c>
    </row>
    <row r="15" customFormat="false" ht="15" hidden="false" customHeight="false" outlineLevel="0" collapsed="false">
      <c r="A15" s="27" t="s">
        <v>58</v>
      </c>
      <c r="B15" s="28" t="s">
        <v>59</v>
      </c>
      <c r="C15" s="38" t="n">
        <v>0.0006</v>
      </c>
    </row>
    <row r="16" customFormat="false" ht="15" hidden="false" customHeight="false" outlineLevel="0" collapsed="false">
      <c r="A16" s="27" t="s">
        <v>60</v>
      </c>
      <c r="B16" s="28" t="s">
        <v>61</v>
      </c>
      <c r="C16" s="38" t="n">
        <v>0.0082</v>
      </c>
    </row>
    <row r="17" customFormat="false" ht="15" hidden="false" customHeight="false" outlineLevel="0" collapsed="false">
      <c r="A17" s="27" t="s">
        <v>62</v>
      </c>
      <c r="B17" s="28" t="s">
        <v>63</v>
      </c>
      <c r="C17" s="38" t="n">
        <v>0.0001</v>
      </c>
    </row>
    <row r="18" customFormat="false" ht="15" hidden="false" customHeight="false" outlineLevel="0" collapsed="false">
      <c r="A18" s="27" t="s">
        <v>64</v>
      </c>
      <c r="B18" s="28" t="s">
        <v>65</v>
      </c>
      <c r="C18" s="38" t="n">
        <v>0.0166</v>
      </c>
    </row>
    <row r="19" customFormat="false" ht="15" hidden="false" customHeight="false" outlineLevel="0" collapsed="false">
      <c r="A19" s="27" t="s">
        <v>66</v>
      </c>
      <c r="B19" s="32" t="s">
        <v>67</v>
      </c>
      <c r="C19" s="33" t="n">
        <f aca="false">SUM(C13:C18)</f>
        <v>0.1088</v>
      </c>
    </row>
    <row r="20" customFormat="false" ht="15" hidden="false" customHeight="false" outlineLevel="0" collapsed="false">
      <c r="A20" s="34"/>
      <c r="B20" s="35"/>
      <c r="C20" s="36"/>
    </row>
    <row r="21" customFormat="false" ht="15" hidden="false" customHeight="false" outlineLevel="0" collapsed="false">
      <c r="A21" s="27" t="s">
        <v>68</v>
      </c>
      <c r="B21" s="28" t="s">
        <v>69</v>
      </c>
      <c r="C21" s="38" t="n">
        <f aca="false">ROUND((CAGED_2!C27) *CAGED_2!C20/CAGED_2!C23,4)</f>
        <v>0.1874</v>
      </c>
    </row>
    <row r="22" customFormat="false" ht="15" hidden="false" customHeight="false" outlineLevel="0" collapsed="false">
      <c r="A22" s="27" t="s">
        <v>70</v>
      </c>
      <c r="B22" s="28" t="s">
        <v>71</v>
      </c>
      <c r="C22" s="38" t="n">
        <f aca="false">ROUND(IF(CAGED_2!C22&gt;12,12/CAGED_2!C22*0.1111,0.1111),4)</f>
        <v>0.1111</v>
      </c>
    </row>
    <row r="23" customFormat="false" ht="15" hidden="false" customHeight="false" outlineLevel="0" collapsed="false">
      <c r="A23" s="27" t="s">
        <v>72</v>
      </c>
      <c r="B23" s="28" t="s">
        <v>73</v>
      </c>
      <c r="C23" s="38" t="n">
        <f aca="false">C21*C22</f>
        <v>0.02082014</v>
      </c>
    </row>
    <row r="24" customFormat="false" ht="15" hidden="false" customHeight="false" outlineLevel="0" collapsed="false">
      <c r="A24" s="27" t="s">
        <v>74</v>
      </c>
      <c r="B24" s="28" t="s">
        <v>75</v>
      </c>
      <c r="C24" s="38" t="n">
        <f aca="false">ROUND((CAGED_2!C23+CAGED_2!C24+CAGED_2!C26)/CAGED_2!C21*CAGED_2!C28*CAGED_2!C29*CAGED_2!C20/CAGED_2!C23,4)</f>
        <v>0.0143</v>
      </c>
    </row>
    <row r="25" customFormat="false" ht="15" hidden="false" customHeight="false" outlineLevel="0" collapsed="false">
      <c r="A25" s="27" t="s">
        <v>76</v>
      </c>
      <c r="B25" s="28" t="s">
        <v>77</v>
      </c>
      <c r="C25" s="38" t="n">
        <f aca="false">ROUND((CAGED_2!C25/CAGED_2!C23)*CAGED_2!C20/12,4)</f>
        <v>0.013</v>
      </c>
    </row>
    <row r="26" customFormat="false" ht="15" hidden="false" customHeight="false" outlineLevel="0" collapsed="false">
      <c r="A26" s="27" t="s">
        <v>78</v>
      </c>
      <c r="B26" s="32" t="s">
        <v>79</v>
      </c>
      <c r="C26" s="33" t="n">
        <f aca="false">SUM(C21:C25)</f>
        <v>0.34662014</v>
      </c>
    </row>
    <row r="27" customFormat="false" ht="15" hidden="false" customHeight="false" outlineLevel="0" collapsed="false">
      <c r="A27" s="34"/>
      <c r="B27" s="35"/>
      <c r="C27" s="36"/>
    </row>
    <row r="28" customFormat="false" ht="15" hidden="false" customHeight="false" outlineLevel="0" collapsed="false">
      <c r="A28" s="27" t="s">
        <v>80</v>
      </c>
      <c r="B28" s="28" t="s">
        <v>81</v>
      </c>
      <c r="C28" s="38" t="n">
        <f aca="false">ROUND(C11*C19,4)</f>
        <v>0.04</v>
      </c>
    </row>
    <row r="29" customFormat="false" ht="28.5" hidden="false" customHeight="false" outlineLevel="0" collapsed="false">
      <c r="A29" s="27" t="s">
        <v>82</v>
      </c>
      <c r="B29" s="39" t="s">
        <v>83</v>
      </c>
      <c r="C29" s="38" t="n">
        <f aca="false">ROUND((C21*C10),4)</f>
        <v>0.015</v>
      </c>
    </row>
    <row r="30" customFormat="false" ht="15" hidden="false" customHeight="false" outlineLevel="0" collapsed="false">
      <c r="A30" s="27" t="s">
        <v>84</v>
      </c>
      <c r="B30" s="32" t="s">
        <v>85</v>
      </c>
      <c r="C30" s="33" t="n">
        <f aca="false">SUM(C28:C29)</f>
        <v>0.055</v>
      </c>
    </row>
    <row r="31" customFormat="false" ht="15.75" hidden="false" customHeight="false" outlineLevel="0" collapsed="false">
      <c r="A31" s="40"/>
      <c r="B31" s="41" t="s">
        <v>86</v>
      </c>
      <c r="C31" s="42" t="n">
        <f aca="false">C30+C26+C19+C11</f>
        <v>0.87842014</v>
      </c>
    </row>
  </sheetData>
  <mergeCells count="1">
    <mergeCell ref="A1:C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59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E6" activeCellId="0" sqref="E6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44.85"/>
    <col collapsed="false" customWidth="true" hidden="false" outlineLevel="0" max="2" min="2" style="0" width="16.14"/>
    <col collapsed="false" customWidth="true" hidden="false" outlineLevel="0" max="3" min="3" style="0" width="10.29"/>
    <col collapsed="false" customWidth="true" hidden="false" outlineLevel="0" max="4" min="4" style="0" width="17.71"/>
    <col collapsed="false" customWidth="true" hidden="false" outlineLevel="0" max="5" min="5" style="0" width="10.6"/>
    <col collapsed="false" customWidth="true" hidden="false" outlineLevel="0" max="6" min="6" style="0" width="11.3"/>
  </cols>
  <sheetData>
    <row r="1" customFormat="false" ht="13.8" hidden="false" customHeight="false" outlineLevel="0" collapsed="false">
      <c r="A1" s="43" t="s">
        <v>87</v>
      </c>
      <c r="B1" s="44" t="n">
        <v>0.68</v>
      </c>
      <c r="E1" s="0" t="s">
        <v>88</v>
      </c>
      <c r="G1" s="0" t="s">
        <v>89</v>
      </c>
    </row>
    <row r="2" customFormat="false" ht="15" hidden="false" customHeight="false" outlineLevel="0" collapsed="false">
      <c r="E2" s="0" t="s">
        <v>90</v>
      </c>
    </row>
    <row r="3" customFormat="false" ht="18.75" hidden="false" customHeight="false" outlineLevel="0" collapsed="false">
      <c r="A3" s="45" t="s">
        <v>91</v>
      </c>
      <c r="B3" s="45"/>
      <c r="C3" s="45"/>
      <c r="D3" s="45"/>
      <c r="E3" s="45"/>
      <c r="F3" s="45"/>
    </row>
    <row r="4" customFormat="false" ht="15.75" hidden="false" customHeight="false" outlineLevel="0" collapsed="false">
      <c r="A4" s="46" t="s">
        <v>92</v>
      </c>
      <c r="B4" s="46"/>
      <c r="C4" s="46"/>
      <c r="D4" s="47"/>
      <c r="E4" s="47"/>
      <c r="F4" s="47"/>
    </row>
    <row r="5" customFormat="false" ht="15.75" hidden="false" customHeight="false" outlineLevel="0" collapsed="false">
      <c r="A5" s="48" t="s">
        <v>93</v>
      </c>
      <c r="B5" s="49" t="s">
        <v>94</v>
      </c>
      <c r="C5" s="49" t="s">
        <v>95</v>
      </c>
      <c r="D5" s="50" t="s">
        <v>96</v>
      </c>
      <c r="E5" s="50" t="s">
        <v>97</v>
      </c>
      <c r="F5" s="51" t="s">
        <v>98</v>
      </c>
    </row>
    <row r="6" customFormat="false" ht="15" hidden="false" customHeight="false" outlineLevel="0" collapsed="false">
      <c r="A6" s="52" t="s">
        <v>99</v>
      </c>
      <c r="B6" s="53" t="s">
        <v>100</v>
      </c>
      <c r="C6" s="53" t="n">
        <v>1</v>
      </c>
      <c r="D6" s="54" t="n">
        <v>2863.33</v>
      </c>
      <c r="E6" s="55" t="n">
        <f aca="false">C6*D6</f>
        <v>2863.33</v>
      </c>
      <c r="F6" s="47"/>
    </row>
    <row r="7" customFormat="false" ht="13.8" hidden="false" customHeight="false" outlineLevel="0" collapsed="false">
      <c r="A7" s="52" t="s">
        <v>101</v>
      </c>
      <c r="B7" s="53" t="s">
        <v>100</v>
      </c>
      <c r="C7" s="53" t="n">
        <v>1</v>
      </c>
      <c r="D7" s="54" t="n">
        <v>1320</v>
      </c>
      <c r="E7" s="55"/>
      <c r="F7" s="47"/>
    </row>
    <row r="8" customFormat="false" ht="15" hidden="false" customHeight="false" outlineLevel="0" collapsed="false">
      <c r="A8" s="56" t="s">
        <v>102</v>
      </c>
      <c r="B8" s="57" t="s">
        <v>103</v>
      </c>
      <c r="C8" s="58" t="n">
        <v>0</v>
      </c>
      <c r="D8" s="59" t="n">
        <f aca="false">D6/220*2</f>
        <v>26.0302727272727</v>
      </c>
      <c r="E8" s="59" t="n">
        <f aca="false">C8*D8</f>
        <v>0</v>
      </c>
      <c r="F8" s="47"/>
    </row>
    <row r="9" customFormat="false" ht="15" hidden="false" customHeight="false" outlineLevel="0" collapsed="false">
      <c r="A9" s="56" t="s">
        <v>104</v>
      </c>
      <c r="B9" s="57" t="s">
        <v>103</v>
      </c>
      <c r="C9" s="58" t="n">
        <v>0</v>
      </c>
      <c r="D9" s="59" t="n">
        <f aca="false">D6/220*1.5</f>
        <v>19.5227045454545</v>
      </c>
      <c r="E9" s="59" t="n">
        <f aca="false">C9*D9</f>
        <v>0</v>
      </c>
      <c r="F9" s="47"/>
    </row>
    <row r="10" customFormat="false" ht="15" hidden="false" customHeight="false" outlineLevel="0" collapsed="false">
      <c r="A10" s="56" t="s">
        <v>105</v>
      </c>
      <c r="B10" s="57" t="s">
        <v>106</v>
      </c>
      <c r="C10" s="46"/>
      <c r="D10" s="59" t="n">
        <f aca="false">63/302*(SUM(E8:E9))</f>
        <v>0</v>
      </c>
      <c r="E10" s="59" t="n">
        <f aca="false">D10</f>
        <v>0</v>
      </c>
      <c r="F10" s="47"/>
    </row>
    <row r="11" customFormat="false" ht="15" hidden="false" customHeight="false" outlineLevel="0" collapsed="false">
      <c r="A11" s="56" t="s">
        <v>107</v>
      </c>
      <c r="B11" s="57"/>
      <c r="C11" s="60" t="n">
        <v>0</v>
      </c>
      <c r="D11" s="59"/>
      <c r="E11" s="59"/>
      <c r="F11" s="47"/>
    </row>
    <row r="12" customFormat="false" ht="15" hidden="false" customHeight="false" outlineLevel="0" collapsed="false">
      <c r="A12" s="56" t="s">
        <v>108</v>
      </c>
      <c r="B12" s="57" t="s">
        <v>109</v>
      </c>
      <c r="C12" s="61" t="n">
        <v>0</v>
      </c>
      <c r="D12" s="59" t="n">
        <f aca="false">IF(C11=2,SUM(E6:E10),IF(C11=1,(SUM(E6:E10))*D7/D6,0))</f>
        <v>0</v>
      </c>
      <c r="E12" s="59" t="n">
        <f aca="false">C12*D12/100</f>
        <v>0</v>
      </c>
      <c r="F12" s="47"/>
    </row>
    <row r="13" customFormat="false" ht="15" hidden="false" customHeight="false" outlineLevel="0" collapsed="false">
      <c r="A13" s="62" t="s">
        <v>110</v>
      </c>
      <c r="B13" s="63"/>
      <c r="C13" s="63"/>
      <c r="D13" s="64"/>
      <c r="E13" s="65" t="n">
        <f aca="false">SUM(E6:E12)</f>
        <v>2863.33</v>
      </c>
      <c r="F13" s="66"/>
    </row>
    <row r="14" customFormat="false" ht="15" hidden="false" customHeight="false" outlineLevel="0" collapsed="false">
      <c r="A14" s="56" t="s">
        <v>111</v>
      </c>
      <c r="B14" s="57" t="s">
        <v>109</v>
      </c>
      <c r="C14" s="67" t="n">
        <f aca="false">Encargos!$C$31*100</f>
        <v>361.134062</v>
      </c>
      <c r="D14" s="59" t="n">
        <f aca="false">E13</f>
        <v>2863.33</v>
      </c>
      <c r="E14" s="59" t="n">
        <f aca="false">D14*C14/100</f>
        <v>10340.4599374646</v>
      </c>
      <c r="F14" s="47"/>
    </row>
    <row r="15" customFormat="false" ht="15" hidden="false" customHeight="false" outlineLevel="0" collapsed="false">
      <c r="A15" s="62" t="s">
        <v>112</v>
      </c>
      <c r="B15" s="68"/>
      <c r="C15" s="68"/>
      <c r="D15" s="69"/>
      <c r="E15" s="65" t="n">
        <f aca="false">E13+E14</f>
        <v>13203.7899374646</v>
      </c>
      <c r="F15" s="66"/>
    </row>
    <row r="16" customFormat="false" ht="15.75" hidden="false" customHeight="false" outlineLevel="0" collapsed="false">
      <c r="A16" s="56" t="s">
        <v>113</v>
      </c>
      <c r="B16" s="57" t="s">
        <v>114</v>
      </c>
      <c r="C16" s="61" t="n">
        <v>1</v>
      </c>
      <c r="D16" s="59" t="n">
        <f aca="false">E15</f>
        <v>13203.7899374646</v>
      </c>
      <c r="E16" s="59" t="n">
        <f aca="false">C16*D16</f>
        <v>13203.7899374646</v>
      </c>
      <c r="F16" s="47"/>
    </row>
    <row r="17" customFormat="false" ht="15.75" hidden="false" customHeight="false" outlineLevel="0" collapsed="false">
      <c r="A17" s="46"/>
      <c r="B17" s="46"/>
      <c r="C17" s="46"/>
      <c r="D17" s="70" t="s">
        <v>115</v>
      </c>
      <c r="E17" s="71" t="n">
        <f aca="false">$B$1</f>
        <v>0.68</v>
      </c>
      <c r="F17" s="72" t="n">
        <f aca="false">E16*E17</f>
        <v>8978.57715747593</v>
      </c>
    </row>
    <row r="18" customFormat="false" ht="15" hidden="false" customHeight="false" outlineLevel="0" collapsed="false">
      <c r="A18" s="46"/>
      <c r="B18" s="46"/>
      <c r="C18" s="46"/>
      <c r="D18" s="47"/>
      <c r="E18" s="47"/>
      <c r="F18" s="47"/>
    </row>
    <row r="19" customFormat="false" ht="15.75" hidden="false" customHeight="false" outlineLevel="0" collapsed="false">
      <c r="A19" s="46" t="s">
        <v>116</v>
      </c>
      <c r="B19" s="46"/>
      <c r="C19" s="46"/>
      <c r="D19" s="47"/>
      <c r="E19" s="47"/>
      <c r="F19" s="47"/>
    </row>
    <row r="20" customFormat="false" ht="15.75" hidden="false" customHeight="false" outlineLevel="0" collapsed="false">
      <c r="A20" s="48" t="s">
        <v>93</v>
      </c>
      <c r="B20" s="49" t="s">
        <v>94</v>
      </c>
      <c r="C20" s="49" t="s">
        <v>95</v>
      </c>
      <c r="D20" s="50" t="s">
        <v>96</v>
      </c>
      <c r="E20" s="50" t="s">
        <v>97</v>
      </c>
      <c r="F20" s="51" t="s">
        <v>98</v>
      </c>
    </row>
    <row r="21" customFormat="false" ht="15" hidden="false" customHeight="false" outlineLevel="0" collapsed="false">
      <c r="A21" s="52" t="s">
        <v>99</v>
      </c>
      <c r="B21" s="53" t="s">
        <v>100</v>
      </c>
      <c r="C21" s="53" t="n">
        <v>1</v>
      </c>
      <c r="D21" s="55" t="n">
        <f aca="false">D6</f>
        <v>2863.33</v>
      </c>
      <c r="E21" s="55" t="n">
        <f aca="false">C21*D21</f>
        <v>2863.33</v>
      </c>
      <c r="F21" s="47"/>
    </row>
    <row r="22" customFormat="false" ht="15" hidden="false" customHeight="false" outlineLevel="0" collapsed="false">
      <c r="A22" s="52" t="s">
        <v>101</v>
      </c>
      <c r="B22" s="53" t="s">
        <v>100</v>
      </c>
      <c r="C22" s="53" t="n">
        <v>1</v>
      </c>
      <c r="D22" s="59" t="n">
        <f aca="false">D7</f>
        <v>1320</v>
      </c>
      <c r="E22" s="59"/>
      <c r="F22" s="47"/>
    </row>
    <row r="23" customFormat="false" ht="15" hidden="false" customHeight="false" outlineLevel="0" collapsed="false">
      <c r="A23" s="56" t="s">
        <v>117</v>
      </c>
      <c r="B23" s="57" t="s">
        <v>118</v>
      </c>
      <c r="C23" s="58" t="n">
        <v>0</v>
      </c>
      <c r="D23" s="56"/>
      <c r="E23" s="56"/>
      <c r="F23" s="47"/>
    </row>
    <row r="24" customFormat="false" ht="15" hidden="false" customHeight="false" outlineLevel="0" collapsed="false">
      <c r="A24" s="56"/>
      <c r="B24" s="57" t="s">
        <v>119</v>
      </c>
      <c r="C24" s="59" t="n">
        <f aca="false">C23*8/7</f>
        <v>0</v>
      </c>
      <c r="D24" s="59" t="n">
        <f aca="false">D21/220*0.2</f>
        <v>2.60302727272727</v>
      </c>
      <c r="E24" s="59" t="n">
        <f aca="false">C23*D24</f>
        <v>0</v>
      </c>
      <c r="F24" s="47"/>
    </row>
    <row r="25" customFormat="false" ht="15" hidden="false" customHeight="false" outlineLevel="0" collapsed="false">
      <c r="A25" s="56" t="s">
        <v>102</v>
      </c>
      <c r="B25" s="57" t="s">
        <v>103</v>
      </c>
      <c r="C25" s="58" t="n">
        <v>0</v>
      </c>
      <c r="D25" s="59" t="n">
        <f aca="false">D21/220*2</f>
        <v>26.0302727272727</v>
      </c>
      <c r="E25" s="59" t="n">
        <f aca="false">C25*D25</f>
        <v>0</v>
      </c>
      <c r="F25" s="47"/>
    </row>
    <row r="26" customFormat="false" ht="15" hidden="false" customHeight="false" outlineLevel="0" collapsed="false">
      <c r="A26" s="56" t="s">
        <v>120</v>
      </c>
      <c r="B26" s="57" t="s">
        <v>118</v>
      </c>
      <c r="C26" s="58" t="n">
        <v>0</v>
      </c>
      <c r="D26" s="59"/>
      <c r="E26" s="59"/>
      <c r="F26" s="47"/>
    </row>
    <row r="27" customFormat="false" ht="15" hidden="false" customHeight="false" outlineLevel="0" collapsed="false">
      <c r="A27" s="56"/>
      <c r="B27" s="57" t="s">
        <v>119</v>
      </c>
      <c r="C27" s="59" t="n">
        <f aca="false">C26*8/7</f>
        <v>0</v>
      </c>
      <c r="D27" s="59" t="n">
        <f aca="false">D21/220*2*1.2</f>
        <v>31.2363272727273</v>
      </c>
      <c r="E27" s="59" t="n">
        <f aca="false">C27*D27</f>
        <v>0</v>
      </c>
      <c r="F27" s="47"/>
    </row>
    <row r="28" customFormat="false" ht="15" hidden="false" customHeight="false" outlineLevel="0" collapsed="false">
      <c r="A28" s="56" t="s">
        <v>104</v>
      </c>
      <c r="B28" s="57" t="s">
        <v>103</v>
      </c>
      <c r="C28" s="58" t="n">
        <v>0</v>
      </c>
      <c r="D28" s="59" t="n">
        <f aca="false">D21/220*1.5</f>
        <v>19.5227045454545</v>
      </c>
      <c r="E28" s="59" t="n">
        <f aca="false">C28*D28</f>
        <v>0</v>
      </c>
      <c r="F28" s="47"/>
    </row>
    <row r="29" customFormat="false" ht="15" hidden="false" customHeight="false" outlineLevel="0" collapsed="false">
      <c r="A29" s="56" t="s">
        <v>121</v>
      </c>
      <c r="B29" s="57" t="s">
        <v>118</v>
      </c>
      <c r="C29" s="58" t="n">
        <v>0</v>
      </c>
      <c r="D29" s="59"/>
      <c r="E29" s="59"/>
      <c r="F29" s="47"/>
    </row>
    <row r="30" customFormat="false" ht="15" hidden="false" customHeight="false" outlineLevel="0" collapsed="false">
      <c r="A30" s="56"/>
      <c r="B30" s="57" t="s">
        <v>119</v>
      </c>
      <c r="C30" s="59" t="n">
        <f aca="false">C29*8/7</f>
        <v>0</v>
      </c>
      <c r="D30" s="59" t="n">
        <f aca="false">D21/220*1.5*1.2</f>
        <v>23.4272454545455</v>
      </c>
      <c r="E30" s="59" t="n">
        <f aca="false">C30*D30</f>
        <v>0</v>
      </c>
      <c r="F30" s="47"/>
    </row>
    <row r="31" customFormat="false" ht="15" hidden="false" customHeight="false" outlineLevel="0" collapsed="false">
      <c r="A31" s="56" t="s">
        <v>105</v>
      </c>
      <c r="B31" s="57" t="s">
        <v>106</v>
      </c>
      <c r="C31" s="46"/>
      <c r="D31" s="59" t="n">
        <f aca="false">63/302*(SUM(E25:E30))</f>
        <v>0</v>
      </c>
      <c r="E31" s="59" t="n">
        <f aca="false">D31</f>
        <v>0</v>
      </c>
      <c r="F31" s="47"/>
    </row>
    <row r="32" customFormat="false" ht="15" hidden="false" customHeight="false" outlineLevel="0" collapsed="false">
      <c r="A32" s="56" t="s">
        <v>107</v>
      </c>
      <c r="B32" s="57"/>
      <c r="C32" s="60" t="n">
        <v>0</v>
      </c>
      <c r="D32" s="59"/>
      <c r="E32" s="59"/>
      <c r="F32" s="47"/>
    </row>
    <row r="33" customFormat="false" ht="15" hidden="false" customHeight="false" outlineLevel="0" collapsed="false">
      <c r="A33" s="56" t="s">
        <v>108</v>
      </c>
      <c r="B33" s="57" t="s">
        <v>109</v>
      </c>
      <c r="C33" s="59" t="n">
        <f aca="false">+C12</f>
        <v>0</v>
      </c>
      <c r="D33" s="59" t="n">
        <f aca="false">IF(C32=2,SUM(E21:E31),IF(C32=1,SUM(E21:E31)*D22/D21,0))</f>
        <v>0</v>
      </c>
      <c r="E33" s="59" t="n">
        <f aca="false">C33*D33/100</f>
        <v>0</v>
      </c>
      <c r="F33" s="47"/>
    </row>
    <row r="34" customFormat="false" ht="15" hidden="false" customHeight="false" outlineLevel="0" collapsed="false">
      <c r="A34" s="73" t="s">
        <v>110</v>
      </c>
      <c r="B34" s="63"/>
      <c r="C34" s="63"/>
      <c r="D34" s="64"/>
      <c r="E34" s="74" t="n">
        <f aca="false">SUM(E21:E33)</f>
        <v>2863.33</v>
      </c>
      <c r="F34" s="66"/>
    </row>
    <row r="35" customFormat="false" ht="15" hidden="false" customHeight="false" outlineLevel="0" collapsed="false">
      <c r="A35" s="56" t="s">
        <v>111</v>
      </c>
      <c r="B35" s="57" t="s">
        <v>109</v>
      </c>
      <c r="C35" s="67" t="n">
        <f aca="false">Encargos!$C$31*100</f>
        <v>361.134062</v>
      </c>
      <c r="D35" s="59" t="n">
        <f aca="false">E34</f>
        <v>2863.33</v>
      </c>
      <c r="E35" s="59" t="n">
        <f aca="false">D35*C35/100</f>
        <v>10340.4599374646</v>
      </c>
      <c r="F35" s="47"/>
    </row>
    <row r="36" customFormat="false" ht="15" hidden="false" customHeight="false" outlineLevel="0" collapsed="false">
      <c r="A36" s="73" t="s">
        <v>112</v>
      </c>
      <c r="B36" s="63"/>
      <c r="C36" s="63"/>
      <c r="D36" s="64"/>
      <c r="E36" s="74" t="n">
        <f aca="false">E34+E35</f>
        <v>13203.7899374646</v>
      </c>
      <c r="F36" s="66"/>
    </row>
    <row r="37" customFormat="false" ht="15.75" hidden="false" customHeight="false" outlineLevel="0" collapsed="false">
      <c r="A37" s="56" t="s">
        <v>113</v>
      </c>
      <c r="B37" s="57" t="s">
        <v>114</v>
      </c>
      <c r="C37" s="61" t="n">
        <v>0</v>
      </c>
      <c r="D37" s="59" t="n">
        <f aca="false">E36</f>
        <v>13203.7899374646</v>
      </c>
      <c r="E37" s="59" t="n">
        <f aca="false">C37*D37</f>
        <v>0</v>
      </c>
      <c r="F37" s="47"/>
    </row>
    <row r="38" customFormat="false" ht="15.75" hidden="false" customHeight="false" outlineLevel="0" collapsed="false">
      <c r="A38" s="46"/>
      <c r="B38" s="46"/>
      <c r="C38" s="46"/>
      <c r="D38" s="70" t="s">
        <v>115</v>
      </c>
      <c r="E38" s="71" t="n">
        <f aca="false">$B$1</f>
        <v>0.68</v>
      </c>
      <c r="F38" s="72" t="n">
        <f aca="false">E37*E38</f>
        <v>0</v>
      </c>
    </row>
    <row r="41" customFormat="false" ht="15.75" hidden="false" customHeight="false" outlineLevel="0" collapsed="false">
      <c r="A41" s="46" t="s">
        <v>122</v>
      </c>
      <c r="B41" s="75"/>
      <c r="C41" s="46"/>
      <c r="D41" s="46"/>
      <c r="E41" s="46"/>
      <c r="F41" s="47"/>
    </row>
    <row r="42" customFormat="false" ht="15.75" hidden="false" customHeight="false" outlineLevel="0" collapsed="false">
      <c r="A42" s="48" t="s">
        <v>93</v>
      </c>
      <c r="B42" s="49" t="s">
        <v>94</v>
      </c>
      <c r="C42" s="49" t="s">
        <v>95</v>
      </c>
      <c r="D42" s="50" t="s">
        <v>96</v>
      </c>
      <c r="E42" s="50" t="s">
        <v>97</v>
      </c>
      <c r="F42" s="51" t="s">
        <v>98</v>
      </c>
    </row>
    <row r="43" customFormat="false" ht="15" hidden="false" customHeight="false" outlineLevel="0" collapsed="false">
      <c r="A43" s="56" t="s">
        <v>123</v>
      </c>
      <c r="B43" s="57" t="s">
        <v>106</v>
      </c>
      <c r="C43" s="76" t="n">
        <v>1</v>
      </c>
      <c r="D43" s="77" t="n">
        <v>0</v>
      </c>
      <c r="E43" s="59"/>
      <c r="F43" s="47"/>
    </row>
    <row r="44" customFormat="false" ht="15" hidden="false" customHeight="false" outlineLevel="0" collapsed="false">
      <c r="A44" s="56" t="s">
        <v>124</v>
      </c>
      <c r="B44" s="57" t="s">
        <v>125</v>
      </c>
      <c r="C44" s="78" t="n">
        <v>0</v>
      </c>
      <c r="D44" s="59"/>
      <c r="E44" s="59"/>
      <c r="F44" s="47"/>
    </row>
    <row r="45" customFormat="false" ht="15.75" hidden="false" customHeight="false" outlineLevel="0" collapsed="false">
      <c r="A45" s="52" t="s">
        <v>126</v>
      </c>
      <c r="B45" s="53" t="s">
        <v>127</v>
      </c>
      <c r="C45" s="79" t="n">
        <f aca="false">$C44*2*(C37+C16)</f>
        <v>0</v>
      </c>
      <c r="D45" s="55" t="str">
        <f aca="false">IFERROR((($C$44*2*$D$43)-(E6*0.06*C44/26))/($C$44*2),"-")</f>
        <v>-</v>
      </c>
      <c r="E45" s="55" t="str">
        <f aca="false">IFERROR(C45*D45,"-")</f>
        <v>-</v>
      </c>
      <c r="F45" s="47"/>
    </row>
    <row r="46" customFormat="false" ht="15.75" hidden="false" customHeight="false" outlineLevel="0" collapsed="false">
      <c r="A46" s="46"/>
      <c r="B46" s="46"/>
      <c r="C46" s="46"/>
      <c r="D46" s="47"/>
      <c r="E46" s="47"/>
      <c r="F46" s="80" t="n">
        <f aca="false">SUM(E45:E45)</f>
        <v>0</v>
      </c>
    </row>
    <row r="47" customFormat="false" ht="15" hidden="false" customHeight="false" outlineLevel="0" collapsed="false">
      <c r="A47" s="46"/>
      <c r="B47" s="46"/>
      <c r="C47" s="46"/>
      <c r="D47" s="47"/>
      <c r="E47" s="47"/>
      <c r="F47" s="47"/>
    </row>
    <row r="48" customFormat="false" ht="15.75" hidden="false" customHeight="false" outlineLevel="0" collapsed="false">
      <c r="A48" s="46" t="s">
        <v>128</v>
      </c>
      <c r="B48" s="46"/>
      <c r="C48" s="46"/>
      <c r="D48" s="47"/>
      <c r="E48" s="47"/>
      <c r="F48" s="66"/>
    </row>
    <row r="49" customFormat="false" ht="15.75" hidden="false" customHeight="false" outlineLevel="0" collapsed="false">
      <c r="A49" s="48" t="s">
        <v>93</v>
      </c>
      <c r="B49" s="49" t="s">
        <v>94</v>
      </c>
      <c r="C49" s="49" t="s">
        <v>95</v>
      </c>
      <c r="D49" s="50" t="s">
        <v>96</v>
      </c>
      <c r="E49" s="50" t="s">
        <v>97</v>
      </c>
      <c r="F49" s="51" t="s">
        <v>98</v>
      </c>
    </row>
    <row r="50" customFormat="false" ht="15.75" hidden="false" customHeight="false" outlineLevel="0" collapsed="false">
      <c r="A50" s="56" t="str">
        <f aca="false">+A45</f>
        <v>Motorista</v>
      </c>
      <c r="B50" s="57" t="s">
        <v>129</v>
      </c>
      <c r="C50" s="79" t="n">
        <f aca="false">C44*(C37+C16)</f>
        <v>0</v>
      </c>
      <c r="D50" s="81" t="n">
        <v>0</v>
      </c>
      <c r="E50" s="71" t="n">
        <f aca="false">C50*D50</f>
        <v>0</v>
      </c>
      <c r="F50" s="66"/>
    </row>
    <row r="51" customFormat="false" ht="15.75" hidden="false" customHeight="false" outlineLevel="0" collapsed="false">
      <c r="A51" s="46"/>
      <c r="B51" s="46"/>
      <c r="C51" s="46"/>
      <c r="D51" s="47"/>
      <c r="E51" s="47"/>
      <c r="F51" s="80" t="n">
        <f aca="false">SUM(E50:E50)</f>
        <v>0</v>
      </c>
    </row>
    <row r="52" customFormat="false" ht="15" hidden="false" customHeight="false" outlineLevel="0" collapsed="false">
      <c r="A52" s="46"/>
      <c r="B52" s="46"/>
      <c r="C52" s="46"/>
      <c r="D52" s="47"/>
      <c r="E52" s="47"/>
      <c r="F52" s="47"/>
    </row>
    <row r="53" customFormat="false" ht="15.75" hidden="false" customHeight="false" outlineLevel="0" collapsed="false">
      <c r="A53" s="46" t="s">
        <v>130</v>
      </c>
      <c r="B53" s="46"/>
      <c r="C53" s="46"/>
      <c r="D53" s="47"/>
      <c r="E53" s="47"/>
      <c r="F53" s="66"/>
    </row>
    <row r="54" customFormat="false" ht="15.75" hidden="false" customHeight="false" outlineLevel="0" collapsed="false">
      <c r="A54" s="48" t="s">
        <v>93</v>
      </c>
      <c r="B54" s="49" t="s">
        <v>94</v>
      </c>
      <c r="C54" s="49" t="s">
        <v>95</v>
      </c>
      <c r="D54" s="50" t="s">
        <v>96</v>
      </c>
      <c r="E54" s="50" t="s">
        <v>97</v>
      </c>
      <c r="F54" s="51" t="s">
        <v>98</v>
      </c>
    </row>
    <row r="55" customFormat="false" ht="15.75" hidden="false" customHeight="false" outlineLevel="0" collapsed="false">
      <c r="A55" s="56" t="str">
        <f aca="false">+A50</f>
        <v>Motorista</v>
      </c>
      <c r="B55" s="57" t="s">
        <v>129</v>
      </c>
      <c r="C55" s="79" t="n">
        <f aca="false">C16+C37</f>
        <v>1</v>
      </c>
      <c r="D55" s="81"/>
      <c r="E55" s="71" t="n">
        <f aca="false">C55*D55</f>
        <v>0</v>
      </c>
      <c r="F55" s="66"/>
    </row>
    <row r="56" customFormat="false" ht="15.75" hidden="false" customHeight="false" outlineLevel="0" collapsed="false">
      <c r="A56" s="46"/>
      <c r="B56" s="46"/>
      <c r="C56" s="46"/>
      <c r="D56" s="70" t="s">
        <v>115</v>
      </c>
      <c r="E56" s="71" t="n">
        <f aca="false">$B$1</f>
        <v>0.68</v>
      </c>
      <c r="F56" s="80" t="n">
        <f aca="false">SUM(E55:E55)*E56</f>
        <v>0</v>
      </c>
    </row>
    <row r="58" customFormat="false" ht="15.75" hidden="false" customHeight="false" outlineLevel="0" collapsed="false"/>
    <row r="59" customFormat="false" ht="15.75" hidden="false" customHeight="false" outlineLevel="0" collapsed="false">
      <c r="A59" s="82" t="s">
        <v>131</v>
      </c>
      <c r="B59" s="82" t="s">
        <v>132</v>
      </c>
      <c r="C59" s="83"/>
      <c r="D59" s="83"/>
      <c r="E59" s="83"/>
      <c r="F59" s="84" t="n">
        <f aca="false">F56+F51+F46+F38+F17</f>
        <v>8978.57715747593</v>
      </c>
    </row>
  </sheetData>
  <mergeCells count="1">
    <mergeCell ref="A3:F3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59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J48" activeCellId="0" sqref="J48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44.85"/>
    <col collapsed="false" customWidth="true" hidden="false" outlineLevel="0" max="2" min="2" style="0" width="16.14"/>
    <col collapsed="false" customWidth="true" hidden="false" outlineLevel="0" max="3" min="3" style="0" width="10.29"/>
    <col collapsed="false" customWidth="true" hidden="false" outlineLevel="0" max="4" min="4" style="0" width="17.71"/>
    <col collapsed="false" customWidth="true" hidden="false" outlineLevel="0" max="5" min="5" style="0" width="10.6"/>
    <col collapsed="false" customWidth="true" hidden="false" outlineLevel="0" max="6" min="6" style="0" width="11.3"/>
  </cols>
  <sheetData>
    <row r="1" customFormat="false" ht="13.8" hidden="false" customHeight="false" outlineLevel="0" collapsed="false">
      <c r="A1" s="43" t="s">
        <v>87</v>
      </c>
      <c r="B1" s="44" t="n">
        <v>0.68</v>
      </c>
      <c r="D1" s="0" t="s">
        <v>133</v>
      </c>
      <c r="E1" s="0" t="s">
        <v>88</v>
      </c>
      <c r="G1" s="0" t="s">
        <v>89</v>
      </c>
    </row>
    <row r="2" customFormat="false" ht="13.8" hidden="false" customHeight="false" outlineLevel="0" collapsed="false">
      <c r="D2" s="0" t="s">
        <v>90</v>
      </c>
    </row>
    <row r="3" customFormat="false" ht="18.75" hidden="false" customHeight="false" outlineLevel="0" collapsed="false">
      <c r="A3" s="45" t="s">
        <v>91</v>
      </c>
      <c r="B3" s="45"/>
      <c r="C3" s="45"/>
      <c r="D3" s="45"/>
      <c r="E3" s="45"/>
      <c r="F3" s="45"/>
    </row>
    <row r="4" customFormat="false" ht="15.75" hidden="false" customHeight="false" outlineLevel="0" collapsed="false">
      <c r="A4" s="46" t="s">
        <v>134</v>
      </c>
      <c r="B4" s="46"/>
      <c r="C4" s="46"/>
      <c r="D4" s="47"/>
      <c r="E4" s="47"/>
      <c r="F4" s="47"/>
    </row>
    <row r="5" customFormat="false" ht="15.75" hidden="false" customHeight="false" outlineLevel="0" collapsed="false">
      <c r="A5" s="48" t="s">
        <v>93</v>
      </c>
      <c r="B5" s="49" t="s">
        <v>94</v>
      </c>
      <c r="C5" s="49" t="s">
        <v>95</v>
      </c>
      <c r="D5" s="50" t="s">
        <v>96</v>
      </c>
      <c r="E5" s="50" t="s">
        <v>97</v>
      </c>
      <c r="F5" s="51" t="s">
        <v>98</v>
      </c>
    </row>
    <row r="6" customFormat="false" ht="15" hidden="false" customHeight="false" outlineLevel="0" collapsed="false">
      <c r="A6" s="52" t="s">
        <v>99</v>
      </c>
      <c r="B6" s="53" t="s">
        <v>100</v>
      </c>
      <c r="C6" s="53" t="n">
        <v>1</v>
      </c>
      <c r="D6" s="54" t="n">
        <v>1872</v>
      </c>
      <c r="E6" s="55" t="n">
        <f aca="false">C6*D6</f>
        <v>1872</v>
      </c>
      <c r="F6" s="47"/>
    </row>
    <row r="7" customFormat="false" ht="13.8" hidden="false" customHeight="false" outlineLevel="0" collapsed="false">
      <c r="A7" s="52" t="s">
        <v>101</v>
      </c>
      <c r="B7" s="53" t="s">
        <v>100</v>
      </c>
      <c r="C7" s="53" t="n">
        <v>1</v>
      </c>
      <c r="D7" s="54" t="n">
        <v>1320</v>
      </c>
      <c r="E7" s="55"/>
      <c r="F7" s="47"/>
    </row>
    <row r="8" customFormat="false" ht="15" hidden="false" customHeight="false" outlineLevel="0" collapsed="false">
      <c r="A8" s="56" t="s">
        <v>102</v>
      </c>
      <c r="B8" s="57" t="s">
        <v>103</v>
      </c>
      <c r="C8" s="58" t="n">
        <v>0</v>
      </c>
      <c r="D8" s="59" t="n">
        <f aca="false">D6/220*2</f>
        <v>17.0181818181818</v>
      </c>
      <c r="E8" s="59" t="n">
        <f aca="false">C8*D8</f>
        <v>0</v>
      </c>
      <c r="F8" s="47"/>
    </row>
    <row r="9" customFormat="false" ht="15" hidden="false" customHeight="false" outlineLevel="0" collapsed="false">
      <c r="A9" s="56" t="s">
        <v>104</v>
      </c>
      <c r="B9" s="57" t="s">
        <v>103</v>
      </c>
      <c r="C9" s="58" t="n">
        <v>0</v>
      </c>
      <c r="D9" s="59" t="n">
        <f aca="false">D6/220*1.5</f>
        <v>12.7636363636364</v>
      </c>
      <c r="E9" s="59" t="n">
        <f aca="false">C9*D9</f>
        <v>0</v>
      </c>
      <c r="F9" s="47"/>
    </row>
    <row r="10" customFormat="false" ht="15" hidden="false" customHeight="false" outlineLevel="0" collapsed="false">
      <c r="A10" s="56" t="s">
        <v>105</v>
      </c>
      <c r="B10" s="57" t="s">
        <v>106</v>
      </c>
      <c r="C10" s="46"/>
      <c r="D10" s="59" t="n">
        <f aca="false">63/302*(SUM(E8:E9))</f>
        <v>0</v>
      </c>
      <c r="E10" s="59" t="n">
        <f aca="false">D10</f>
        <v>0</v>
      </c>
      <c r="F10" s="47"/>
    </row>
    <row r="11" customFormat="false" ht="15" hidden="false" customHeight="false" outlineLevel="0" collapsed="false">
      <c r="A11" s="56" t="s">
        <v>107</v>
      </c>
      <c r="B11" s="57"/>
      <c r="C11" s="60" t="n">
        <v>0</v>
      </c>
      <c r="D11" s="59"/>
      <c r="E11" s="59"/>
      <c r="F11" s="47"/>
    </row>
    <row r="12" customFormat="false" ht="15" hidden="false" customHeight="false" outlineLevel="0" collapsed="false">
      <c r="A12" s="56" t="s">
        <v>108</v>
      </c>
      <c r="B12" s="57" t="s">
        <v>109</v>
      </c>
      <c r="C12" s="61" t="n">
        <v>0</v>
      </c>
      <c r="D12" s="59" t="n">
        <f aca="false">IF(C11=2,SUM(E6:E10),IF(C11=1,(SUM(E6:E10))*D7/D6,0))</f>
        <v>0</v>
      </c>
      <c r="E12" s="59" t="n">
        <f aca="false">C12*D12/100</f>
        <v>0</v>
      </c>
      <c r="F12" s="47"/>
    </row>
    <row r="13" customFormat="false" ht="15" hidden="false" customHeight="false" outlineLevel="0" collapsed="false">
      <c r="A13" s="62" t="s">
        <v>110</v>
      </c>
      <c r="B13" s="63"/>
      <c r="C13" s="63"/>
      <c r="D13" s="64"/>
      <c r="E13" s="65" t="n">
        <f aca="false">SUM(E6:E12)</f>
        <v>1872</v>
      </c>
      <c r="F13" s="66"/>
    </row>
    <row r="14" customFormat="false" ht="15" hidden="false" customHeight="false" outlineLevel="0" collapsed="false">
      <c r="A14" s="56" t="s">
        <v>111</v>
      </c>
      <c r="B14" s="57" t="s">
        <v>109</v>
      </c>
      <c r="C14" s="67" t="n">
        <f aca="false">Encargos_2!$C$31*100</f>
        <v>87.842014</v>
      </c>
      <c r="D14" s="59" t="n">
        <f aca="false">E13</f>
        <v>1872</v>
      </c>
      <c r="E14" s="59" t="n">
        <f aca="false">D14*C14/100</f>
        <v>1644.40250208</v>
      </c>
      <c r="F14" s="47"/>
    </row>
    <row r="15" customFormat="false" ht="15" hidden="false" customHeight="false" outlineLevel="0" collapsed="false">
      <c r="A15" s="62" t="s">
        <v>135</v>
      </c>
      <c r="B15" s="68"/>
      <c r="C15" s="68"/>
      <c r="D15" s="69"/>
      <c r="E15" s="65" t="n">
        <f aca="false">E13+E14</f>
        <v>3516.40250208</v>
      </c>
      <c r="F15" s="66"/>
    </row>
    <row r="16" customFormat="false" ht="15.75" hidden="false" customHeight="false" outlineLevel="0" collapsed="false">
      <c r="A16" s="56" t="s">
        <v>113</v>
      </c>
      <c r="B16" s="57" t="s">
        <v>114</v>
      </c>
      <c r="C16" s="61" t="n">
        <v>1</v>
      </c>
      <c r="D16" s="59" t="n">
        <f aca="false">E15</f>
        <v>3516.40250208</v>
      </c>
      <c r="E16" s="59" t="n">
        <f aca="false">C16*D16</f>
        <v>3516.40250208</v>
      </c>
      <c r="F16" s="47"/>
    </row>
    <row r="17" customFormat="false" ht="15.75" hidden="false" customHeight="false" outlineLevel="0" collapsed="false">
      <c r="A17" s="46"/>
      <c r="B17" s="46"/>
      <c r="C17" s="46"/>
      <c r="D17" s="70" t="s">
        <v>115</v>
      </c>
      <c r="E17" s="71" t="n">
        <f aca="false">$B$1</f>
        <v>0.68</v>
      </c>
      <c r="F17" s="72" t="n">
        <f aca="false">E16*E17</f>
        <v>2391.1537014144</v>
      </c>
    </row>
    <row r="18" customFormat="false" ht="15" hidden="false" customHeight="false" outlineLevel="0" collapsed="false">
      <c r="A18" s="46"/>
      <c r="B18" s="46"/>
      <c r="C18" s="46"/>
      <c r="D18" s="47"/>
      <c r="E18" s="47"/>
      <c r="F18" s="47"/>
    </row>
    <row r="19" customFormat="false" ht="15.75" hidden="false" customHeight="false" outlineLevel="0" collapsed="false">
      <c r="A19" s="46" t="s">
        <v>136</v>
      </c>
      <c r="B19" s="46"/>
      <c r="C19" s="46"/>
      <c r="D19" s="47"/>
      <c r="E19" s="47"/>
      <c r="F19" s="47"/>
    </row>
    <row r="20" customFormat="false" ht="15.75" hidden="false" customHeight="false" outlineLevel="0" collapsed="false">
      <c r="A20" s="48" t="s">
        <v>93</v>
      </c>
      <c r="B20" s="49" t="s">
        <v>94</v>
      </c>
      <c r="C20" s="49" t="s">
        <v>95</v>
      </c>
      <c r="D20" s="50" t="s">
        <v>96</v>
      </c>
      <c r="E20" s="50" t="s">
        <v>97</v>
      </c>
      <c r="F20" s="51" t="s">
        <v>98</v>
      </c>
    </row>
    <row r="21" customFormat="false" ht="15" hidden="false" customHeight="false" outlineLevel="0" collapsed="false">
      <c r="A21" s="52" t="s">
        <v>99</v>
      </c>
      <c r="B21" s="53" t="s">
        <v>100</v>
      </c>
      <c r="C21" s="53" t="n">
        <v>1</v>
      </c>
      <c r="D21" s="55" t="n">
        <f aca="false">D6</f>
        <v>1872</v>
      </c>
      <c r="E21" s="55" t="n">
        <f aca="false">C21*D21</f>
        <v>1872</v>
      </c>
      <c r="F21" s="47"/>
    </row>
    <row r="22" customFormat="false" ht="15" hidden="false" customHeight="false" outlineLevel="0" collapsed="false">
      <c r="A22" s="52" t="s">
        <v>101</v>
      </c>
      <c r="B22" s="53" t="s">
        <v>100</v>
      </c>
      <c r="C22" s="53" t="n">
        <v>1</v>
      </c>
      <c r="D22" s="59" t="n">
        <f aca="false">D7</f>
        <v>1320</v>
      </c>
      <c r="E22" s="59"/>
      <c r="F22" s="47"/>
    </row>
    <row r="23" customFormat="false" ht="15" hidden="false" customHeight="false" outlineLevel="0" collapsed="false">
      <c r="A23" s="56" t="s">
        <v>117</v>
      </c>
      <c r="B23" s="57" t="s">
        <v>118</v>
      </c>
      <c r="C23" s="58" t="n">
        <v>0</v>
      </c>
      <c r="D23" s="56"/>
      <c r="E23" s="56"/>
      <c r="F23" s="47"/>
    </row>
    <row r="24" customFormat="false" ht="15" hidden="false" customHeight="false" outlineLevel="0" collapsed="false">
      <c r="A24" s="56"/>
      <c r="B24" s="57" t="s">
        <v>119</v>
      </c>
      <c r="C24" s="59" t="n">
        <f aca="false">C23*8/7</f>
        <v>0</v>
      </c>
      <c r="D24" s="59" t="n">
        <f aca="false">D21/220*0.2</f>
        <v>1.70181818181818</v>
      </c>
      <c r="E24" s="59" t="n">
        <f aca="false">C23*D24</f>
        <v>0</v>
      </c>
      <c r="F24" s="47"/>
    </row>
    <row r="25" customFormat="false" ht="15" hidden="false" customHeight="false" outlineLevel="0" collapsed="false">
      <c r="A25" s="56" t="s">
        <v>102</v>
      </c>
      <c r="B25" s="57" t="s">
        <v>103</v>
      </c>
      <c r="C25" s="58" t="n">
        <v>0</v>
      </c>
      <c r="D25" s="59" t="n">
        <f aca="false">D21/220*2</f>
        <v>17.0181818181818</v>
      </c>
      <c r="E25" s="59" t="n">
        <f aca="false">C25*D25</f>
        <v>0</v>
      </c>
      <c r="F25" s="47"/>
    </row>
    <row r="26" customFormat="false" ht="15" hidden="false" customHeight="false" outlineLevel="0" collapsed="false">
      <c r="A26" s="56" t="s">
        <v>120</v>
      </c>
      <c r="B26" s="57" t="s">
        <v>118</v>
      </c>
      <c r="C26" s="58" t="n">
        <v>0</v>
      </c>
      <c r="D26" s="59"/>
      <c r="E26" s="59"/>
      <c r="F26" s="47"/>
    </row>
    <row r="27" customFormat="false" ht="15" hidden="false" customHeight="false" outlineLevel="0" collapsed="false">
      <c r="A27" s="56"/>
      <c r="B27" s="57" t="s">
        <v>119</v>
      </c>
      <c r="C27" s="59" t="n">
        <f aca="false">C26*8/7</f>
        <v>0</v>
      </c>
      <c r="D27" s="59" t="n">
        <f aca="false">D21/220*2*1.2</f>
        <v>20.4218181818182</v>
      </c>
      <c r="E27" s="59" t="n">
        <f aca="false">C27*D27</f>
        <v>0</v>
      </c>
      <c r="F27" s="47"/>
    </row>
    <row r="28" customFormat="false" ht="15" hidden="false" customHeight="false" outlineLevel="0" collapsed="false">
      <c r="A28" s="56" t="s">
        <v>104</v>
      </c>
      <c r="B28" s="57" t="s">
        <v>103</v>
      </c>
      <c r="C28" s="58" t="n">
        <v>0</v>
      </c>
      <c r="D28" s="59" t="n">
        <f aca="false">D21/220*1.5</f>
        <v>12.7636363636364</v>
      </c>
      <c r="E28" s="59" t="n">
        <f aca="false">C28*D28</f>
        <v>0</v>
      </c>
      <c r="F28" s="47"/>
    </row>
    <row r="29" customFormat="false" ht="15" hidden="false" customHeight="false" outlineLevel="0" collapsed="false">
      <c r="A29" s="56" t="s">
        <v>121</v>
      </c>
      <c r="B29" s="57" t="s">
        <v>118</v>
      </c>
      <c r="C29" s="58" t="n">
        <v>0</v>
      </c>
      <c r="D29" s="59"/>
      <c r="E29" s="59"/>
      <c r="F29" s="47"/>
    </row>
    <row r="30" customFormat="false" ht="15" hidden="false" customHeight="false" outlineLevel="0" collapsed="false">
      <c r="A30" s="56"/>
      <c r="B30" s="57" t="s">
        <v>119</v>
      </c>
      <c r="C30" s="59" t="n">
        <f aca="false">C29*8/7</f>
        <v>0</v>
      </c>
      <c r="D30" s="59" t="n">
        <f aca="false">D21/220*1.5*1.2</f>
        <v>15.3163636363636</v>
      </c>
      <c r="E30" s="59" t="n">
        <f aca="false">C30*D30</f>
        <v>0</v>
      </c>
      <c r="F30" s="47"/>
    </row>
    <row r="31" customFormat="false" ht="15" hidden="false" customHeight="false" outlineLevel="0" collapsed="false">
      <c r="A31" s="56" t="s">
        <v>105</v>
      </c>
      <c r="B31" s="57" t="s">
        <v>106</v>
      </c>
      <c r="C31" s="46"/>
      <c r="D31" s="59" t="n">
        <f aca="false">63/302*(SUM(E25:E30))</f>
        <v>0</v>
      </c>
      <c r="E31" s="59" t="n">
        <f aca="false">D31</f>
        <v>0</v>
      </c>
      <c r="F31" s="47"/>
    </row>
    <row r="32" customFormat="false" ht="15" hidden="false" customHeight="false" outlineLevel="0" collapsed="false">
      <c r="A32" s="56" t="s">
        <v>107</v>
      </c>
      <c r="B32" s="57"/>
      <c r="C32" s="60" t="n">
        <v>0</v>
      </c>
      <c r="D32" s="59"/>
      <c r="E32" s="59"/>
      <c r="F32" s="47"/>
    </row>
    <row r="33" customFormat="false" ht="15" hidden="false" customHeight="false" outlineLevel="0" collapsed="false">
      <c r="A33" s="56" t="s">
        <v>108</v>
      </c>
      <c r="B33" s="57" t="s">
        <v>109</v>
      </c>
      <c r="C33" s="59" t="n">
        <f aca="false">+C12</f>
        <v>0</v>
      </c>
      <c r="D33" s="59" t="n">
        <f aca="false">IF(C32=2,SUM(E21:E31),IF(C32=1,SUM(E21:E31)*D22/D21,0))</f>
        <v>0</v>
      </c>
      <c r="E33" s="59" t="n">
        <f aca="false">C33*D33/100</f>
        <v>0</v>
      </c>
      <c r="F33" s="47"/>
    </row>
    <row r="34" customFormat="false" ht="15" hidden="false" customHeight="false" outlineLevel="0" collapsed="false">
      <c r="A34" s="73" t="s">
        <v>110</v>
      </c>
      <c r="B34" s="63"/>
      <c r="C34" s="63"/>
      <c r="D34" s="64"/>
      <c r="E34" s="74" t="n">
        <f aca="false">SUM(E21:E33)</f>
        <v>1872</v>
      </c>
      <c r="F34" s="66"/>
    </row>
    <row r="35" customFormat="false" ht="15" hidden="false" customHeight="false" outlineLevel="0" collapsed="false">
      <c r="A35" s="56" t="s">
        <v>111</v>
      </c>
      <c r="B35" s="57" t="s">
        <v>109</v>
      </c>
      <c r="C35" s="67" t="n">
        <f aca="false">Encargos_2!$C$31*100</f>
        <v>87.842014</v>
      </c>
      <c r="D35" s="59" t="n">
        <f aca="false">E34</f>
        <v>1872</v>
      </c>
      <c r="E35" s="59" t="n">
        <f aca="false">D35*C35/100</f>
        <v>1644.40250208</v>
      </c>
      <c r="F35" s="47"/>
    </row>
    <row r="36" customFormat="false" ht="15" hidden="false" customHeight="false" outlineLevel="0" collapsed="false">
      <c r="A36" s="73" t="s">
        <v>135</v>
      </c>
      <c r="B36" s="63"/>
      <c r="C36" s="63"/>
      <c r="D36" s="64"/>
      <c r="E36" s="74" t="n">
        <f aca="false">E34+E35</f>
        <v>3516.40250208</v>
      </c>
      <c r="F36" s="66"/>
    </row>
    <row r="37" customFormat="false" ht="15.75" hidden="false" customHeight="false" outlineLevel="0" collapsed="false">
      <c r="A37" s="56" t="s">
        <v>113</v>
      </c>
      <c r="B37" s="57" t="s">
        <v>114</v>
      </c>
      <c r="C37" s="61" t="n">
        <v>0</v>
      </c>
      <c r="D37" s="59" t="n">
        <f aca="false">E36</f>
        <v>3516.40250208</v>
      </c>
      <c r="E37" s="59" t="n">
        <f aca="false">C37*D37</f>
        <v>0</v>
      </c>
      <c r="F37" s="47"/>
    </row>
    <row r="38" customFormat="false" ht="15.75" hidden="false" customHeight="false" outlineLevel="0" collapsed="false">
      <c r="A38" s="46"/>
      <c r="B38" s="46"/>
      <c r="C38" s="46"/>
      <c r="D38" s="70" t="s">
        <v>115</v>
      </c>
      <c r="E38" s="71" t="n">
        <f aca="false">$B$1</f>
        <v>0.68</v>
      </c>
      <c r="F38" s="72" t="n">
        <f aca="false">E37*E38</f>
        <v>0</v>
      </c>
    </row>
    <row r="41" customFormat="false" ht="15.75" hidden="false" customHeight="false" outlineLevel="0" collapsed="false">
      <c r="A41" s="46" t="s">
        <v>122</v>
      </c>
      <c r="B41" s="75"/>
      <c r="C41" s="46"/>
      <c r="D41" s="46"/>
      <c r="E41" s="46"/>
      <c r="F41" s="47"/>
    </row>
    <row r="42" customFormat="false" ht="15.75" hidden="false" customHeight="false" outlineLevel="0" collapsed="false">
      <c r="A42" s="48" t="s">
        <v>93</v>
      </c>
      <c r="B42" s="49" t="s">
        <v>94</v>
      </c>
      <c r="C42" s="49" t="s">
        <v>95</v>
      </c>
      <c r="D42" s="50" t="s">
        <v>96</v>
      </c>
      <c r="E42" s="50" t="s">
        <v>97</v>
      </c>
      <c r="F42" s="51" t="s">
        <v>98</v>
      </c>
    </row>
    <row r="43" customFormat="false" ht="15" hidden="false" customHeight="false" outlineLevel="0" collapsed="false">
      <c r="A43" s="56" t="s">
        <v>123</v>
      </c>
      <c r="B43" s="57" t="s">
        <v>106</v>
      </c>
      <c r="C43" s="76" t="n">
        <v>1</v>
      </c>
      <c r="D43" s="77" t="n">
        <v>0</v>
      </c>
      <c r="E43" s="59"/>
      <c r="F43" s="47"/>
    </row>
    <row r="44" customFormat="false" ht="15" hidden="false" customHeight="false" outlineLevel="0" collapsed="false">
      <c r="A44" s="56" t="s">
        <v>124</v>
      </c>
      <c r="B44" s="57" t="s">
        <v>125</v>
      </c>
      <c r="C44" s="78" t="n">
        <v>0</v>
      </c>
      <c r="D44" s="59"/>
      <c r="E44" s="59"/>
      <c r="F44" s="47"/>
    </row>
    <row r="45" customFormat="false" ht="13.8" hidden="false" customHeight="false" outlineLevel="0" collapsed="false">
      <c r="A45" s="52" t="s">
        <v>137</v>
      </c>
      <c r="B45" s="53" t="s">
        <v>127</v>
      </c>
      <c r="C45" s="79" t="n">
        <f aca="false">$C44*2*(C37+C16)</f>
        <v>0</v>
      </c>
      <c r="D45" s="55" t="str">
        <f aca="false">IFERROR((($C$44*2*$D$43)-(E6*0.06*C44/26))/($C$44*2),"-")</f>
        <v>-</v>
      </c>
      <c r="E45" s="55" t="str">
        <f aca="false">IFERROR(C45*D45,"-")</f>
        <v>-</v>
      </c>
      <c r="F45" s="47"/>
    </row>
    <row r="46" customFormat="false" ht="15.75" hidden="false" customHeight="false" outlineLevel="0" collapsed="false">
      <c r="A46" s="46"/>
      <c r="B46" s="46"/>
      <c r="C46" s="46"/>
      <c r="D46" s="47"/>
      <c r="E46" s="47"/>
      <c r="F46" s="80" t="n">
        <f aca="false">SUM(E45:E45)</f>
        <v>0</v>
      </c>
    </row>
    <row r="47" customFormat="false" ht="15" hidden="false" customHeight="false" outlineLevel="0" collapsed="false">
      <c r="A47" s="46"/>
      <c r="B47" s="46"/>
      <c r="C47" s="46"/>
      <c r="D47" s="47"/>
      <c r="E47" s="47"/>
      <c r="F47" s="47"/>
    </row>
    <row r="48" customFormat="false" ht="13.8" hidden="false" customHeight="false" outlineLevel="0" collapsed="false">
      <c r="A48" s="46" t="s">
        <v>128</v>
      </c>
      <c r="B48" s="46"/>
      <c r="C48" s="46"/>
      <c r="D48" s="47"/>
      <c r="E48" s="47"/>
      <c r="F48" s="66"/>
      <c r="J48" s="67"/>
    </row>
    <row r="49" customFormat="false" ht="15.75" hidden="false" customHeight="false" outlineLevel="0" collapsed="false">
      <c r="A49" s="48" t="s">
        <v>93</v>
      </c>
      <c r="B49" s="49" t="s">
        <v>94</v>
      </c>
      <c r="C49" s="49" t="s">
        <v>95</v>
      </c>
      <c r="D49" s="50" t="s">
        <v>96</v>
      </c>
      <c r="E49" s="50" t="s">
        <v>97</v>
      </c>
      <c r="F49" s="51" t="s">
        <v>98</v>
      </c>
    </row>
    <row r="50" customFormat="false" ht="15.75" hidden="false" customHeight="false" outlineLevel="0" collapsed="false">
      <c r="A50" s="56" t="str">
        <f aca="false">+A45</f>
        <v>Auxiliar/monitor escolar</v>
      </c>
      <c r="B50" s="57" t="s">
        <v>129</v>
      </c>
      <c r="C50" s="79" t="n">
        <f aca="false">C44*(C37+C16)</f>
        <v>0</v>
      </c>
      <c r="D50" s="81" t="n">
        <v>0</v>
      </c>
      <c r="E50" s="71" t="n">
        <f aca="false">C50*D50</f>
        <v>0</v>
      </c>
      <c r="F50" s="66"/>
    </row>
    <row r="51" customFormat="false" ht="15.75" hidden="false" customHeight="false" outlineLevel="0" collapsed="false">
      <c r="A51" s="46"/>
      <c r="B51" s="46"/>
      <c r="C51" s="46"/>
      <c r="D51" s="47"/>
      <c r="E51" s="47"/>
      <c r="F51" s="80" t="n">
        <f aca="false">SUM(E50:E50)</f>
        <v>0</v>
      </c>
    </row>
    <row r="52" customFormat="false" ht="15" hidden="false" customHeight="false" outlineLevel="0" collapsed="false">
      <c r="A52" s="46"/>
      <c r="B52" s="46"/>
      <c r="C52" s="46"/>
      <c r="D52" s="47"/>
      <c r="E52" s="47"/>
      <c r="F52" s="47"/>
    </row>
    <row r="53" customFormat="false" ht="15.75" hidden="false" customHeight="false" outlineLevel="0" collapsed="false">
      <c r="A53" s="46" t="s">
        <v>130</v>
      </c>
      <c r="B53" s="46"/>
      <c r="C53" s="46"/>
      <c r="D53" s="47"/>
      <c r="E53" s="47"/>
      <c r="F53" s="66"/>
    </row>
    <row r="54" customFormat="false" ht="15.75" hidden="false" customHeight="false" outlineLevel="0" collapsed="false">
      <c r="A54" s="48" t="s">
        <v>93</v>
      </c>
      <c r="B54" s="49" t="s">
        <v>94</v>
      </c>
      <c r="C54" s="49" t="s">
        <v>95</v>
      </c>
      <c r="D54" s="50" t="s">
        <v>96</v>
      </c>
      <c r="E54" s="50" t="s">
        <v>97</v>
      </c>
      <c r="F54" s="51" t="s">
        <v>98</v>
      </c>
    </row>
    <row r="55" customFormat="false" ht="15.75" hidden="false" customHeight="false" outlineLevel="0" collapsed="false">
      <c r="A55" s="56" t="str">
        <f aca="false">+A50</f>
        <v>Auxiliar/monitor escolar</v>
      </c>
      <c r="B55" s="57" t="s">
        <v>129</v>
      </c>
      <c r="C55" s="79" t="n">
        <f aca="false">C16+C37</f>
        <v>1</v>
      </c>
      <c r="D55" s="81"/>
      <c r="E55" s="71" t="n">
        <f aca="false">C55*D55</f>
        <v>0</v>
      </c>
      <c r="F55" s="66"/>
    </row>
    <row r="56" customFormat="false" ht="15.75" hidden="false" customHeight="false" outlineLevel="0" collapsed="false">
      <c r="A56" s="46"/>
      <c r="B56" s="46"/>
      <c r="C56" s="46"/>
      <c r="D56" s="70" t="s">
        <v>115</v>
      </c>
      <c r="E56" s="71" t="n">
        <f aca="false">$B$1</f>
        <v>0.68</v>
      </c>
      <c r="F56" s="80" t="n">
        <f aca="false">SUM(E55:E55)*E56</f>
        <v>0</v>
      </c>
    </row>
    <row r="58" customFormat="false" ht="15.75" hidden="false" customHeight="false" outlineLevel="0" collapsed="false"/>
    <row r="59" customFormat="false" ht="15.75" hidden="false" customHeight="false" outlineLevel="0" collapsed="false">
      <c r="A59" s="82" t="s">
        <v>131</v>
      </c>
      <c r="B59" s="82" t="s">
        <v>132</v>
      </c>
      <c r="C59" s="83"/>
      <c r="D59" s="83"/>
      <c r="E59" s="83"/>
      <c r="F59" s="84" t="n">
        <f aca="false">F56+F51+F46+F38+F17</f>
        <v>2391.1537014144</v>
      </c>
    </row>
  </sheetData>
  <mergeCells count="1">
    <mergeCell ref="A3:F3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6" activeCellId="0" sqref="I16"/>
    </sheetView>
  </sheetViews>
  <sheetFormatPr defaultColWidth="8.7578125" defaultRowHeight="13.8" zeroHeight="false" outlineLevelRow="0" outlineLevelCol="0"/>
  <cols>
    <col collapsed="false" customWidth="true" hidden="false" outlineLevel="0" max="1" min="1" style="0" width="47.02"/>
    <col collapsed="false" customWidth="true" hidden="false" outlineLevel="0" max="2" min="2" style="0" width="8.4"/>
    <col collapsed="false" customWidth="true" hidden="false" outlineLevel="0" max="3" min="3" style="0" width="14.08"/>
    <col collapsed="false" customWidth="true" hidden="false" outlineLevel="0" max="4" min="4" style="0" width="17.71"/>
    <col collapsed="false" customWidth="true" hidden="false" outlineLevel="0" max="5" min="5" style="0" width="11.3"/>
    <col collapsed="false" customWidth="true" hidden="false" outlineLevel="0" max="6" min="6" style="0" width="9.85"/>
    <col collapsed="false" customWidth="true" hidden="false" outlineLevel="0" max="13" min="13" style="0" width="13.1"/>
    <col collapsed="false" customWidth="true" hidden="false" outlineLevel="0" max="14" min="14" style="0" width="14.21"/>
    <col collapsed="false" customWidth="true" hidden="false" outlineLevel="0" max="1024" min="1023" style="0" width="11.52"/>
  </cols>
  <sheetData>
    <row r="1" customFormat="false" ht="13.8" hidden="false" customHeight="false" outlineLevel="0" collapsed="false">
      <c r="A1" s="85" t="s">
        <v>138</v>
      </c>
      <c r="J1" s="86" t="s">
        <v>139</v>
      </c>
      <c r="K1" s="86"/>
      <c r="L1" s="86"/>
      <c r="M1" s="86"/>
      <c r="N1" s="86"/>
      <c r="O1" s="86"/>
    </row>
    <row r="2" customFormat="false" ht="13.8" hidden="false" customHeight="true" outlineLevel="0" collapsed="false">
      <c r="A2" s="0" t="s">
        <v>140</v>
      </c>
      <c r="B2" s="87" t="s">
        <v>106</v>
      </c>
      <c r="C2" s="88" t="n">
        <v>315000</v>
      </c>
      <c r="D2" s="89" t="s">
        <v>141</v>
      </c>
      <c r="E2" s="89"/>
      <c r="F2" s="89"/>
      <c r="G2" s="90"/>
      <c r="J2" s="91" t="s">
        <v>142</v>
      </c>
      <c r="K2" s="91"/>
      <c r="L2" s="91"/>
      <c r="M2" s="91"/>
      <c r="N2" s="0" t="n">
        <v>2009</v>
      </c>
      <c r="O2" s="0" t="n">
        <v>2012</v>
      </c>
    </row>
    <row r="3" customFormat="false" ht="13.8" hidden="false" customHeight="false" outlineLevel="0" collapsed="false">
      <c r="A3" s="0" t="s">
        <v>143</v>
      </c>
      <c r="B3" s="87" t="s">
        <v>144</v>
      </c>
      <c r="C3" s="92" t="n">
        <v>20</v>
      </c>
      <c r="D3" s="89"/>
      <c r="E3" s="89"/>
      <c r="F3" s="89"/>
      <c r="G3" s="90"/>
      <c r="J3" s="91"/>
      <c r="K3" s="91"/>
      <c r="L3" s="91"/>
      <c r="M3" s="91"/>
      <c r="N3" s="93" t="n">
        <v>77328</v>
      </c>
      <c r="O3" s="93" t="n">
        <v>93063</v>
      </c>
    </row>
    <row r="4" customFormat="false" ht="13.8" hidden="false" customHeight="true" outlineLevel="0" collapsed="false">
      <c r="A4" s="0" t="s">
        <v>145</v>
      </c>
      <c r="B4" s="87" t="s">
        <v>109</v>
      </c>
      <c r="C4" s="94" t="n">
        <f aca="false">100/C3</f>
        <v>5</v>
      </c>
      <c r="J4" s="91" t="s">
        <v>146</v>
      </c>
      <c r="K4" s="91"/>
      <c r="L4" s="91"/>
      <c r="M4" s="91"/>
      <c r="O4" s="0" t="n">
        <v>2012</v>
      </c>
    </row>
    <row r="5" customFormat="false" ht="13.8" hidden="false" customHeight="false" outlineLevel="0" collapsed="false">
      <c r="A5" s="0" t="s">
        <v>147</v>
      </c>
      <c r="B5" s="87" t="s">
        <v>106</v>
      </c>
      <c r="C5" s="88" t="n">
        <v>60000</v>
      </c>
      <c r="J5" s="91"/>
      <c r="K5" s="91"/>
      <c r="L5" s="91"/>
      <c r="M5" s="91"/>
      <c r="N5" s="93"/>
      <c r="O5" s="93" t="n">
        <v>87434</v>
      </c>
    </row>
    <row r="6" customFormat="false" ht="13.8" hidden="false" customHeight="true" outlineLevel="0" collapsed="false">
      <c r="A6" s="0" t="s">
        <v>148</v>
      </c>
      <c r="B6" s="87" t="s">
        <v>144</v>
      </c>
      <c r="C6" s="95" t="n">
        <v>0</v>
      </c>
      <c r="J6" s="91" t="s">
        <v>149</v>
      </c>
      <c r="K6" s="91"/>
      <c r="L6" s="91"/>
      <c r="M6" s="91"/>
      <c r="O6" s="0" t="n">
        <v>2012</v>
      </c>
    </row>
    <row r="7" customFormat="false" ht="13.8" hidden="false" customHeight="false" outlineLevel="0" collapsed="false">
      <c r="A7" s="0" t="s">
        <v>150</v>
      </c>
      <c r="B7" s="87" t="s">
        <v>106</v>
      </c>
      <c r="C7" s="96" t="n">
        <f aca="false">((C2-C5)*(C4%*C6))</f>
        <v>0</v>
      </c>
      <c r="J7" s="91"/>
      <c r="K7" s="91"/>
      <c r="L7" s="91"/>
      <c r="M7" s="91"/>
      <c r="O7" s="93" t="n">
        <v>116376</v>
      </c>
    </row>
    <row r="8" customFormat="false" ht="13.8" hidden="false" customHeight="false" outlineLevel="0" collapsed="false">
      <c r="A8" s="97" t="s">
        <v>87</v>
      </c>
      <c r="B8" s="98"/>
      <c r="C8" s="99" t="n">
        <f aca="false">'Mão de obra_motorista'!B1</f>
        <v>0.68</v>
      </c>
    </row>
    <row r="9" customFormat="false" ht="17.35" hidden="false" customHeight="false" outlineLevel="0" collapsed="false">
      <c r="A9" s="45" t="s">
        <v>151</v>
      </c>
      <c r="B9" s="45"/>
      <c r="C9" s="45"/>
      <c r="D9" s="45"/>
      <c r="E9" s="45"/>
      <c r="F9" s="45"/>
    </row>
    <row r="10" customFormat="false" ht="14.15" hidden="false" customHeight="false" outlineLevel="0" collapsed="false">
      <c r="A10" s="100" t="s">
        <v>152</v>
      </c>
      <c r="B10" s="46"/>
      <c r="C10" s="46"/>
      <c r="D10" s="47"/>
      <c r="E10" s="47"/>
      <c r="F10" s="47"/>
    </row>
    <row r="11" customFormat="false" ht="13.8" hidden="false" customHeight="false" outlineLevel="0" collapsed="false">
      <c r="A11" s="48" t="s">
        <v>93</v>
      </c>
      <c r="B11" s="49" t="s">
        <v>94</v>
      </c>
      <c r="C11" s="49" t="s">
        <v>95</v>
      </c>
      <c r="D11" s="50" t="s">
        <v>96</v>
      </c>
      <c r="E11" s="50" t="s">
        <v>97</v>
      </c>
      <c r="F11" s="51" t="s">
        <v>98</v>
      </c>
    </row>
    <row r="12" customFormat="false" ht="13.8" hidden="false" customHeight="false" outlineLevel="0" collapsed="false">
      <c r="A12" s="52" t="s">
        <v>153</v>
      </c>
      <c r="B12" s="53" t="s">
        <v>129</v>
      </c>
      <c r="C12" s="53" t="n">
        <v>1</v>
      </c>
      <c r="D12" s="101" t="n">
        <f aca="false">C2</f>
        <v>315000</v>
      </c>
      <c r="E12" s="55" t="n">
        <f aca="false">C12*D12</f>
        <v>315000</v>
      </c>
      <c r="F12" s="47"/>
    </row>
    <row r="13" customFormat="false" ht="13.8" hidden="false" customHeight="false" outlineLevel="0" collapsed="false">
      <c r="A13" s="56" t="s">
        <v>154</v>
      </c>
      <c r="B13" s="57" t="s">
        <v>144</v>
      </c>
      <c r="C13" s="102" t="n">
        <f aca="false">C3</f>
        <v>20</v>
      </c>
      <c r="D13" s="59"/>
      <c r="E13" s="59"/>
      <c r="F13" s="47"/>
    </row>
    <row r="14" customFormat="false" ht="13.8" hidden="false" customHeight="false" outlineLevel="0" collapsed="false">
      <c r="A14" s="56" t="s">
        <v>155</v>
      </c>
      <c r="B14" s="57" t="s">
        <v>144</v>
      </c>
      <c r="C14" s="103" t="n">
        <f aca="false">C6</f>
        <v>0</v>
      </c>
      <c r="D14" s="59"/>
      <c r="E14" s="59"/>
      <c r="F14" s="104"/>
    </row>
    <row r="15" customFormat="false" ht="13.8" hidden="false" customHeight="false" outlineLevel="0" collapsed="false">
      <c r="A15" s="56" t="s">
        <v>156</v>
      </c>
      <c r="B15" s="57" t="s">
        <v>109</v>
      </c>
      <c r="C15" s="105" t="n">
        <v>100</v>
      </c>
      <c r="D15" s="59" t="n">
        <f aca="false">E12</f>
        <v>315000</v>
      </c>
      <c r="E15" s="59" t="n">
        <f aca="false">C15*(D15-C5)/100</f>
        <v>255000</v>
      </c>
      <c r="F15" s="47"/>
    </row>
    <row r="16" customFormat="false" ht="13.8" hidden="false" customHeight="false" outlineLevel="0" collapsed="false">
      <c r="A16" s="106" t="s">
        <v>157</v>
      </c>
      <c r="B16" s="107" t="s">
        <v>100</v>
      </c>
      <c r="C16" s="107" t="n">
        <f aca="false">C13*12</f>
        <v>240</v>
      </c>
      <c r="D16" s="108" t="n">
        <f aca="false">IF(C14&lt;=C13,E15,0)</f>
        <v>255000</v>
      </c>
      <c r="E16" s="108" t="n">
        <f aca="false">IFERROR(D16/C16,0)</f>
        <v>1062.5</v>
      </c>
      <c r="F16" s="47"/>
    </row>
    <row r="17" customFormat="false" ht="13.8" hidden="false" customHeight="false" outlineLevel="0" collapsed="false">
      <c r="A17" s="73" t="s">
        <v>158</v>
      </c>
      <c r="B17" s="63"/>
      <c r="C17" s="63"/>
      <c r="D17" s="64"/>
      <c r="E17" s="74" t="n">
        <f aca="false">E16</f>
        <v>1062.5</v>
      </c>
      <c r="F17" s="47"/>
    </row>
    <row r="18" customFormat="false" ht="13.8" hidden="false" customHeight="false" outlineLevel="0" collapsed="false">
      <c r="A18" s="62" t="s">
        <v>159</v>
      </c>
      <c r="B18" s="109" t="s">
        <v>129</v>
      </c>
      <c r="C18" s="61" t="n">
        <v>1</v>
      </c>
      <c r="D18" s="65" t="n">
        <f aca="false">E17</f>
        <v>1062.5</v>
      </c>
      <c r="E18" s="74" t="n">
        <f aca="false">C18*D18</f>
        <v>1062.5</v>
      </c>
      <c r="F18" s="47"/>
    </row>
    <row r="19" customFormat="false" ht="13.8" hidden="false" customHeight="false" outlineLevel="0" collapsed="false">
      <c r="A19" s="110"/>
      <c r="B19" s="110"/>
      <c r="C19" s="110"/>
      <c r="D19" s="70" t="s">
        <v>115</v>
      </c>
      <c r="E19" s="71" t="n">
        <f aca="false">C8</f>
        <v>0.68</v>
      </c>
      <c r="F19" s="111" t="n">
        <f aca="false">E18*E19</f>
        <v>722.5</v>
      </c>
    </row>
    <row r="20" customFormat="false" ht="13.8" hidden="false" customHeight="false" outlineLevel="0" collapsed="false">
      <c r="C20" s="112"/>
      <c r="F20" s="47"/>
    </row>
    <row r="21" customFormat="false" ht="13.8" hidden="false" customHeight="false" outlineLevel="0" collapsed="false">
      <c r="C21" s="112"/>
      <c r="F21" s="47"/>
    </row>
    <row r="22" customFormat="false" ht="13.8" hidden="false" customHeight="false" outlineLevel="0" collapsed="false">
      <c r="F22" s="47"/>
    </row>
    <row r="23" customFormat="false" ht="14.15" hidden="false" customHeight="false" outlineLevel="0" collapsed="false">
      <c r="A23" s="100" t="s">
        <v>160</v>
      </c>
      <c r="B23" s="46"/>
      <c r="C23" s="46"/>
      <c r="D23" s="47"/>
      <c r="E23" s="47"/>
      <c r="F23" s="47"/>
    </row>
    <row r="24" customFormat="false" ht="13.8" hidden="false" customHeight="false" outlineLevel="0" collapsed="false">
      <c r="A24" s="113" t="s">
        <v>93</v>
      </c>
      <c r="B24" s="114" t="s">
        <v>94</v>
      </c>
      <c r="C24" s="114" t="s">
        <v>95</v>
      </c>
      <c r="D24" s="50" t="s">
        <v>96</v>
      </c>
      <c r="E24" s="115" t="s">
        <v>97</v>
      </c>
      <c r="F24" s="51" t="s">
        <v>98</v>
      </c>
    </row>
    <row r="25" customFormat="false" ht="13.8" hidden="false" customHeight="false" outlineLevel="0" collapsed="false">
      <c r="A25" s="56" t="s">
        <v>161</v>
      </c>
      <c r="B25" s="57" t="s">
        <v>129</v>
      </c>
      <c r="C25" s="53" t="n">
        <v>1</v>
      </c>
      <c r="D25" s="59" t="n">
        <f aca="false">C2</f>
        <v>315000</v>
      </c>
      <c r="E25" s="59" t="n">
        <f aca="false">C25*D25</f>
        <v>315000</v>
      </c>
    </row>
    <row r="26" customFormat="false" ht="13.8" hidden="false" customHeight="false" outlineLevel="0" collapsed="false">
      <c r="A26" s="56" t="s">
        <v>162</v>
      </c>
      <c r="B26" s="57" t="s">
        <v>109</v>
      </c>
      <c r="C26" s="61" t="n">
        <v>12.25</v>
      </c>
      <c r="D26" s="59"/>
      <c r="E26" s="59"/>
    </row>
    <row r="27" customFormat="false" ht="13.8" hidden="false" customHeight="false" outlineLevel="0" collapsed="false">
      <c r="A27" s="56" t="s">
        <v>163</v>
      </c>
      <c r="B27" s="57" t="s">
        <v>106</v>
      </c>
      <c r="C27" s="116" t="n">
        <f aca="false">C2-C5-C7</f>
        <v>255000</v>
      </c>
      <c r="D27" s="59"/>
      <c r="E27" s="59"/>
    </row>
    <row r="28" customFormat="false" ht="13.8" hidden="false" customHeight="false" outlineLevel="0" collapsed="false">
      <c r="A28" s="56" t="s">
        <v>164</v>
      </c>
      <c r="B28" s="57" t="s">
        <v>106</v>
      </c>
      <c r="C28" s="59" t="n">
        <f aca="false">((C2-C7)-(C5))*((C3+1)/(2*C3))+(C5)</f>
        <v>193875</v>
      </c>
      <c r="D28" s="59"/>
      <c r="E28" s="59"/>
      <c r="F28" s="47"/>
    </row>
    <row r="29" customFormat="false" ht="13.8" hidden="false" customHeight="false" outlineLevel="0" collapsed="false">
      <c r="A29" s="106" t="s">
        <v>165</v>
      </c>
      <c r="B29" s="107" t="s">
        <v>106</v>
      </c>
      <c r="C29" s="107"/>
      <c r="D29" s="108" t="n">
        <f aca="false">C26*C28/12/100</f>
        <v>1979.140625</v>
      </c>
      <c r="E29" s="108" t="n">
        <f aca="false">D29</f>
        <v>1979.140625</v>
      </c>
    </row>
    <row r="30" customFormat="false" ht="13.8" hidden="false" customHeight="false" outlineLevel="0" collapsed="false">
      <c r="A30" s="73" t="s">
        <v>158</v>
      </c>
      <c r="B30" s="63"/>
      <c r="C30" s="63"/>
      <c r="D30" s="64"/>
      <c r="E30" s="74" t="n">
        <f aca="false">E29</f>
        <v>1979.140625</v>
      </c>
      <c r="F30" s="104"/>
    </row>
    <row r="31" customFormat="false" ht="13.8" hidden="false" customHeight="false" outlineLevel="0" collapsed="false">
      <c r="A31" s="62" t="s">
        <v>159</v>
      </c>
      <c r="B31" s="109" t="s">
        <v>129</v>
      </c>
      <c r="C31" s="57" t="n">
        <v>1</v>
      </c>
      <c r="D31" s="65" t="n">
        <f aca="false">E30</f>
        <v>1979.140625</v>
      </c>
      <c r="E31" s="74" t="n">
        <f aca="false">C31*D31</f>
        <v>1979.140625</v>
      </c>
      <c r="F31" s="104"/>
    </row>
    <row r="32" customFormat="false" ht="13.8" hidden="false" customHeight="false" outlineLevel="0" collapsed="false">
      <c r="A32" s="46"/>
      <c r="B32" s="46"/>
      <c r="C32" s="117"/>
      <c r="D32" s="70" t="s">
        <v>115</v>
      </c>
      <c r="E32" s="71" t="n">
        <f aca="false">C8</f>
        <v>0.68</v>
      </c>
      <c r="F32" s="111" t="n">
        <f aca="false">E31*E32</f>
        <v>1345.815625</v>
      </c>
    </row>
    <row r="33" customFormat="false" ht="13.8" hidden="false" customHeight="false" outlineLevel="0" collapsed="false">
      <c r="F33" s="104"/>
    </row>
    <row r="34" customFormat="false" ht="13.8" hidden="false" customHeight="false" outlineLevel="0" collapsed="false">
      <c r="F34" s="104"/>
    </row>
    <row r="35" customFormat="false" ht="13.8" hidden="false" customHeight="false" outlineLevel="0" collapsed="false">
      <c r="A35" s="0" t="s">
        <v>166</v>
      </c>
      <c r="F35" s="104"/>
    </row>
    <row r="36" customFormat="false" ht="13.8" hidden="false" customHeight="false" outlineLevel="0" collapsed="false">
      <c r="F36" s="104"/>
    </row>
  </sheetData>
  <mergeCells count="6">
    <mergeCell ref="J1:O1"/>
    <mergeCell ref="D2:F3"/>
    <mergeCell ref="J2:M3"/>
    <mergeCell ref="J4:M5"/>
    <mergeCell ref="J6:M7"/>
    <mergeCell ref="A9:F9"/>
  </mergeCells>
  <hyperlinks>
    <hyperlink ref="A10" location="AbaDeprec" display="4.1. Depreciação"/>
    <hyperlink ref="A23" location="AbaRemun" display="4.2. Remuneração do Capital"/>
  </hyperlink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5" activeCellId="0" sqref="F15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49.29"/>
    <col collapsed="false" customWidth="true" hidden="false" outlineLevel="0" max="2" min="2" style="0" width="8.4"/>
    <col collapsed="false" customWidth="true" hidden="false" outlineLevel="0" max="3" min="3" style="0" width="10.29"/>
    <col collapsed="false" customWidth="true" hidden="false" outlineLevel="0" max="4" min="4" style="0" width="13.57"/>
    <col collapsed="false" customWidth="true" hidden="false" outlineLevel="0" max="5" min="5" style="0" width="8.86"/>
    <col collapsed="false" customWidth="true" hidden="false" outlineLevel="0" max="6" min="6" style="0" width="11.3"/>
  </cols>
  <sheetData>
    <row r="1" customFormat="false" ht="15.75" hidden="false" customHeight="false" outlineLevel="0" collapsed="false"/>
    <row r="2" customFormat="false" ht="18.75" hidden="false" customHeight="false" outlineLevel="0" collapsed="false">
      <c r="A2" s="118" t="s">
        <v>167</v>
      </c>
      <c r="B2" s="118"/>
      <c r="C2" s="118"/>
      <c r="D2" s="118"/>
      <c r="E2" s="118"/>
      <c r="F2" s="118"/>
    </row>
    <row r="3" customFormat="false" ht="15" hidden="false" customHeight="false" outlineLevel="0" collapsed="false">
      <c r="A3" s="119" t="s">
        <v>168</v>
      </c>
      <c r="B3" s="120" t="s">
        <v>169</v>
      </c>
      <c r="C3" s="121" t="n">
        <v>0</v>
      </c>
      <c r="D3" s="122"/>
      <c r="E3" s="123"/>
      <c r="F3" s="124"/>
    </row>
    <row r="4" customFormat="false" ht="15" hidden="false" customHeight="false" outlineLevel="0" collapsed="false">
      <c r="A4" s="125" t="s">
        <v>170</v>
      </c>
      <c r="B4" s="126" t="s">
        <v>171</v>
      </c>
      <c r="C4" s="127" t="n">
        <v>0</v>
      </c>
      <c r="D4" s="122"/>
      <c r="E4" s="123"/>
      <c r="F4" s="124"/>
    </row>
    <row r="5" customFormat="false" ht="15" hidden="false" customHeight="false" outlineLevel="0" collapsed="false">
      <c r="A5" s="125" t="s">
        <v>172</v>
      </c>
      <c r="B5" s="126" t="s">
        <v>173</v>
      </c>
      <c r="C5" s="127" t="n">
        <v>0.1</v>
      </c>
      <c r="D5" s="122"/>
      <c r="E5" s="123"/>
      <c r="F5" s="124"/>
    </row>
    <row r="6" customFormat="false" ht="13.8" hidden="false" customHeight="false" outlineLevel="0" collapsed="false">
      <c r="A6" s="125" t="s">
        <v>174</v>
      </c>
      <c r="B6" s="126" t="s">
        <v>175</v>
      </c>
      <c r="C6" s="128" t="n">
        <f aca="false">(1+E6)^(E7/252)-1</f>
        <v>0.00367525600126295</v>
      </c>
      <c r="D6" s="122" t="s">
        <v>176</v>
      </c>
      <c r="E6" s="129" t="n">
        <v>0.1225</v>
      </c>
      <c r="F6" s="130"/>
    </row>
    <row r="7" customFormat="false" ht="15" hidden="false" customHeight="false" outlineLevel="0" collapsed="false">
      <c r="A7" s="125" t="s">
        <v>177</v>
      </c>
      <c r="B7" s="131" t="s">
        <v>178</v>
      </c>
      <c r="C7" s="127" t="n">
        <v>0</v>
      </c>
      <c r="D7" s="132" t="s">
        <v>179</v>
      </c>
      <c r="E7" s="133" t="n">
        <v>8</v>
      </c>
      <c r="F7" s="134"/>
    </row>
    <row r="8" customFormat="false" ht="15.75" hidden="false" customHeight="false" outlineLevel="0" collapsed="false">
      <c r="A8" s="135" t="s">
        <v>180</v>
      </c>
      <c r="B8" s="131"/>
      <c r="C8" s="136" t="n">
        <v>0.0365</v>
      </c>
      <c r="D8" s="137"/>
      <c r="E8" s="138"/>
      <c r="F8" s="134"/>
    </row>
    <row r="9" customFormat="false" ht="15" hidden="false" customHeight="false" outlineLevel="0" collapsed="false">
      <c r="A9" s="139" t="s">
        <v>181</v>
      </c>
      <c r="B9" s="140"/>
      <c r="C9" s="141"/>
      <c r="D9" s="137"/>
      <c r="E9" s="138"/>
      <c r="F9" s="134"/>
    </row>
    <row r="10" customFormat="false" ht="15.75" hidden="false" customHeight="false" outlineLevel="0" collapsed="false">
      <c r="A10" s="142" t="s">
        <v>182</v>
      </c>
      <c r="B10" s="143"/>
      <c r="C10" s="144"/>
      <c r="D10" s="137"/>
      <c r="E10" s="138"/>
      <c r="F10" s="134"/>
    </row>
    <row r="11" customFormat="false" ht="15.75" hidden="false" customHeight="false" outlineLevel="0" collapsed="false">
      <c r="A11" s="145" t="s">
        <v>183</v>
      </c>
      <c r="B11" s="146"/>
      <c r="C11" s="147" t="n">
        <f aca="false">ROUND((((1+C3+C4)*(1+C5)*(1+C6))/(1-(C7+C8))-1),4)</f>
        <v>0.1459</v>
      </c>
      <c r="D11" s="148"/>
      <c r="E11" s="149"/>
      <c r="F11" s="150"/>
    </row>
    <row r="13" customFormat="false" ht="13.8" hidden="false" customHeight="false" outlineLevel="0" collapsed="false">
      <c r="E13" s="0" t="s">
        <v>184</v>
      </c>
    </row>
    <row r="14" customFormat="false" ht="15.75" hidden="false" customHeight="false" outlineLevel="0" collapsed="false"/>
    <row r="15" customFormat="false" ht="15.75" hidden="false" customHeight="false" outlineLevel="0" collapsed="false">
      <c r="A15" s="151" t="s">
        <v>185</v>
      </c>
      <c r="B15" s="152" t="s">
        <v>132</v>
      </c>
      <c r="C15" s="153"/>
      <c r="D15" s="153"/>
      <c r="E15" s="153"/>
      <c r="F15" s="154" t="n">
        <f aca="false">'Mão de obra_motorista'!F59+'Impostos e manutenção'!F44</f>
        <v>14091.6529808093</v>
      </c>
    </row>
    <row r="17" customFormat="false" ht="15.75" hidden="false" customHeight="false" outlineLevel="0" collapsed="false">
      <c r="A17" s="155" t="s">
        <v>186</v>
      </c>
    </row>
    <row r="18" customFormat="false" ht="15.75" hidden="false" customHeight="false" outlineLevel="0" collapsed="false">
      <c r="A18" s="48" t="s">
        <v>93</v>
      </c>
      <c r="B18" s="49" t="s">
        <v>94</v>
      </c>
      <c r="C18" s="49" t="s">
        <v>95</v>
      </c>
      <c r="D18" s="50" t="s">
        <v>96</v>
      </c>
      <c r="E18" s="50" t="s">
        <v>97</v>
      </c>
      <c r="F18" s="51" t="s">
        <v>98</v>
      </c>
    </row>
    <row r="19" customFormat="false" ht="15.75" hidden="false" customHeight="false" outlineLevel="0" collapsed="false">
      <c r="A19" s="52" t="s">
        <v>187</v>
      </c>
      <c r="B19" s="53" t="s">
        <v>109</v>
      </c>
      <c r="C19" s="105" t="n">
        <f aca="false">C11*100</f>
        <v>14.59</v>
      </c>
      <c r="D19" s="55" t="n">
        <f aca="false">+F15</f>
        <v>14091.6529808093</v>
      </c>
      <c r="E19" s="55" t="n">
        <f aca="false">C19*D19/100</f>
        <v>2055.97216990007</v>
      </c>
      <c r="F19" s="47"/>
    </row>
    <row r="20" customFormat="false" ht="15.75" hidden="false" customHeight="false" outlineLevel="0" collapsed="false">
      <c r="A20" s="46"/>
      <c r="B20" s="46"/>
      <c r="C20" s="46"/>
      <c r="D20" s="47"/>
      <c r="E20" s="47"/>
      <c r="F20" s="111" t="n">
        <f aca="false">+E19</f>
        <v>2055.97216990007</v>
      </c>
    </row>
    <row r="21" customFormat="false" ht="15.75" hidden="false" customHeight="false" outlineLevel="0" collapsed="false">
      <c r="A21" s="46"/>
      <c r="B21" s="46"/>
      <c r="C21" s="46"/>
      <c r="D21" s="47"/>
      <c r="E21" s="47"/>
      <c r="F21" s="47"/>
    </row>
    <row r="22" customFormat="false" ht="15.75" hidden="false" customHeight="false" outlineLevel="0" collapsed="false">
      <c r="A22" s="156" t="s">
        <v>188</v>
      </c>
      <c r="B22" s="157"/>
      <c r="C22" s="157"/>
      <c r="D22" s="158"/>
      <c r="E22" s="159"/>
      <c r="F22" s="80" t="n">
        <f aca="false">F20</f>
        <v>2055.97216990007</v>
      </c>
    </row>
  </sheetData>
  <mergeCells count="2">
    <mergeCell ref="A2:F2"/>
    <mergeCell ref="B7:B8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44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D18" activeCellId="0" sqref="D18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41.71"/>
    <col collapsed="false" customWidth="true" hidden="false" outlineLevel="0" max="2" min="2" style="0" width="13.7"/>
    <col collapsed="false" customWidth="true" hidden="false" outlineLevel="0" max="3" min="3" style="0" width="10.29"/>
    <col collapsed="false" customWidth="true" hidden="false" outlineLevel="0" max="4" min="4" style="0" width="17.71"/>
    <col collapsed="false" customWidth="true" hidden="false" outlineLevel="0" max="5" min="5" style="0" width="13.1"/>
    <col collapsed="false" customWidth="true" hidden="false" outlineLevel="0" max="6" min="6" style="0" width="23.94"/>
  </cols>
  <sheetData>
    <row r="1" customFormat="false" ht="15.75" hidden="false" customHeight="false" outlineLevel="0" collapsed="false">
      <c r="A1" s="160" t="s">
        <v>87</v>
      </c>
      <c r="B1" s="161" t="n">
        <f aca="false">'Mão de obra_motorista'!B1</f>
        <v>0.68</v>
      </c>
    </row>
    <row r="2" customFormat="false" ht="15.75" hidden="false" customHeight="false" outlineLevel="0" collapsed="false">
      <c r="A2" s="66"/>
      <c r="B2" s="162"/>
    </row>
    <row r="3" customFormat="false" ht="18.75" hidden="false" customHeight="false" outlineLevel="0" collapsed="false">
      <c r="A3" s="163" t="s">
        <v>189</v>
      </c>
      <c r="B3" s="163"/>
      <c r="C3" s="163"/>
      <c r="D3" s="163"/>
      <c r="E3" s="163"/>
      <c r="F3" s="163"/>
    </row>
    <row r="4" customFormat="false" ht="15.75" hidden="false" customHeight="false" outlineLevel="0" collapsed="false">
      <c r="A4" s="46" t="s">
        <v>190</v>
      </c>
      <c r="B4" s="46"/>
      <c r="C4" s="46"/>
      <c r="D4" s="47"/>
      <c r="E4" s="47"/>
      <c r="F4" s="47"/>
    </row>
    <row r="5" customFormat="false" ht="15.75" hidden="false" customHeight="false" outlineLevel="0" collapsed="false">
      <c r="A5" s="48" t="s">
        <v>93</v>
      </c>
      <c r="B5" s="49" t="s">
        <v>94</v>
      </c>
      <c r="C5" s="49" t="s">
        <v>95</v>
      </c>
      <c r="D5" s="50" t="s">
        <v>96</v>
      </c>
      <c r="E5" s="50" t="s">
        <v>97</v>
      </c>
      <c r="F5" s="51" t="s">
        <v>98</v>
      </c>
    </row>
    <row r="6" customFormat="false" ht="15" hidden="false" customHeight="false" outlineLevel="0" collapsed="false">
      <c r="A6" s="52" t="s">
        <v>191</v>
      </c>
      <c r="B6" s="53" t="s">
        <v>129</v>
      </c>
      <c r="C6" s="55" t="n">
        <f aca="false">'Remuneração de capital'!C31</f>
        <v>1</v>
      </c>
      <c r="D6" s="55" t="n">
        <v>0</v>
      </c>
      <c r="E6" s="55" t="n">
        <f aca="false">C6*D6</f>
        <v>0</v>
      </c>
      <c r="F6" s="47" t="n">
        <f aca="false">E6*E10</f>
        <v>0</v>
      </c>
    </row>
    <row r="7" customFormat="false" ht="15" hidden="false" customHeight="false" outlineLevel="0" collapsed="false">
      <c r="A7" s="56" t="s">
        <v>192</v>
      </c>
      <c r="B7" s="57" t="s">
        <v>129</v>
      </c>
      <c r="C7" s="55" t="n">
        <f aca="false">'Remuneração de capital'!C31</f>
        <v>1</v>
      </c>
      <c r="D7" s="81" t="n">
        <v>246.23</v>
      </c>
      <c r="E7" s="59" t="n">
        <f aca="false">C7*D7</f>
        <v>246.23</v>
      </c>
      <c r="F7" s="47" t="n">
        <f aca="false">E7*E10</f>
        <v>167.4364</v>
      </c>
    </row>
    <row r="8" customFormat="false" ht="15" hidden="false" customHeight="false" outlineLevel="0" collapsed="false">
      <c r="A8" s="164" t="s">
        <v>193</v>
      </c>
      <c r="B8" s="57" t="s">
        <v>129</v>
      </c>
      <c r="C8" s="55" t="n">
        <f aca="false">'Remuneração de capital'!C31</f>
        <v>1</v>
      </c>
      <c r="D8" s="81" t="n">
        <v>0</v>
      </c>
      <c r="E8" s="59" t="n">
        <f aca="false">C8*D8</f>
        <v>0</v>
      </c>
      <c r="F8" s="64" t="n">
        <f aca="false">E8*E10</f>
        <v>0</v>
      </c>
    </row>
    <row r="9" customFormat="false" ht="15.75" hidden="false" customHeight="false" outlineLevel="0" collapsed="false">
      <c r="A9" s="62" t="s">
        <v>194</v>
      </c>
      <c r="B9" s="109" t="s">
        <v>100</v>
      </c>
      <c r="C9" s="109" t="n">
        <v>12</v>
      </c>
      <c r="D9" s="65" t="n">
        <f aca="false">SUM(E6:E8)</f>
        <v>246.23</v>
      </c>
      <c r="E9" s="65" t="n">
        <f aca="false">D9/C9</f>
        <v>20.5191666666667</v>
      </c>
      <c r="F9" s="47"/>
    </row>
    <row r="10" customFormat="false" ht="15.75" hidden="false" customHeight="false" outlineLevel="0" collapsed="false">
      <c r="A10" s="46"/>
      <c r="B10" s="46"/>
      <c r="C10" s="46"/>
      <c r="D10" s="70" t="s">
        <v>115</v>
      </c>
      <c r="E10" s="71" t="n">
        <f aca="false">B1</f>
        <v>0.68</v>
      </c>
      <c r="F10" s="72" t="n">
        <f aca="false">E9*E10</f>
        <v>13.9530333333334</v>
      </c>
    </row>
    <row r="11" customFormat="false" ht="15" hidden="false" customHeight="false" outlineLevel="0" collapsed="false">
      <c r="A11" s="46"/>
      <c r="B11" s="46"/>
      <c r="C11" s="46"/>
      <c r="D11" s="47"/>
      <c r="E11" s="47"/>
      <c r="F11" s="47"/>
    </row>
    <row r="12" customFormat="false" ht="15" hidden="false" customHeight="false" outlineLevel="0" collapsed="false">
      <c r="A12" s="46" t="s">
        <v>195</v>
      </c>
      <c r="B12" s="165"/>
      <c r="C12" s="46"/>
      <c r="D12" s="47"/>
      <c r="E12" s="47"/>
      <c r="F12" s="47"/>
    </row>
    <row r="13" customFormat="false" ht="13.8" hidden="false" customHeight="false" outlineLevel="0" collapsed="false">
      <c r="A13" s="46"/>
      <c r="B13" s="165"/>
      <c r="C13" s="46"/>
      <c r="D13" s="47"/>
      <c r="E13" s="47"/>
      <c r="F13" s="47" t="s">
        <v>196</v>
      </c>
    </row>
    <row r="14" customFormat="false" ht="13.8" hidden="false" customHeight="false" outlineLevel="0" collapsed="false">
      <c r="A14" s="62" t="s">
        <v>197</v>
      </c>
      <c r="B14" s="166" t="n">
        <v>2950</v>
      </c>
      <c r="C14" s="46"/>
      <c r="D14" s="47"/>
      <c r="E14" s="47"/>
      <c r="F14" s="0" t="s">
        <v>198</v>
      </c>
    </row>
    <row r="15" customFormat="false" ht="13.8" hidden="false" customHeight="false" outlineLevel="0" collapsed="false">
      <c r="A15" s="46"/>
      <c r="B15" s="165"/>
      <c r="C15" s="46"/>
      <c r="D15" s="47"/>
      <c r="E15" s="47"/>
      <c r="F15" s="0" t="s">
        <v>199</v>
      </c>
    </row>
    <row r="16" customFormat="false" ht="13.8" hidden="false" customHeight="false" outlineLevel="0" collapsed="false">
      <c r="A16" s="48" t="s">
        <v>93</v>
      </c>
      <c r="B16" s="49" t="s">
        <v>94</v>
      </c>
      <c r="C16" s="49" t="s">
        <v>200</v>
      </c>
      <c r="D16" s="50" t="s">
        <v>96</v>
      </c>
      <c r="E16" s="50" t="s">
        <v>97</v>
      </c>
      <c r="F16" s="51" t="s">
        <v>98</v>
      </c>
    </row>
    <row r="17" customFormat="false" ht="13.8" hidden="false" customHeight="false" outlineLevel="0" collapsed="false">
      <c r="A17" s="52" t="s">
        <v>201</v>
      </c>
      <c r="B17" s="53" t="s">
        <v>202</v>
      </c>
      <c r="C17" s="167" t="n">
        <v>8</v>
      </c>
      <c r="D17" s="168" t="n">
        <v>5.94</v>
      </c>
      <c r="E17" s="55"/>
      <c r="F17" s="47"/>
    </row>
    <row r="18" customFormat="false" ht="13.8" hidden="false" customHeight="false" outlineLevel="0" collapsed="false">
      <c r="A18" s="56" t="s">
        <v>203</v>
      </c>
      <c r="B18" s="57" t="s">
        <v>204</v>
      </c>
      <c r="C18" s="76" t="n">
        <f aca="false">B14</f>
        <v>2950</v>
      </c>
      <c r="D18" s="169" t="n">
        <f aca="false">IFERROR(+D17/C17,"-")</f>
        <v>0.7425</v>
      </c>
      <c r="E18" s="59" t="n">
        <f aca="false">IFERROR(C18*D18,"-")</f>
        <v>2190.375</v>
      </c>
      <c r="F18" s="47"/>
    </row>
    <row r="19" customFormat="false" ht="13.8" hidden="false" customHeight="false" outlineLevel="0" collapsed="false">
      <c r="A19" s="56" t="s">
        <v>205</v>
      </c>
      <c r="B19" s="57" t="s">
        <v>206</v>
      </c>
      <c r="C19" s="170" t="n">
        <v>0.42</v>
      </c>
      <c r="D19" s="171" t="n">
        <v>48.51</v>
      </c>
      <c r="E19" s="59"/>
      <c r="F19" s="47"/>
    </row>
    <row r="20" customFormat="false" ht="13.8" hidden="false" customHeight="false" outlineLevel="0" collapsed="false">
      <c r="A20" s="56" t="s">
        <v>207</v>
      </c>
      <c r="B20" s="57" t="s">
        <v>204</v>
      </c>
      <c r="C20" s="76" t="n">
        <f aca="false">C18</f>
        <v>2950</v>
      </c>
      <c r="D20" s="172" t="n">
        <f aca="false">+C19*D19/1000</f>
        <v>0.0203742</v>
      </c>
      <c r="E20" s="59" t="n">
        <f aca="false">C20*D20</f>
        <v>60.10389</v>
      </c>
      <c r="F20" s="47"/>
    </row>
    <row r="21" customFormat="false" ht="13.8" hidden="false" customHeight="false" outlineLevel="0" collapsed="false">
      <c r="A21" s="56" t="s">
        <v>208</v>
      </c>
      <c r="B21" s="57" t="s">
        <v>206</v>
      </c>
      <c r="C21" s="173" t="n">
        <v>0.8</v>
      </c>
      <c r="D21" s="171" t="n">
        <v>52.27</v>
      </c>
      <c r="E21" s="59"/>
      <c r="F21" s="47"/>
    </row>
    <row r="22" customFormat="false" ht="13.8" hidden="false" customHeight="false" outlineLevel="0" collapsed="false">
      <c r="A22" s="56" t="s">
        <v>209</v>
      </c>
      <c r="B22" s="57" t="s">
        <v>204</v>
      </c>
      <c r="C22" s="76" t="n">
        <f aca="false">C18</f>
        <v>2950</v>
      </c>
      <c r="D22" s="172" t="n">
        <f aca="false">+C21*D21/1000</f>
        <v>0.041816</v>
      </c>
      <c r="E22" s="59" t="n">
        <f aca="false">C22*D22</f>
        <v>123.3572</v>
      </c>
      <c r="F22" s="47"/>
    </row>
    <row r="23" customFormat="false" ht="13.8" hidden="false" customHeight="false" outlineLevel="0" collapsed="false">
      <c r="A23" s="56" t="s">
        <v>210</v>
      </c>
      <c r="B23" s="57" t="s">
        <v>206</v>
      </c>
      <c r="C23" s="173" t="n">
        <v>0.15</v>
      </c>
      <c r="D23" s="171" t="n">
        <v>54.32</v>
      </c>
      <c r="E23" s="59"/>
      <c r="F23" s="47"/>
    </row>
    <row r="24" customFormat="false" ht="13.8" hidden="false" customHeight="false" outlineLevel="0" collapsed="false">
      <c r="A24" s="56" t="s">
        <v>211</v>
      </c>
      <c r="B24" s="57" t="s">
        <v>204</v>
      </c>
      <c r="C24" s="76" t="n">
        <f aca="false">C18</f>
        <v>2950</v>
      </c>
      <c r="D24" s="172" t="n">
        <f aca="false">+C23*D23/1000</f>
        <v>0.008148</v>
      </c>
      <c r="E24" s="59" t="n">
        <f aca="false">C24*D24</f>
        <v>24.0366</v>
      </c>
      <c r="F24" s="47"/>
    </row>
    <row r="25" customFormat="false" ht="13.8" hidden="false" customHeight="false" outlineLevel="0" collapsed="false">
      <c r="A25" s="56" t="s">
        <v>212</v>
      </c>
      <c r="B25" s="57" t="s">
        <v>213</v>
      </c>
      <c r="C25" s="173" t="n">
        <v>2.22</v>
      </c>
      <c r="D25" s="171" t="n">
        <v>44.9</v>
      </c>
      <c r="E25" s="59"/>
      <c r="F25" s="47"/>
    </row>
    <row r="26" customFormat="false" ht="13.8" hidden="false" customHeight="false" outlineLevel="0" collapsed="false">
      <c r="A26" s="56" t="s">
        <v>214</v>
      </c>
      <c r="B26" s="57" t="s">
        <v>204</v>
      </c>
      <c r="C26" s="76" t="n">
        <f aca="false">C18</f>
        <v>2950</v>
      </c>
      <c r="D26" s="172" t="n">
        <f aca="false">+C25*D25/1000</f>
        <v>0.099678</v>
      </c>
      <c r="E26" s="59" t="n">
        <f aca="false">C26*D26</f>
        <v>294.0501</v>
      </c>
      <c r="F26" s="47"/>
    </row>
    <row r="27" customFormat="false" ht="13.8" hidden="false" customHeight="false" outlineLevel="0" collapsed="false">
      <c r="A27" s="62" t="s">
        <v>215</v>
      </c>
      <c r="B27" s="109" t="s">
        <v>216</v>
      </c>
      <c r="C27" s="174"/>
      <c r="D27" s="175" t="n">
        <f aca="false">IFERROR(D18+D20+D22+D24+D26,0)</f>
        <v>0.9125162</v>
      </c>
      <c r="E27" s="59"/>
      <c r="F27" s="47"/>
    </row>
    <row r="28" customFormat="false" ht="15.75" hidden="false" customHeight="false" outlineLevel="0" collapsed="false">
      <c r="A28" s="46"/>
      <c r="B28" s="46"/>
      <c r="C28" s="46"/>
      <c r="D28" s="47"/>
      <c r="E28" s="47"/>
      <c r="F28" s="111" t="n">
        <f aca="false">SUM(E17:E26)</f>
        <v>2691.92279</v>
      </c>
    </row>
    <row r="29" customFormat="false" ht="15" hidden="false" customHeight="false" outlineLevel="0" collapsed="false">
      <c r="A29" s="46"/>
      <c r="B29" s="46"/>
      <c r="C29" s="46"/>
      <c r="D29" s="47"/>
      <c r="E29" s="47"/>
      <c r="F29" s="47"/>
    </row>
    <row r="30" customFormat="false" ht="15.75" hidden="false" customHeight="false" outlineLevel="0" collapsed="false">
      <c r="A30" s="46" t="s">
        <v>217</v>
      </c>
      <c r="B30" s="46"/>
      <c r="C30" s="46"/>
      <c r="D30" s="47"/>
      <c r="E30" s="47"/>
      <c r="F30" s="47"/>
    </row>
    <row r="31" customFormat="false" ht="15.75" hidden="false" customHeight="false" outlineLevel="0" collapsed="false">
      <c r="A31" s="48" t="s">
        <v>93</v>
      </c>
      <c r="B31" s="49" t="s">
        <v>94</v>
      </c>
      <c r="C31" s="49" t="s">
        <v>95</v>
      </c>
      <c r="D31" s="50" t="s">
        <v>96</v>
      </c>
      <c r="E31" s="50" t="s">
        <v>97</v>
      </c>
      <c r="F31" s="51" t="s">
        <v>98</v>
      </c>
    </row>
    <row r="32" customFormat="false" ht="13.8" hidden="false" customHeight="false" outlineLevel="0" collapsed="false">
      <c r="A32" s="52" t="s">
        <v>218</v>
      </c>
      <c r="B32" s="53" t="s">
        <v>216</v>
      </c>
      <c r="C32" s="76" t="n">
        <f aca="false">B14</f>
        <v>2950</v>
      </c>
      <c r="D32" s="54" t="n">
        <v>0.45</v>
      </c>
      <c r="E32" s="55" t="n">
        <f aca="false">C32*D32</f>
        <v>1327.5</v>
      </c>
      <c r="F32" s="47"/>
      <c r="G32" s="0" t="s">
        <v>219</v>
      </c>
    </row>
    <row r="33" customFormat="false" ht="15.75" hidden="false" customHeight="false" outlineLevel="0" collapsed="false">
      <c r="A33" s="46"/>
      <c r="B33" s="46"/>
      <c r="C33" s="46"/>
      <c r="D33" s="47"/>
      <c r="E33" s="47"/>
      <c r="F33" s="111" t="n">
        <f aca="false">E32</f>
        <v>1327.5</v>
      </c>
    </row>
    <row r="34" customFormat="false" ht="15" hidden="false" customHeight="false" outlineLevel="0" collapsed="false">
      <c r="A34" s="46"/>
      <c r="B34" s="46"/>
      <c r="C34" s="46"/>
      <c r="D34" s="47"/>
      <c r="E34" s="47"/>
      <c r="F34" s="47"/>
    </row>
    <row r="35" customFormat="false" ht="15.75" hidden="false" customHeight="false" outlineLevel="0" collapsed="false">
      <c r="A35" s="46" t="s">
        <v>220</v>
      </c>
      <c r="B35" s="46"/>
      <c r="C35" s="46"/>
      <c r="D35" s="47"/>
      <c r="E35" s="47"/>
      <c r="F35" s="47"/>
    </row>
    <row r="36" customFormat="false" ht="15.75" hidden="false" customHeight="false" outlineLevel="0" collapsed="false">
      <c r="A36" s="48" t="s">
        <v>93</v>
      </c>
      <c r="B36" s="49" t="s">
        <v>94</v>
      </c>
      <c r="C36" s="49" t="s">
        <v>95</v>
      </c>
      <c r="D36" s="50" t="s">
        <v>96</v>
      </c>
      <c r="E36" s="50" t="s">
        <v>97</v>
      </c>
      <c r="F36" s="51" t="s">
        <v>98</v>
      </c>
    </row>
    <row r="37" customFormat="false" ht="13.8" hidden="false" customHeight="false" outlineLevel="0" collapsed="false">
      <c r="A37" s="52" t="s">
        <v>221</v>
      </c>
      <c r="B37" s="53" t="s">
        <v>129</v>
      </c>
      <c r="C37" s="176" t="n">
        <v>4</v>
      </c>
      <c r="D37" s="168" t="n">
        <v>1030</v>
      </c>
      <c r="E37" s="55" t="n">
        <f aca="false">C37*D37</f>
        <v>4120</v>
      </c>
      <c r="F37" s="47"/>
    </row>
    <row r="38" customFormat="false" ht="13.8" hidden="false" customHeight="false" outlineLevel="0" collapsed="false">
      <c r="A38" s="52" t="s">
        <v>222</v>
      </c>
      <c r="B38" s="53" t="s">
        <v>129</v>
      </c>
      <c r="C38" s="176" t="n">
        <v>2</v>
      </c>
      <c r="D38" s="177"/>
      <c r="E38" s="55"/>
      <c r="F38" s="47"/>
    </row>
    <row r="39" customFormat="false" ht="13.8" hidden="false" customHeight="false" outlineLevel="0" collapsed="false">
      <c r="A39" s="52" t="s">
        <v>223</v>
      </c>
      <c r="B39" s="53" t="s">
        <v>129</v>
      </c>
      <c r="C39" s="55" t="n">
        <v>8</v>
      </c>
      <c r="D39" s="168" t="n">
        <v>400</v>
      </c>
      <c r="E39" s="55" t="n">
        <f aca="false">C39*D39</f>
        <v>3200</v>
      </c>
      <c r="F39" s="47"/>
    </row>
    <row r="40" customFormat="false" ht="13.8" hidden="false" customHeight="false" outlineLevel="0" collapsed="false">
      <c r="A40" s="56" t="s">
        <v>224</v>
      </c>
      <c r="B40" s="57" t="s">
        <v>225</v>
      </c>
      <c r="C40" s="178" t="n">
        <v>20000</v>
      </c>
      <c r="D40" s="172" t="n">
        <f aca="false">E37+E39</f>
        <v>7320</v>
      </c>
      <c r="E40" s="59" t="n">
        <f aca="false">IFERROR(D40/C40,"-")</f>
        <v>0.366</v>
      </c>
      <c r="F40" s="0" t="s">
        <v>226</v>
      </c>
    </row>
    <row r="41" customFormat="false" ht="15.75" hidden="false" customHeight="false" outlineLevel="0" collapsed="false">
      <c r="A41" s="56" t="s">
        <v>227</v>
      </c>
      <c r="B41" s="57" t="s">
        <v>204</v>
      </c>
      <c r="C41" s="76" t="n">
        <f aca="false">B14</f>
        <v>2950</v>
      </c>
      <c r="D41" s="59" t="n">
        <f aca="false">E40</f>
        <v>0.366</v>
      </c>
      <c r="E41" s="59" t="n">
        <f aca="false">IFERROR(C41*D41,0)</f>
        <v>1079.7</v>
      </c>
      <c r="F41" s="47"/>
    </row>
    <row r="42" customFormat="false" ht="15.75" hidden="false" customHeight="false" outlineLevel="0" collapsed="false">
      <c r="A42" s="46"/>
      <c r="B42" s="46"/>
      <c r="C42" s="46"/>
      <c r="D42" s="47"/>
      <c r="E42" s="47"/>
      <c r="F42" s="111" t="n">
        <f aca="false">E41</f>
        <v>1079.7</v>
      </c>
    </row>
    <row r="43" customFormat="false" ht="15.75" hidden="false" customHeight="false" outlineLevel="0" collapsed="false">
      <c r="A43" s="46"/>
      <c r="B43" s="46"/>
      <c r="C43" s="46"/>
      <c r="D43" s="47"/>
      <c r="E43" s="47"/>
      <c r="F43" s="47"/>
    </row>
    <row r="44" customFormat="false" ht="15.75" hidden="false" customHeight="false" outlineLevel="0" collapsed="false">
      <c r="A44" s="82" t="s">
        <v>228</v>
      </c>
      <c r="B44" s="152" t="s">
        <v>132</v>
      </c>
      <c r="C44" s="83"/>
      <c r="D44" s="83"/>
      <c r="E44" s="83"/>
      <c r="F44" s="84" t="n">
        <f aca="false">F10+F28+F33+F42</f>
        <v>5113.07582333333</v>
      </c>
    </row>
  </sheetData>
  <mergeCells count="1">
    <mergeCell ref="A3:F3"/>
  </mergeCells>
  <printOptions headings="false" gridLines="false" gridLinesSet="true" horizontalCentered="false" verticalCentered="false"/>
  <pageMargins left="0.511805555555555" right="0.511805555555555" top="0.607638888888889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2" activeCellId="0" sqref="G22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39.43"/>
    <col collapsed="false" customWidth="true" hidden="false" outlineLevel="0" max="2" min="2" style="179" width="21.29"/>
    <col collapsed="false" customWidth="true" hidden="false" outlineLevel="0" max="3" min="3" style="180" width="17.71"/>
  </cols>
  <sheetData>
    <row r="1" customFormat="false" ht="18.75" hidden="false" customHeight="false" outlineLevel="0" collapsed="false">
      <c r="A1" s="45" t="s">
        <v>229</v>
      </c>
      <c r="B1" s="45"/>
      <c r="C1" s="45"/>
    </row>
    <row r="2" customFormat="false" ht="15" hidden="false" customHeight="false" outlineLevel="0" collapsed="false">
      <c r="A2" s="181" t="s">
        <v>34</v>
      </c>
      <c r="B2" s="182" t="s">
        <v>230</v>
      </c>
      <c r="C2" s="183" t="s">
        <v>109</v>
      </c>
    </row>
    <row r="3" customFormat="false" ht="13.8" hidden="false" customHeight="false" outlineLevel="0" collapsed="false">
      <c r="A3" s="184" t="s">
        <v>231</v>
      </c>
      <c r="B3" s="185" t="n">
        <f aca="false">SUM(B4:B9)</f>
        <v>11369.7308588903</v>
      </c>
      <c r="C3" s="186" t="n">
        <f aca="false">IFERROR(B3/$B$18,0)</f>
        <v>0.551738668035517</v>
      </c>
    </row>
    <row r="4" customFormat="false" ht="13.8" hidden="false" customHeight="false" outlineLevel="0" collapsed="false">
      <c r="A4" s="187" t="s">
        <v>232</v>
      </c>
      <c r="B4" s="188" t="n">
        <f aca="false">'Mão de obra_motorista'!F17</f>
        <v>8978.57715747593</v>
      </c>
      <c r="C4" s="189" t="n">
        <f aca="false">IFERROR(B4/$B$18,0)</f>
        <v>0.43570320733198</v>
      </c>
    </row>
    <row r="5" customFormat="false" ht="13.8" hidden="false" customHeight="false" outlineLevel="0" collapsed="false">
      <c r="A5" s="187" t="s">
        <v>233</v>
      </c>
      <c r="B5" s="188" t="n">
        <f aca="false">'Mão de obra_motorista'!F38</f>
        <v>0</v>
      </c>
      <c r="C5" s="189" t="n">
        <f aca="false">IFERROR(B5/$B$18,0)</f>
        <v>0</v>
      </c>
    </row>
    <row r="6" customFormat="false" ht="13.8" hidden="false" customHeight="false" outlineLevel="0" collapsed="false">
      <c r="A6" s="187" t="s">
        <v>234</v>
      </c>
      <c r="B6" s="188" t="n">
        <f aca="false">'Mão de obra_auxiliar'!F59</f>
        <v>2391.1537014144</v>
      </c>
      <c r="C6" s="189" t="n">
        <f aca="false">IFERROR(B6/$B$18,0)</f>
        <v>0.116035460703539</v>
      </c>
    </row>
    <row r="7" customFormat="false" ht="15" hidden="false" customHeight="false" outlineLevel="0" collapsed="false">
      <c r="A7" s="187" t="s">
        <v>235</v>
      </c>
      <c r="B7" s="188" t="n">
        <f aca="false">'Mão de obra_motorista'!F46</f>
        <v>0</v>
      </c>
      <c r="C7" s="189" t="n">
        <f aca="false">IFERROR(B7/$B$18,0)</f>
        <v>0</v>
      </c>
    </row>
    <row r="8" customFormat="false" ht="15" hidden="false" customHeight="false" outlineLevel="0" collapsed="false">
      <c r="A8" s="187" t="s">
        <v>236</v>
      </c>
      <c r="B8" s="188" t="n">
        <f aca="false">'Mão de obra_motorista'!F51</f>
        <v>0</v>
      </c>
      <c r="C8" s="189" t="n">
        <f aca="false">IFERROR(B8/$B$18,0)</f>
        <v>0</v>
      </c>
    </row>
    <row r="9" customFormat="false" ht="15" hidden="false" customHeight="false" outlineLevel="0" collapsed="false">
      <c r="A9" s="187" t="s">
        <v>237</v>
      </c>
      <c r="B9" s="188" t="n">
        <f aca="false">'Mão de obra_motorista'!F56</f>
        <v>0</v>
      </c>
      <c r="C9" s="189" t="n">
        <f aca="false">IFERROR(B9/$B$18,0)</f>
        <v>0</v>
      </c>
    </row>
    <row r="10" customFormat="false" ht="15" hidden="false" customHeight="false" outlineLevel="0" collapsed="false">
      <c r="A10" s="184" t="s">
        <v>238</v>
      </c>
      <c r="B10" s="185" t="n">
        <f aca="false">SUM(B11:B16)</f>
        <v>7181.39144833333</v>
      </c>
      <c r="C10" s="190" t="n">
        <f aca="false">IFERROR(B10/$B$18,0)</f>
        <v>0.348491217735985</v>
      </c>
    </row>
    <row r="11" customFormat="false" ht="15" hidden="false" customHeight="false" outlineLevel="0" collapsed="false">
      <c r="A11" s="187" t="s">
        <v>239</v>
      </c>
      <c r="B11" s="188" t="n">
        <f aca="false">'Remuneração de capital'!F19</f>
        <v>722.5</v>
      </c>
      <c r="C11" s="189" t="n">
        <f aca="false">IFERROR(B11/$B$18,0)</f>
        <v>0.0350607408920292</v>
      </c>
    </row>
    <row r="12" customFormat="false" ht="15" hidden="false" customHeight="false" outlineLevel="0" collapsed="false">
      <c r="A12" s="187" t="s">
        <v>240</v>
      </c>
      <c r="B12" s="188" t="n">
        <f aca="false">'Remuneração de capital'!F32</f>
        <v>1345.815625</v>
      </c>
      <c r="C12" s="191" t="n">
        <f aca="false">IFERROR(B12/$B$18,0)</f>
        <v>0.0653083638983659</v>
      </c>
    </row>
    <row r="13" customFormat="false" ht="15" hidden="false" customHeight="false" outlineLevel="0" collapsed="false">
      <c r="A13" s="187" t="s">
        <v>241</v>
      </c>
      <c r="B13" s="188" t="n">
        <f aca="false">'Impostos e manutenção'!F10</f>
        <v>13.9530333333334</v>
      </c>
      <c r="C13" s="191" t="n">
        <f aca="false">IFERROR(B13/$B$18,0)</f>
        <v>0.000677098527830932</v>
      </c>
    </row>
    <row r="14" customFormat="false" ht="15" hidden="false" customHeight="false" outlineLevel="0" collapsed="false">
      <c r="A14" s="187" t="s">
        <v>242</v>
      </c>
      <c r="B14" s="188" t="n">
        <f aca="false">'Impostos e manutenção'!F28</f>
        <v>2691.92279</v>
      </c>
      <c r="C14" s="191" t="n">
        <f aca="false">IFERROR(B14/$B$18,0)</f>
        <v>0.13063087535161</v>
      </c>
    </row>
    <row r="15" customFormat="false" ht="13.8" hidden="false" customHeight="false" outlineLevel="0" collapsed="false">
      <c r="A15" s="187" t="s">
        <v>243</v>
      </c>
      <c r="B15" s="188" t="n">
        <f aca="false">'Impostos e manutenção'!F33</f>
        <v>1327.5</v>
      </c>
      <c r="C15" s="191" t="n">
        <f aca="false">IFERROR(B15/$B$18,0)</f>
        <v>0.0644195619850087</v>
      </c>
    </row>
    <row r="16" customFormat="false" ht="15" hidden="false" customHeight="false" outlineLevel="0" collapsed="false">
      <c r="A16" s="187" t="s">
        <v>244</v>
      </c>
      <c r="B16" s="188" t="n">
        <f aca="false">'Impostos e manutenção'!F42</f>
        <v>1079.7</v>
      </c>
      <c r="C16" s="191" t="n">
        <f aca="false">IFERROR(B16/$B$18,0)</f>
        <v>0.0523945770811404</v>
      </c>
    </row>
    <row r="17" customFormat="false" ht="15" hidden="false" customHeight="false" outlineLevel="0" collapsed="false">
      <c r="A17" s="184" t="s">
        <v>245</v>
      </c>
      <c r="B17" s="185" t="n">
        <f aca="false">BDI!F22</f>
        <v>2055.97216990007</v>
      </c>
      <c r="C17" s="186" t="n">
        <f aca="false">IFERROR(B17/$B$18,0)</f>
        <v>0.0997701142284975</v>
      </c>
    </row>
    <row r="18" customFormat="false" ht="15.75" hidden="false" customHeight="false" outlineLevel="0" collapsed="false">
      <c r="A18" s="192" t="s">
        <v>246</v>
      </c>
      <c r="B18" s="193" t="n">
        <f aca="false">SUM(B3+B10+B17)</f>
        <v>20607.0944771237</v>
      </c>
      <c r="C18" s="194" t="n">
        <f aca="false">C3+C10+C17</f>
        <v>1</v>
      </c>
    </row>
    <row r="21" customFormat="false" ht="13.8" hidden="false" customHeight="false" outlineLevel="0" collapsed="false">
      <c r="A21" s="195" t="s">
        <v>247</v>
      </c>
      <c r="B21" s="196" t="s">
        <v>248</v>
      </c>
    </row>
    <row r="22" customFormat="false" ht="15" hidden="false" customHeight="false" outlineLevel="0" collapsed="false">
      <c r="A22" s="195" t="s">
        <v>249</v>
      </c>
      <c r="C22" s="197" t="n">
        <f aca="false">B18/B21</f>
        <v>6.98545575495719</v>
      </c>
    </row>
  </sheetData>
  <mergeCells count="1">
    <mergeCell ref="A1:C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3:H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1" activeCellId="0" sqref="I11"/>
    </sheetView>
  </sheetViews>
  <sheetFormatPr defaultColWidth="11.640625" defaultRowHeight="13.8" zeroHeight="false" outlineLevelRow="0" outlineLevelCol="0"/>
  <cols>
    <col collapsed="false" customWidth="true" hidden="false" outlineLevel="0" max="1" min="1" style="0" width="16.26"/>
    <col collapsed="false" customWidth="true" hidden="false" outlineLevel="0" max="2" min="2" style="0" width="17.4"/>
    <col collapsed="false" customWidth="true" hidden="false" outlineLevel="0" max="6" min="6" style="0" width="42.93"/>
  </cols>
  <sheetData>
    <row r="3" customFormat="false" ht="13.8" hidden="false" customHeight="false" outlineLevel="0" collapsed="false">
      <c r="C3" s="198" t="s">
        <v>250</v>
      </c>
      <c r="D3" s="93"/>
      <c r="E3" s="93"/>
    </row>
    <row r="4" customFormat="false" ht="13.8" hidden="false" customHeight="false" outlineLevel="0" collapsed="false">
      <c r="A4" s="199" t="s">
        <v>251</v>
      </c>
      <c r="B4" s="200" t="s">
        <v>252</v>
      </c>
      <c r="C4" s="200" t="n">
        <v>4.2</v>
      </c>
      <c r="D4" s="201" t="n">
        <v>48.51</v>
      </c>
      <c r="E4" s="201" t="n">
        <f aca="false">D4*C4</f>
        <v>203.742</v>
      </c>
      <c r="F4" s="200" t="s">
        <v>253</v>
      </c>
    </row>
    <row r="5" customFormat="false" ht="13.8" hidden="false" customHeight="false" outlineLevel="0" collapsed="false">
      <c r="A5" s="199" t="s">
        <v>251</v>
      </c>
      <c r="B5" s="200" t="s">
        <v>254</v>
      </c>
      <c r="C5" s="200" t="n">
        <v>8</v>
      </c>
      <c r="D5" s="201" t="n">
        <v>52.27</v>
      </c>
      <c r="E5" s="201" t="n">
        <f aca="false">D5*C5</f>
        <v>418.16</v>
      </c>
      <c r="F5" s="200" t="s">
        <v>255</v>
      </c>
    </row>
    <row r="6" customFormat="false" ht="31.3" hidden="false" customHeight="true" outlineLevel="0" collapsed="false">
      <c r="A6" s="199" t="s">
        <v>251</v>
      </c>
      <c r="B6" s="200" t="s">
        <v>256</v>
      </c>
      <c r="C6" s="200" t="n">
        <v>1.5</v>
      </c>
      <c r="D6" s="201" t="n">
        <v>54.32</v>
      </c>
      <c r="E6" s="201" t="n">
        <f aca="false">D6*C6</f>
        <v>81.48</v>
      </c>
      <c r="F6" s="202" t="s">
        <v>257</v>
      </c>
      <c r="G6" s="203"/>
      <c r="H6" s="203"/>
    </row>
    <row r="7" customFormat="false" ht="13.8" hidden="false" customHeight="false" outlineLevel="0" collapsed="false">
      <c r="A7" s="199" t="s">
        <v>258</v>
      </c>
      <c r="B7" s="200" t="s">
        <v>259</v>
      </c>
      <c r="C7" s="200" t="n">
        <v>1</v>
      </c>
      <c r="D7" s="201" t="n">
        <v>44.9</v>
      </c>
      <c r="E7" s="201" t="n">
        <f aca="false">D7*C7</f>
        <v>44.9</v>
      </c>
      <c r="F7" s="200" t="s">
        <v>260</v>
      </c>
    </row>
    <row r="8" customFormat="false" ht="13.8" hidden="false" customHeight="false" outlineLevel="0" collapsed="false">
      <c r="A8" s="199"/>
      <c r="B8" s="200"/>
      <c r="C8" s="204"/>
      <c r="D8" s="201"/>
      <c r="E8" s="201"/>
      <c r="F8" s="200"/>
    </row>
    <row r="9" customFormat="false" ht="13.8" hidden="false" customHeight="false" outlineLevel="0" collapsed="false">
      <c r="D9" s="93"/>
      <c r="E9" s="93"/>
    </row>
    <row r="10" customFormat="false" ht="13.8" hidden="false" customHeight="false" outlineLevel="0" collapsed="false">
      <c r="D10" s="93"/>
      <c r="E10" s="93"/>
    </row>
  </sheetData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2515</TotalTime>
  <Application>LibreOffice/7.0.6.2$Windows_X86_64 LibreOffice_project/144abb84a525d8e30c9dbbefa69cbbf2d8d4ae3b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2020-01-13T18:06:35Z</dcterms:created>
  <dc:creator>Mara</dc:creator>
  <dc:description/>
  <dc:language>pt-BR</dc:language>
  <cp:lastModifiedBy/>
  <cp:lastPrinted>2023-11-17T10:29:59Z</cp:lastPrinted>
  <dcterms:modified xsi:type="dcterms:W3CDTF">2024-04-09T15:30:22Z</dcterms:modified>
  <cp:revision>98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