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omments4.xml" ContentType="application/vnd.openxmlformats-officedocument.spreadsheetml.comment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xl/drawings/vmlDrawing2.vml" ContentType="application/vnd.openxmlformats-officedocument.vmlDrawing"/>
  <Override PartName="/xl/drawings/vmlDrawing3.vml" ContentType="application/vnd.openxmlformats-officedocument.vmlDrawing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7.xml" ContentType="application/vnd.openxmlformats-officedocument.spreadsheetml.comment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. Coleta Domiciliar" sheetId="1" state="visible" r:id="rId3"/>
    <sheet name="2.Encargos Sociais" sheetId="2" state="visible" r:id="rId4"/>
    <sheet name="3.CAGED" sheetId="3" state="visible" r:id="rId5"/>
    <sheet name="4.BDI" sheetId="4" state="visible" r:id="rId6"/>
    <sheet name="5. Depreciação" sheetId="5" state="visible" r:id="rId7"/>
    <sheet name="6.Remuneração de capital" sheetId="6" state="visible" r:id="rId8"/>
    <sheet name="7. Dimensionamento" sheetId="7" state="visible" r:id="rId9"/>
  </sheets>
  <definedNames>
    <definedName function="false" hidden="false" localSheetId="0" name="_xlnm.Print_Area" vbProcedure="false">'1. Coleta Domiciliar'!$A$1:$F$130</definedName>
    <definedName function="false" hidden="false" localSheetId="0" name="_xlnm.Print_Titles" vbProcedure="false">'1. Coleta Domiciliar'!$1:$6</definedName>
    <definedName function="false" hidden="false" localSheetId="1" name="_xlnm.Print_Area" vbProcedure="false">'2.Encargos Sociais'!$A$1:$C$36</definedName>
    <definedName function="false" hidden="false" name="AbaDeprec" vbProcedure="false">'5. Depreciação'!$A$1</definedName>
    <definedName function="false" hidden="false" name="AbaRemun" vbProcedure="false">'6.Remuneração de capital'!$A$1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A11" authorId="0">
      <text>
        <r>
          <rPr>
            <sz val="10"/>
            <rFont val="Arial"/>
            <family val="2"/>
          </rPr>
          <t xml:space="preserve">Qualquer custo previsto no edital e não contemplado nesta planilha modelo deverá ser devidamente incluído
</t>
        </r>
      </text>
    </comment>
    <comment ref="B35" authorId="0">
      <text>
        <r>
          <rPr>
            <sz val="10"/>
            <rFont val="Arial"/>
            <family val="2"/>
          </rPr>
          <t xml:space="preserve">Informar o fator de utilização das equipes de coleta. 
Por exemplo:
Equipes com utilização integral = 100%
Equipes com utilização parcial = n° horas trabalhadas por semana /44 horas
</t>
        </r>
      </text>
    </comment>
    <comment ref="C44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46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51" authorId="0">
      <text>
        <r>
          <rPr>
            <sz val="10"/>
            <rFont val="Arial"/>
            <family val="2"/>
          </rPr>
          <t xml:space="preserve">Informar o número médio de dias trabalhados por mês</t>
        </r>
      </text>
    </comment>
    <comment ref="C67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68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69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70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72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73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74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75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96" authorId="0">
      <text>
        <r>
          <rPr>
            <sz val="10"/>
            <rFont val="Arial"/>
            <family val="2"/>
          </rPr>
          <t xml:space="preserve">Informar a vida útil estimada para o caminhão, em anos</t>
        </r>
      </text>
    </comment>
    <comment ref="C97" authorId="0">
      <text>
        <r>
          <rPr>
            <sz val="10"/>
            <rFont val="Arial"/>
            <family val="2"/>
          </rPr>
          <t xml:space="preserve">Na elaboração do orçamento-base da licitação, informar 0 (zero). Na proposta da licitante, informar a idade do veículo proposto.</t>
        </r>
      </text>
    </comment>
    <comment ref="C98" authorId="0">
      <text>
        <r>
          <rPr>
            <sz val="10"/>
            <rFont val="Arial"/>
            <family val="2"/>
          </rPr>
          <t xml:space="preserve">Informar o valor da depreciação do caminhão, adotando o valor sugerido pelo TCE ou outro valor estimado 
</t>
        </r>
      </text>
    </comment>
    <comment ref="C101" authorId="0">
      <text>
        <r>
          <rPr>
            <sz val="10"/>
            <rFont val="Arial"/>
            <family val="2"/>
          </rPr>
          <t xml:space="preserve">Informar a quantidade de caminhões compactadores do respectivo modelo</t>
        </r>
      </text>
    </comment>
    <comment ref="C107" authorId="0">
      <text>
        <r>
          <rPr>
            <sz val="10"/>
            <rFont val="Arial"/>
            <family val="2"/>
          </rPr>
          <t xml:space="preserve">Informar a taxa de juros anual para remuneração do capital. Recomenda-se o uso da Taxa SELIC
</t>
        </r>
      </text>
    </comment>
    <comment ref="C122" authorId="0">
      <text>
        <r>
          <rPr>
            <sz val="10"/>
            <rFont val="Arial"/>
            <family val="2"/>
          </rPr>
          <t xml:space="preserve">Preencher a aba 4.BDI</t>
        </r>
      </text>
    </comment>
    <comment ref="D41" authorId="0">
      <text>
        <r>
          <rPr>
            <sz val="10"/>
            <rFont val="Arial"/>
            <family val="2"/>
          </rPr>
          <t xml:space="preserve">Informar o Piso da categoria fixado na Convenção Coletiva</t>
        </r>
      </text>
    </comment>
    <comment ref="D50" authorId="0">
      <text>
        <r>
          <rPr>
            <sz val="10"/>
            <rFont val="Arial"/>
            <family val="2"/>
          </rPr>
          <t xml:space="preserve">Informar o valor unitário do VT no município</t>
        </r>
      </text>
    </comment>
    <comment ref="D52" authorId="0">
      <text>
        <r>
          <rPr>
            <sz val="10"/>
            <rFont val="Arial"/>
            <family val="2"/>
          </rPr>
          <t xml:space="preserve">Valor Unitário considerando o desconto legal de até 6% do salário</t>
        </r>
      </text>
    </comment>
    <comment ref="D57" authorId="0">
      <text>
        <r>
          <rPr>
            <sz val="10"/>
            <rFont val="Arial"/>
            <family val="2"/>
          </rPr>
          <t xml:space="preserve">Informar o valor unitário diário do vale refeição, considerando o desconto aplicável ao funcionário, conforme Convenção Coletiva da categoria.</t>
        </r>
      </text>
    </comment>
    <comment ref="D67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68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69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70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73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74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75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</comment>
    <comment ref="D76" authorId="0">
      <text>
        <r>
          <rPr>
            <sz val="10"/>
            <rFont val="Arial"/>
            <family val="2"/>
          </rPr>
          <t xml:space="preserve">Informar o valor mensal de higienização de uniforme para 1 funcionário</t>
        </r>
      </text>
    </comment>
    <comment ref="D88" authorId="0">
      <text>
        <r>
          <rPr>
            <sz val="10"/>
            <rFont val="Arial"/>
            <family val="2"/>
          </rPr>
          <t xml:space="preserve">Informar o preço unitário do chassis do caminhão de coleta</t>
        </r>
      </text>
    </comment>
    <comment ref="D95" authorId="0">
      <text>
        <r>
          <rPr>
            <sz val="10"/>
            <rFont val="Arial"/>
            <family val="2"/>
          </rPr>
          <t xml:space="preserve">Informar o preço unitário do chassis do caminhão de coleta</t>
        </r>
      </text>
    </comment>
  </commentList>
</comments>
</file>

<file path=xl/comments4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C10" authorId="0">
      <text>
        <r>
          <rPr>
            <sz val="10"/>
            <rFont val="Arial"/>
            <family val="2"/>
          </rPr>
          <t xml:space="preserve">Informar o % de Administração Central estimado
</t>
        </r>
      </text>
    </comment>
    <comment ref="C11" authorId="0">
      <text>
        <r>
          <rPr>
            <sz val="10"/>
            <rFont val="Arial"/>
            <family val="2"/>
          </rPr>
          <t xml:space="preserve">Informar o % de Seguros, Riscos e Garantia estimado
</t>
        </r>
      </text>
    </comment>
    <comment ref="C12" authorId="0">
      <text>
        <r>
          <rPr>
            <sz val="10"/>
            <rFont val="Arial"/>
            <family val="2"/>
          </rPr>
          <t xml:space="preserve">Informar o % de Lucro estimado
</t>
        </r>
      </text>
    </comment>
    <comment ref="C14" authorId="0">
      <text>
        <r>
          <rPr>
            <sz val="10"/>
            <rFont val="Arial"/>
            <family val="2"/>
          </rPr>
          <t xml:space="preserve">Informar o percentual de ISS, de acordo com a legislação tributária do município onde serão prestados os serviços. De 2% até o limite de 5%.
</t>
        </r>
      </text>
    </comment>
    <comment ref="C15" authorId="0">
      <text>
        <r>
          <rPr>
            <sz val="10"/>
            <rFont val="Arial"/>
            <family val="2"/>
          </rPr>
          <t xml:space="preserve">Informar o valor estimado de PIS/COFINS. 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  <comment ref="E13" authorId="0">
      <text>
        <r>
          <rPr>
            <sz val="10"/>
            <rFont val="Arial"/>
            <family val="2"/>
          </rPr>
          <t xml:space="preserve">Informar o valor anual da taxa financeira, em percentual. Admite-se utilizar a SELIC</t>
        </r>
      </text>
    </comment>
    <comment ref="E14" authorId="0">
      <text>
        <r>
          <rPr>
            <sz val="10"/>
            <rFont val="Arial"/>
            <family val="2"/>
          </rPr>
          <t xml:space="preserve">Informar a média de dias úteis entre data de pagamento prevista no contrato e a data final do período de adimplemento da parcela
</t>
        </r>
      </text>
    </comment>
  </commentList>
</comments>
</file>

<file path=xl/comments7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C9" authorId="0">
      <text>
        <r>
          <rPr>
            <sz val="10"/>
            <rFont val="Arial"/>
            <family val="2"/>
          </rPr>
          <t xml:space="preserve">Informar a população do município a ser atendida</t>
        </r>
      </text>
    </comment>
    <comment ref="C10" authorId="0">
      <text>
        <r>
          <rPr>
            <sz val="10"/>
            <rFont val="Arial"/>
            <family val="2"/>
          </rPr>
          <t xml:space="preserve">Caso o município possua informações de pesagem, ajustar com o valor da geração média per capita realizada nos últimos 12 meses</t>
        </r>
      </text>
    </comment>
    <comment ref="C11" authorId="0">
      <text>
        <r>
          <rPr>
            <sz val="10"/>
            <rFont val="Arial"/>
            <family val="2"/>
          </rPr>
          <t xml:space="preserve">retorna a geração diária a ser recolhida</t>
        </r>
      </text>
    </comment>
    <comment ref="C13" authorId="0">
      <text>
        <r>
          <rPr>
            <sz val="10"/>
            <rFont val="Arial"/>
            <family val="2"/>
          </rPr>
          <t xml:space="preserve">Informe o número de dias de coleta por semana</t>
        </r>
      </text>
    </comment>
    <comment ref="C16" authorId="0">
      <text>
        <r>
          <rPr>
            <sz val="10"/>
            <rFont val="Arial"/>
            <family val="2"/>
          </rPr>
          <t xml:space="preserve">Informar 1 para caminhão toco; Informar 2 para caminhão truck </t>
        </r>
      </text>
    </comment>
    <comment ref="C17" authorId="0">
      <text>
        <r>
          <rPr>
            <sz val="10"/>
            <rFont val="Arial"/>
            <family val="2"/>
          </rPr>
          <t xml:space="preserve">Informar a capacidade do compactador em m³</t>
        </r>
      </text>
    </comment>
    <comment ref="C20" authorId="0">
      <text>
        <r>
          <rPr>
            <sz val="10"/>
            <rFont val="Arial"/>
            <family val="2"/>
          </rPr>
          <t xml:space="preserve">Informar o número de percursos de coleta (cargas) que cada caminhão realiza por dia, considerando todos os turnos de trabalho. </t>
        </r>
      </text>
    </comment>
  </commentList>
</comments>
</file>

<file path=xl/sharedStrings.xml><?xml version="1.0" encoding="utf-8"?>
<sst xmlns="http://schemas.openxmlformats.org/spreadsheetml/2006/main" count="318" uniqueCount="237">
  <si>
    <t xml:space="preserve">Orientações para preenchimento:</t>
  </si>
  <si>
    <t xml:space="preserve">1. Esta planilha é somente um modelo-base. Qualquer custo previsto no edital e não contemplado nesta planilha deverá ser devidamente incluído</t>
  </si>
  <si>
    <t xml:space="preserve">2. Preencher somente células em amarelo</t>
  </si>
  <si>
    <t xml:space="preserve">3. As células azuis deverão ter seus valores preenchidos em outra planilha do arquivo.</t>
  </si>
  <si>
    <t xml:space="preserve">1. Estação de Transbordo</t>
  </si>
  <si>
    <t xml:space="preserve">Planilha de Composição de Custos</t>
  </si>
  <si>
    <t xml:space="preserve">Orçamento Sintético</t>
  </si>
  <si>
    <t xml:space="preserve">Descrição do Item</t>
  </si>
  <si>
    <t xml:space="preserve">Custo (R$/mês)</t>
  </si>
  <si>
    <t xml:space="preserve">%</t>
  </si>
  <si>
    <t xml:space="preserve">PREÇO TOTAL MENSAL COM A COLETA</t>
  </si>
  <si>
    <t xml:space="preserve">Quantitativos</t>
  </si>
  <si>
    <t xml:space="preserve">Mão-de-obra</t>
  </si>
  <si>
    <t xml:space="preserve">Quantidade</t>
  </si>
  <si>
    <t xml:space="preserve">Total de mão-de-obra (postos de trabalho)</t>
  </si>
  <si>
    <t xml:space="preserve">Veículos e Equipamentos</t>
  </si>
  <si>
    <t xml:space="preserve">Fator de utilização (FU)</t>
  </si>
  <si>
    <t xml:space="preserve">1. Mão-de-obra</t>
  </si>
  <si>
    <t xml:space="preserve">1.1. Operador de pá carregadeira</t>
  </si>
  <si>
    <t xml:space="preserve">Discriminação</t>
  </si>
  <si>
    <t xml:space="preserve">Unidade</t>
  </si>
  <si>
    <t xml:space="preserve">Custo unitário</t>
  </si>
  <si>
    <t xml:space="preserve">Subtotal</t>
  </si>
  <si>
    <t xml:space="preserve">Total (R$)</t>
  </si>
  <si>
    <t xml:space="preserve">Piso da categoria</t>
  </si>
  <si>
    <t xml:space="preserve">mês</t>
  </si>
  <si>
    <t xml:space="preserve">Adicional de Insalubridade</t>
  </si>
  <si>
    <t xml:space="preserve">Soma</t>
  </si>
  <si>
    <t xml:space="preserve">Encargos Sociais</t>
  </si>
  <si>
    <t xml:space="preserve">Total por Coletor</t>
  </si>
  <si>
    <t xml:space="preserve">Total do Efetivo</t>
  </si>
  <si>
    <t xml:space="preserve">homem</t>
  </si>
  <si>
    <t xml:space="preserve">Fator de utilização</t>
  </si>
  <si>
    <t xml:space="preserve">1.2. Vale Transporte</t>
  </si>
  <si>
    <r>
      <rPr>
        <b val="true"/>
        <sz val="9"/>
        <rFont val="Arial"/>
        <family val="2"/>
        <charset val="1"/>
      </rPr>
      <t xml:space="preserve">Total </t>
    </r>
    <r>
      <rPr>
        <b val="true"/>
        <u val="single"/>
        <sz val="9"/>
        <rFont val="Arial"/>
        <family val="2"/>
        <charset val="1"/>
      </rPr>
      <t xml:space="preserve">(R$)</t>
    </r>
  </si>
  <si>
    <t xml:space="preserve">Vale Transporte</t>
  </si>
  <si>
    <t xml:space="preserve">R$</t>
  </si>
  <si>
    <t xml:space="preserve">Dias Trabalhados por mês</t>
  </si>
  <si>
    <t xml:space="preserve">dia</t>
  </si>
  <si>
    <t xml:space="preserve">Operador</t>
  </si>
  <si>
    <t xml:space="preserve">vale</t>
  </si>
  <si>
    <t xml:space="preserve">1.3. Vale-refeição (diário)</t>
  </si>
  <si>
    <t xml:space="preserve">unidade</t>
  </si>
  <si>
    <t xml:space="preserve">Custo Mensal com Mão-de-obra (R$/mês)</t>
  </si>
  <si>
    <t xml:space="preserve">2. Uniformes e Equipamentos de Proteção Individual</t>
  </si>
  <si>
    <t xml:space="preserve">2.1. Uniformes e EPIs para Operador de Pá Carregadeira</t>
  </si>
  <si>
    <t xml:space="preserve">Durabilidade (meses)</t>
  </si>
  <si>
    <t xml:space="preserve">Jaqueta com reflexivo (NBR 15.292)</t>
  </si>
  <si>
    <t xml:space="preserve">Calça</t>
  </si>
  <si>
    <t xml:space="preserve">Camiseta</t>
  </si>
  <si>
    <t xml:space="preserve">Boné árabe</t>
  </si>
  <si>
    <t xml:space="preserve">Botina de segurança c/ palmilha aço</t>
  </si>
  <si>
    <t xml:space="preserve">par</t>
  </si>
  <si>
    <t xml:space="preserve">Protetor auricular do tipo concha</t>
  </si>
  <si>
    <t xml:space="preserve">Capa de chuva amarela com reflexivo</t>
  </si>
  <si>
    <t xml:space="preserve">Colete reflexivo</t>
  </si>
  <si>
    <t xml:space="preserve">Protetor solar FPS 30</t>
  </si>
  <si>
    <t xml:space="preserve">frasco 120g</t>
  </si>
  <si>
    <t xml:space="preserve">Higienização de uniformes e EPIs</t>
  </si>
  <si>
    <t xml:space="preserve">R$ mensal</t>
  </si>
  <si>
    <t xml:space="preserve">Custo Mensal com Uniformes e EPIs (R$/mês)</t>
  </si>
  <si>
    <t xml:space="preserve">3. Equipamentos e Transbordo</t>
  </si>
  <si>
    <t xml:space="preserve">3.1 Retroescavadeira sobre rodas, tração 4x4, potência líq. 88 hp, caçamba carreg. Cap. Mín. 1 m3 - chp diurno</t>
  </si>
  <si>
    <t xml:space="preserve">3.1.1 Hora/ máquina</t>
  </si>
  <si>
    <t xml:space="preserve">Custo hora máquina (SINAPI)</t>
  </si>
  <si>
    <t xml:space="preserve">3.2 Transbordo</t>
  </si>
  <si>
    <t xml:space="preserve">3.2.1 Depreciação</t>
  </si>
  <si>
    <t xml:space="preserve">Custo capital transbordo</t>
  </si>
  <si>
    <t xml:space="preserve">Vida útil</t>
  </si>
  <si>
    <t xml:space="preserve">anos</t>
  </si>
  <si>
    <t xml:space="preserve">Idade</t>
  </si>
  <si>
    <t xml:space="preserve">Depreciação</t>
  </si>
  <si>
    <t xml:space="preserve">Depreciação mensal transbordo</t>
  </si>
  <si>
    <t xml:space="preserve">Total transbordo</t>
  </si>
  <si>
    <t xml:space="preserve">Total</t>
  </si>
  <si>
    <t xml:space="preserve">3.2.1 Remuneração do Capital</t>
  </si>
  <si>
    <t xml:space="preserve">Custo estação de transbordo</t>
  </si>
  <si>
    <t xml:space="preserve">Taxa de juros anual nominal</t>
  </si>
  <si>
    <t xml:space="preserve">Valor estação proposta</t>
  </si>
  <si>
    <t xml:space="preserve">Investimento médio total</t>
  </si>
  <si>
    <t xml:space="preserve">Remuneração mensal de capital</t>
  </si>
  <si>
    <t xml:space="preserve">Custo Mensal com Equipamentos e Transbordo (R$/mês)</t>
  </si>
  <si>
    <t xml:space="preserve">CUSTO TOTAL MENSAL COM DESPESAS OPERACIONAIS (R$/mês)</t>
  </si>
  <si>
    <t xml:space="preserve">3. Benefícios e Despesas Indiretas - BDI</t>
  </si>
  <si>
    <t xml:space="preserve">Benefícios e despesas indiretas</t>
  </si>
  <si>
    <t xml:space="preserve">CUSTO MENSAL COM BDI (R$/mês)</t>
  </si>
  <si>
    <t xml:space="preserve">PREÇO MENSAL TOTAL (R$/mês)</t>
  </si>
  <si>
    <t xml:space="preserve">1. Preencha previamente os dados de entrada na planilha 3.CAGED</t>
  </si>
  <si>
    <t xml:space="preserve">2. Composição dos Encargos Sociais </t>
  </si>
  <si>
    <t xml:space="preserve">Código</t>
  </si>
  <si>
    <t xml:space="preserve">Descrição</t>
  </si>
  <si>
    <t xml:space="preserve">Valor</t>
  </si>
  <si>
    <t xml:space="preserve">A1</t>
  </si>
  <si>
    <t xml:space="preserve">INSS</t>
  </si>
  <si>
    <t xml:space="preserve">A2</t>
  </si>
  <si>
    <t xml:space="preserve">SESI</t>
  </si>
  <si>
    <t xml:space="preserve">A3</t>
  </si>
  <si>
    <t xml:space="preserve">SENAI</t>
  </si>
  <si>
    <t xml:space="preserve">A4</t>
  </si>
  <si>
    <t xml:space="preserve">INCRA</t>
  </si>
  <si>
    <t xml:space="preserve">A5</t>
  </si>
  <si>
    <t xml:space="preserve">SEBRAE</t>
  </si>
  <si>
    <t xml:space="preserve">A6</t>
  </si>
  <si>
    <t xml:space="preserve">Salário educação</t>
  </si>
  <si>
    <t xml:space="preserve">A7</t>
  </si>
  <si>
    <t xml:space="preserve">Seguro contra acidentes de trabalho</t>
  </si>
  <si>
    <t xml:space="preserve">A8</t>
  </si>
  <si>
    <t xml:space="preserve">FGTS</t>
  </si>
  <si>
    <t xml:space="preserve">A</t>
  </si>
  <si>
    <t xml:space="preserve">SOMA GRUPO A</t>
  </si>
  <si>
    <t xml:space="preserve">B1</t>
  </si>
  <si>
    <t xml:space="preserve">Férias gozadas</t>
  </si>
  <si>
    <t xml:space="preserve">B2</t>
  </si>
  <si>
    <t xml:space="preserve">13º salário</t>
  </si>
  <si>
    <t xml:space="preserve">B3</t>
  </si>
  <si>
    <t xml:space="preserve">Licença Paternidade</t>
  </si>
  <si>
    <t xml:space="preserve">B4</t>
  </si>
  <si>
    <t xml:space="preserve">Faltas justificadas</t>
  </si>
  <si>
    <t xml:space="preserve">B5</t>
  </si>
  <si>
    <t xml:space="preserve">Auxilio acidente de trabalho</t>
  </si>
  <si>
    <t xml:space="preserve">B6</t>
  </si>
  <si>
    <t xml:space="preserve">Auxilio doença</t>
  </si>
  <si>
    <t xml:space="preserve">B</t>
  </si>
  <si>
    <t xml:space="preserve">SOMA GRUPO B</t>
  </si>
  <si>
    <t xml:space="preserve">C1</t>
  </si>
  <si>
    <t xml:space="preserve">Aviso prévio indenizado</t>
  </si>
  <si>
    <t xml:space="preserve">C2</t>
  </si>
  <si>
    <t xml:space="preserve">Férias indenizadas </t>
  </si>
  <si>
    <t xml:space="preserve">C3</t>
  </si>
  <si>
    <t xml:space="preserve">Férias indenizadas s/ aviso previo inden.</t>
  </si>
  <si>
    <t xml:space="preserve">C4</t>
  </si>
  <si>
    <t xml:space="preserve">Depósito rescisão sem justa causa</t>
  </si>
  <si>
    <t xml:space="preserve">C5</t>
  </si>
  <si>
    <t xml:space="preserve">Indenização adicional</t>
  </si>
  <si>
    <t xml:space="preserve">C</t>
  </si>
  <si>
    <t xml:space="preserve">SOMA GRUPO C</t>
  </si>
  <si>
    <t xml:space="preserve">D1</t>
  </si>
  <si>
    <t xml:space="preserve">Reincidência de Grupo A sobre Grupo B</t>
  </si>
  <si>
    <t xml:space="preserve">D2</t>
  </si>
  <si>
    <t xml:space="preserve">Reincidência de Grupo A sobre aviso prévio indenizado</t>
  </si>
  <si>
    <t xml:space="preserve">D</t>
  </si>
  <si>
    <t xml:space="preserve">SOMA GRUPO D</t>
  </si>
  <si>
    <t xml:space="preserve">SOMA (A+B+C+D)</t>
  </si>
  <si>
    <t xml:space="preserve">CÁLCULO DAS VERBAS INDENIZATÓRIAS DOS EMPREGADOS NO SETOR DE COLETA DE RSU</t>
  </si>
  <si>
    <t xml:space="preserve">Para preencher esta planilha siga os passos 1 a 5:</t>
  </si>
  <si>
    <t xml:space="preserve">1. Acesse o Portal do CAGED no link http://bi.mte.gov.br/cagedestabelecimento/pages/consulta.xhtml </t>
  </si>
  <si>
    <t xml:space="preserve">2. Na Especificação da Consulta, selecione "Demonstrativo por período" e informe as competências relativas ao período Inicial e Final (últimos 12 meses)</t>
  </si>
  <si>
    <t xml:space="preserve">3. Nível Geográfico: selecione "Unidade da Federação" e marque a opção "Rio Grande do Sul"</t>
  </si>
  <si>
    <t xml:space="preserve">4. Nível Setorial: selecione "Classe de atividade econômica segundo a classificação CNAE – versão 2.0 (669 categorias)" e marque a opção "38114 – Coleta de Resíduos Não-Perigosos"</t>
  </si>
  <si>
    <t xml:space="preserve">5. Clique em Gerar Relatório</t>
  </si>
  <si>
    <t xml:space="preserve">6. Preencha as células em amarelo</t>
  </si>
  <si>
    <t xml:space="preserve">3. CAGED</t>
  </si>
  <si>
    <t xml:space="preserve">Rio Grande do Sul  - Coleta de Resíduos Não-Perigosos - CNAE 38114</t>
  </si>
  <si>
    <t xml:space="preserve">Admissões</t>
  </si>
  <si>
    <t xml:space="preserve">Desligamentos</t>
  </si>
  <si>
    <t xml:space="preserve">Dispensados com justa causa</t>
  </si>
  <si>
    <t xml:space="preserve">Dispensados sem justa causa</t>
  </si>
  <si>
    <t xml:space="preserve">Espontâneos</t>
  </si>
  <si>
    <t xml:space="preserve">Fim de contrato por prazo determinado</t>
  </si>
  <si>
    <t xml:space="preserve">Término de contrato</t>
  </si>
  <si>
    <t xml:space="preserve">Aposentados</t>
  </si>
  <si>
    <t xml:space="preserve">Mortos</t>
  </si>
  <si>
    <t xml:space="preserve">Transferência de saída</t>
  </si>
  <si>
    <t xml:space="preserve"> </t>
  </si>
  <si>
    <t xml:space="preserve">Indicadores</t>
  </si>
  <si>
    <t xml:space="preserve">Estoque recuperado início do Período 01-09-2016</t>
  </si>
  <si>
    <t xml:space="preserve">Estoque recuperado final do Período 31-08-2017</t>
  </si>
  <si>
    <t xml:space="preserve">Variação Emprego Absoluta de 01-09-2016 a 31-08-2017</t>
  </si>
  <si>
    <t xml:space="preserve">Rotatividade</t>
  </si>
  <si>
    <t xml:space="preserve">Demitidos s/ Justa Causa em relação ao Estoque Médio</t>
  </si>
  <si>
    <t xml:space="preserve">Dias ano</t>
  </si>
  <si>
    <t xml:space="preserve">1/3 de férias (dias)</t>
  </si>
  <si>
    <t xml:space="preserve">Férias (dias)</t>
  </si>
  <si>
    <t xml:space="preserve">13º Salário (dias)</t>
  </si>
  <si>
    <t xml:space="preserve">Estoque Médio</t>
  </si>
  <si>
    <t xml:space="preserve">Multa FGTS</t>
  </si>
  <si>
    <t xml:space="preserve">Fração de tempo para gozo férias</t>
  </si>
  <si>
    <t xml:space="preserve">Dias de Aviso prévio</t>
  </si>
  <si>
    <t xml:space="preserve">Rotatividade temporal (meses)</t>
  </si>
  <si>
    <t xml:space="preserve">1. Esta planilha é somente um modelo-base e deve ser ajustada conforme cada caso concreto.</t>
  </si>
  <si>
    <t xml:space="preserve">4. Composição do BDI - Benefícios e Despesas Indiretas</t>
  </si>
  <si>
    <t xml:space="preserve">Referência estudo TCE</t>
  </si>
  <si>
    <t xml:space="preserve">1° Quartil</t>
  </si>
  <si>
    <t xml:space="preserve">Médio</t>
  </si>
  <si>
    <t xml:space="preserve">3° Quartil</t>
  </si>
  <si>
    <t xml:space="preserve">Administração Central</t>
  </si>
  <si>
    <t xml:space="preserve">AC</t>
  </si>
  <si>
    <t xml:space="preserve">Seguros/Riscos/Garantias</t>
  </si>
  <si>
    <t xml:space="preserve">SRG</t>
  </si>
  <si>
    <t xml:space="preserve">Lucro</t>
  </si>
  <si>
    <t xml:space="preserve">L</t>
  </si>
  <si>
    <t xml:space="preserve">Despesas Financeiras</t>
  </si>
  <si>
    <t xml:space="preserve">DF</t>
  </si>
  <si>
    <t xml:space="preserve">i</t>
  </si>
  <si>
    <t xml:space="preserve">Tributos - ISS</t>
  </si>
  <si>
    <t xml:space="preserve">T</t>
  </si>
  <si>
    <t xml:space="preserve">DU</t>
  </si>
  <si>
    <t xml:space="preserve">Tributos - PIS/COFINS</t>
  </si>
  <si>
    <t xml:space="preserve">Fórmula para o cálculo do BDI:</t>
  </si>
  <si>
    <t xml:space="preserve">{[(1+AC+SRG) x (1+L) x (1+DF)] / (1-T)} -1</t>
  </si>
  <si>
    <t xml:space="preserve">Resultado do cálculo do BDI:</t>
  </si>
  <si>
    <t xml:space="preserve">5. Depreciação Referencial TCE/RS (%)</t>
  </si>
  <si>
    <t xml:space="preserve">Idade do veículo (ano)</t>
  </si>
  <si>
    <t xml:space="preserve">Depreciação Média</t>
  </si>
  <si>
    <t xml:space="preserve">6. Remuneração de Capital</t>
  </si>
  <si>
    <t xml:space="preserve">Fórmula de cálculo da remuneração de capital:</t>
  </si>
  <si>
    <t xml:space="preserve">Jm = remuneração de capital mensal</t>
  </si>
  <si>
    <t xml:space="preserve">i = taxa de juros do mercado (sugere-se adotar a taxa SELIC)</t>
  </si>
  <si>
    <t xml:space="preserve">Im = investimento médio</t>
  </si>
  <si>
    <t xml:space="preserve">V0 = valor inicial do bem</t>
  </si>
  <si>
    <t xml:space="preserve">Vr = valor residual do bem</t>
  </si>
  <si>
    <t xml:space="preserve">n = vida útil do bem em anos</t>
  </si>
  <si>
    <t xml:space="preserve">1. Esta planilha é somente um modelo de cálculo expedito e deve ser ajustada conforme cada caso concreto.</t>
  </si>
  <si>
    <t xml:space="preserve">2. Dimensionar separadamente setores atendidos por veículos de capacidade de carga diferentes.</t>
  </si>
  <si>
    <t xml:space="preserve">3. Preencher somente células em amarelo</t>
  </si>
  <si>
    <t xml:space="preserve">7. Dimensionamento da frota</t>
  </si>
  <si>
    <t xml:space="preserve">Indicador</t>
  </si>
  <si>
    <t xml:space="preserve">Unid</t>
  </si>
  <si>
    <t xml:space="preserve">População (H)</t>
  </si>
  <si>
    <t xml:space="preserve">hab</t>
  </si>
  <si>
    <t xml:space="preserve">Geração per capita (G)</t>
  </si>
  <si>
    <t xml:space="preserve">Kg/hab.dia</t>
  </si>
  <si>
    <t xml:space="preserve">Geração total diária (Qd)</t>
  </si>
  <si>
    <t xml:space="preserve">ton/dia</t>
  </si>
  <si>
    <t xml:space="preserve">Geração Mensal</t>
  </si>
  <si>
    <t xml:space="preserve">ton</t>
  </si>
  <si>
    <t xml:space="preserve">Número de dias de coleta por semana (Dc)</t>
  </si>
  <si>
    <t xml:space="preserve">Quantitativo diário de coleta (Qc)</t>
  </si>
  <si>
    <t xml:space="preserve">Densidade RSU compactado</t>
  </si>
  <si>
    <t xml:space="preserve">Kg/m³</t>
  </si>
  <si>
    <t xml:space="preserve">Tipo de Veículo (1 = toco, 2 = truck)</t>
  </si>
  <si>
    <t xml:space="preserve">Capacidade do Compactador</t>
  </si>
  <si>
    <t xml:space="preserve">m³</t>
  </si>
  <si>
    <t xml:space="preserve">Capacidade nominal de carga (Cc)</t>
  </si>
  <si>
    <t xml:space="preserve">Número de Cargas por dia (Nc)</t>
  </si>
  <si>
    <t xml:space="preserve">Número total de percursos de coleta por veículo, por dia (Np)</t>
  </si>
  <si>
    <t xml:space="preserve">Número de veículos da Frota (F)</t>
  </si>
</sst>
</file>

<file path=xl/styles.xml><?xml version="1.0" encoding="utf-8"?>
<styleSheet xmlns="http://schemas.openxmlformats.org/spreadsheetml/2006/main">
  <numFmts count="16">
    <numFmt numFmtId="164" formatCode="General"/>
    <numFmt numFmtId="165" formatCode="_(* #,##0.00_);_(* \(#,##0.00\);_(* \-??_);_(@_)"/>
    <numFmt numFmtId="166" formatCode="#,##0.00"/>
    <numFmt numFmtId="167" formatCode="&quot;R$ &quot;#,##0.00"/>
    <numFmt numFmtId="168" formatCode="0%"/>
    <numFmt numFmtId="169" formatCode="0.00%"/>
    <numFmt numFmtId="170" formatCode="&quot;R$ &quot;#,##0.00_);&quot;(R$ &quot;#,##0.00\)"/>
    <numFmt numFmtId="171" formatCode="0"/>
    <numFmt numFmtId="172" formatCode="_(* #,##0_);_(* \(#,##0\);_(* \-??_);_(@_)"/>
    <numFmt numFmtId="173" formatCode="# ??/??"/>
    <numFmt numFmtId="174" formatCode="_-* #,##0.00_-;\-* #,##0.00_-;_-* \-??_-;_-@_-"/>
    <numFmt numFmtId="175" formatCode="0.0000"/>
    <numFmt numFmtId="176" formatCode="0.00"/>
    <numFmt numFmtId="177" formatCode="_-* #,##0.000_-;\-* #,##0.000_-;_-* \-??_-;_-@_-"/>
    <numFmt numFmtId="178" formatCode="_-* #,##0.00_-;\-* #,##0.00_-;_-* \-?_-;_-@_-"/>
    <numFmt numFmtId="179" formatCode="_-* #,##0_-;\-* #,##0_-;_-* \-?_-;_-@_-"/>
  </numFmts>
  <fonts count="19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b val="true"/>
      <sz val="14"/>
      <name val="Arial"/>
      <family val="2"/>
      <charset val="1"/>
    </font>
    <font>
      <sz val="11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9"/>
      <name val="Arial"/>
      <family val="2"/>
      <charset val="1"/>
    </font>
    <font>
      <b val="true"/>
      <u val="single"/>
      <sz val="9"/>
      <name val="Arial"/>
      <family val="2"/>
      <charset val="1"/>
    </font>
    <font>
      <sz val="10"/>
      <color rgb="FFC9211E"/>
      <name val="Arial"/>
      <family val="2"/>
      <charset val="1"/>
    </font>
    <font>
      <u val="single"/>
      <sz val="10"/>
      <color rgb="FF0000FF"/>
      <name val="Arial"/>
      <family val="2"/>
      <charset val="1"/>
    </font>
    <font>
      <sz val="8"/>
      <name val="Arial"/>
      <family val="2"/>
      <charset val="1"/>
    </font>
    <font>
      <sz val="10"/>
      <name val="Arial"/>
      <family val="2"/>
    </font>
    <font>
      <sz val="11"/>
      <color rgb="FF000000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2"/>
      <color rgb="FF000000"/>
      <name val="Arial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BFBFBF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BFBFBF"/>
      </patternFill>
    </fill>
    <fill>
      <patternFill patternType="solid">
        <fgColor rgb="FFC6D9F1"/>
        <bgColor rgb="FFD9D9D9"/>
      </patternFill>
    </fill>
    <fill>
      <patternFill patternType="solid">
        <fgColor rgb="FFD9D9D9"/>
        <bgColor rgb="FFDDD9C3"/>
      </patternFill>
    </fill>
    <fill>
      <patternFill patternType="solid">
        <fgColor rgb="FFA6A6A6"/>
        <bgColor rgb="FFBFBFBF"/>
      </patternFill>
    </fill>
    <fill>
      <patternFill patternType="solid">
        <fgColor rgb="FFFFFFFF"/>
        <bgColor rgb="FFEEECE1"/>
      </patternFill>
    </fill>
    <fill>
      <patternFill patternType="solid">
        <fgColor rgb="FFDDD9C3"/>
        <bgColor rgb="FFD9D9D9"/>
      </patternFill>
    </fill>
    <fill>
      <patternFill patternType="solid">
        <fgColor rgb="FFEEECE1"/>
        <bgColor rgb="FFD9D9D9"/>
      </patternFill>
    </fill>
  </fills>
  <borders count="51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double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/>
      <top style="thin"/>
      <bottom/>
      <diagonal/>
    </border>
    <border diagonalUp="false" diagonalDown="false">
      <left style="medium"/>
      <right style="thin"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/>
      <bottom style="medium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15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0" fillId="0" borderId="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7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8" fillId="2" borderId="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6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1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1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4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4" fillId="0" borderId="13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1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11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0" fillId="0" borderId="12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0" fillId="0" borderId="13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10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4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0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0" fillId="0" borderId="1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1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15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4" fillId="0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1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4" fillId="0" borderId="1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4" fillId="0" borderId="18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1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2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0" fillId="0" borderId="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7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0" fillId="0" borderId="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2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4" fillId="0" borderId="2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22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4" fillId="0" borderId="2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2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24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0" fillId="0" borderId="2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2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0" fillId="0" borderId="2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0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1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4" fillId="3" borderId="25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4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4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4" borderId="2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4" borderId="26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0" fillId="4" borderId="1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2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3" borderId="27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27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2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2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5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0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4" borderId="2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5" fontId="9" fillId="4" borderId="1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0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1" fillId="3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2" fontId="0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4" borderId="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3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2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4" borderId="2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0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1" fontId="0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1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2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4" borderId="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2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3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0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2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2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4" borderId="3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4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4" borderId="3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3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5" fillId="0" borderId="3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0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0" borderId="3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15" fillId="0" borderId="3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6" fillId="0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16" fillId="0" borderId="3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5" fillId="6" borderId="3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6" fillId="6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16" fillId="6" borderId="3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15" fillId="0" borderId="0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1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5" fillId="7" borderId="3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6" fillId="7" borderId="1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16" fillId="7" borderId="36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16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7" fillId="8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15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5" fillId="8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9" borderId="3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6" fillId="0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3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3" borderId="3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3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3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3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4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4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5" fontId="16" fillId="0" borderId="3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4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3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3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7" fillId="0" borderId="3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5" fontId="7" fillId="0" borderId="3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3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5" fontId="7" fillId="0" borderId="2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8" fillId="9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7" fillId="0" borderId="3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33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1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34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4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4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3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33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9" fontId="6" fillId="0" borderId="12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9" fontId="6" fillId="0" borderId="34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3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3" borderId="3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3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3" borderId="1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6" fillId="0" borderId="34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3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3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3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6" fillId="3" borderId="3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4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4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4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2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4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6" borderId="1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6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7" fillId="6" borderId="2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6" fillId="0" borderId="35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9" fontId="6" fillId="0" borderId="14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9" fontId="6" fillId="0" borderId="36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8" fillId="9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3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1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3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15" fillId="10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5" fillId="0" borderId="3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15" fillId="10" borderId="1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9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49" xfId="0" applyFont="true" applyBorder="true" applyAlignment="true" applyProtection="true">
      <alignment horizontal="justify" vertical="bottom" textRotation="0" wrapText="false" indent="0" shrinkToFit="false"/>
      <protection locked="true" hidden="false"/>
    </xf>
    <xf numFmtId="164" fontId="18" fillId="0" borderId="50" xfId="0" applyFont="true" applyBorder="true" applyAlignment="true" applyProtection="true">
      <alignment horizontal="justify" vertical="bottom" textRotation="0" wrapText="false" indent="0" shrinkToFit="false"/>
      <protection locked="true" hidden="false"/>
    </xf>
    <xf numFmtId="164" fontId="5" fillId="0" borderId="3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3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3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3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7" fontId="15" fillId="0" borderId="34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8" fontId="6" fillId="0" borderId="3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6" fontId="6" fillId="0" borderId="3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6" fillId="3" borderId="3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9" fontId="6" fillId="3" borderId="3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6" fillId="0" borderId="36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EECE1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BFBFBF"/>
      <rgbColor rgb="FFFF99CC"/>
      <rgbColor rgb="FFCC99FF"/>
      <rgbColor rgb="FFDDD9C3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187200</xdr:colOff>
      <xdr:row>4</xdr:row>
      <xdr:rowOff>18720</xdr:rowOff>
    </xdr:from>
    <xdr:to>
      <xdr:col>0</xdr:col>
      <xdr:colOff>1469160</xdr:colOff>
      <xdr:row>6</xdr:row>
      <xdr:rowOff>52920</xdr:rowOff>
    </xdr:to>
    <xdr:pic>
      <xdr:nvPicPr>
        <xdr:cNvPr id="1" name="Picture 2"/>
        <xdr:cNvPicPr/>
      </xdr:nvPicPr>
      <xdr:blipFill>
        <a:blip r:embed="rId1"/>
        <a:stretch/>
      </xdr:blipFill>
      <xdr:spPr>
        <a:xfrm>
          <a:off x="187200" y="724680"/>
          <a:ext cx="1281960" cy="3582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0</xdr:col>
      <xdr:colOff>139680</xdr:colOff>
      <xdr:row>7</xdr:row>
      <xdr:rowOff>-360</xdr:rowOff>
    </xdr:from>
    <xdr:to>
      <xdr:col>0</xdr:col>
      <xdr:colOff>2174040</xdr:colOff>
      <xdr:row>9</xdr:row>
      <xdr:rowOff>43200</xdr:rowOff>
    </xdr:to>
    <xdr:pic>
      <xdr:nvPicPr>
        <xdr:cNvPr id="2" name="Picture 1"/>
        <xdr:cNvPicPr/>
      </xdr:nvPicPr>
      <xdr:blipFill>
        <a:blip r:embed="rId2"/>
        <a:stretch/>
      </xdr:blipFill>
      <xdr:spPr>
        <a:xfrm>
          <a:off x="139680" y="1191600"/>
          <a:ext cx="2034360" cy="3672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comments" Target="../comments4.xml"/><Relationship Id="rId2" Type="http://schemas.openxmlformats.org/officeDocument/2006/relationships/vmlDrawing" Target="../drawings/vmlDrawing2.v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comments" Target="../comments7.xml"/><Relationship Id="rId2" Type="http://schemas.openxmlformats.org/officeDocument/2006/relationships/vmlDrawing" Target="../drawings/vmlDrawing3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048576"/>
  <sheetViews>
    <sheetView showFormulas="false" showGridLines="true" showRowColHeaders="true" showZeros="true" rightToLeft="false" tabSelected="true" showOutlineSymbols="true" defaultGridColor="true" view="pageBreakPreview" topLeftCell="A4" colorId="64" zoomScale="100" zoomScaleNormal="100" zoomScalePageLayoutView="100" workbookViewId="0">
      <selection pane="topLeft" activeCell="D21" activeCellId="0" sqref="D21"/>
    </sheetView>
  </sheetViews>
  <sheetFormatPr defaultColWidth="8.6796875" defaultRowHeight="12.75" customHeight="false" zeroHeight="false" outlineLevelRow="0" outlineLevelCol="0"/>
  <cols>
    <col collapsed="false" customWidth="true" hidden="false" outlineLevel="0" max="1" min="1" style="1" width="43.47"/>
    <col collapsed="false" customWidth="true" hidden="false" outlineLevel="0" max="2" min="2" style="1" width="15.66"/>
    <col collapsed="false" customWidth="true" hidden="false" outlineLevel="0" max="3" min="3" style="1" width="11.34"/>
    <col collapsed="false" customWidth="true" hidden="false" outlineLevel="0" max="4" min="4" style="2" width="14.16"/>
    <col collapsed="false" customWidth="true" hidden="false" outlineLevel="0" max="5" min="5" style="2" width="15.12"/>
    <col collapsed="false" customWidth="true" hidden="false" outlineLevel="0" max="6" min="6" style="2" width="12.96"/>
    <col collapsed="false" customWidth="true" hidden="false" outlineLevel="0" max="7" min="7" style="2" width="27.54"/>
    <col collapsed="false" customWidth="true" hidden="false" outlineLevel="0" max="8" min="8" style="1" width="8.8"/>
    <col collapsed="false" customWidth="true" hidden="false" outlineLevel="0" max="9" min="9" style="1" width="14.04"/>
    <col collapsed="false" customWidth="true" hidden="false" outlineLevel="0" max="10" min="10" style="1" width="13.09"/>
    <col collapsed="false" customWidth="true" hidden="false" outlineLevel="0" max="1025" min="11" style="1" width="8.8"/>
  </cols>
  <sheetData>
    <row r="1" s="4" customFormat="true" ht="12.75" hidden="false" customHeight="false" outlineLevel="0" collapsed="false">
      <c r="A1" s="3" t="s">
        <v>0</v>
      </c>
    </row>
    <row r="2" s="4" customFormat="true" ht="12.75" hidden="false" customHeight="false" outlineLevel="0" collapsed="false">
      <c r="A2" s="5" t="s">
        <v>1</v>
      </c>
    </row>
    <row r="3" s="7" customFormat="true" ht="15.6" hidden="false" customHeight="true" outlineLevel="0" collapsed="false">
      <c r="A3" s="6" t="s">
        <v>2</v>
      </c>
      <c r="C3" s="8"/>
      <c r="D3" s="8"/>
      <c r="E3" s="8"/>
      <c r="F3" s="8"/>
      <c r="G3" s="9"/>
    </row>
    <row r="4" s="4" customFormat="true" ht="15.6" hidden="false" customHeight="true" outlineLevel="0" collapsed="false">
      <c r="A4" s="5" t="s">
        <v>3</v>
      </c>
      <c r="B4" s="8"/>
      <c r="C4" s="8"/>
      <c r="D4" s="8"/>
      <c r="E4" s="8"/>
      <c r="F4" s="8"/>
      <c r="G4" s="9"/>
    </row>
    <row r="5" s="4" customFormat="true" ht="15.6" hidden="false" customHeight="true" outlineLevel="0" collapsed="false">
      <c r="A5" s="10"/>
      <c r="B5" s="8"/>
      <c r="C5" s="8"/>
      <c r="D5" s="8"/>
      <c r="E5" s="8"/>
      <c r="F5" s="8"/>
      <c r="G5" s="9"/>
    </row>
    <row r="6" s="4" customFormat="true" ht="15.6" hidden="false" customHeight="true" outlineLevel="0" collapsed="false">
      <c r="A6" s="10"/>
      <c r="B6" s="8"/>
      <c r="C6" s="8"/>
      <c r="D6" s="8"/>
      <c r="E6" s="8"/>
      <c r="F6" s="8"/>
      <c r="G6" s="9"/>
    </row>
    <row r="7" s="4" customFormat="true" ht="16.5" hidden="false" customHeight="true" outlineLevel="0" collapsed="false">
      <c r="A7" s="6"/>
      <c r="B7" s="11"/>
      <c r="C7" s="11"/>
      <c r="D7" s="9"/>
      <c r="E7" s="9"/>
      <c r="F7" s="9"/>
      <c r="G7" s="9"/>
    </row>
    <row r="8" s="14" customFormat="true" ht="17.35" hidden="false" customHeight="false" outlineLevel="0" collapsed="false">
      <c r="A8" s="12" t="s">
        <v>4</v>
      </c>
      <c r="B8" s="12"/>
      <c r="C8" s="12"/>
      <c r="D8" s="12"/>
      <c r="E8" s="12"/>
      <c r="F8" s="12"/>
      <c r="G8" s="13"/>
    </row>
    <row r="9" s="4" customFormat="true" ht="21.75" hidden="false" customHeight="true" outlineLevel="0" collapsed="false">
      <c r="A9" s="15" t="s">
        <v>5</v>
      </c>
      <c r="B9" s="15"/>
      <c r="C9" s="15"/>
      <c r="D9" s="15"/>
      <c r="E9" s="15"/>
      <c r="F9" s="15"/>
      <c r="G9" s="13"/>
    </row>
    <row r="10" s="7" customFormat="true" ht="10.9" hidden="false" customHeight="true" outlineLevel="0" collapsed="false">
      <c r="A10" s="16"/>
      <c r="B10" s="8"/>
      <c r="C10" s="8"/>
      <c r="D10" s="9"/>
      <c r="E10" s="9"/>
      <c r="F10" s="17"/>
      <c r="G10" s="9"/>
    </row>
    <row r="11" s="4" customFormat="true" ht="15.75" hidden="false" customHeight="true" outlineLevel="0" collapsed="false">
      <c r="A11" s="18" t="s">
        <v>6</v>
      </c>
      <c r="B11" s="18"/>
      <c r="C11" s="18"/>
      <c r="D11" s="18"/>
      <c r="E11" s="18"/>
      <c r="F11" s="18"/>
      <c r="G11" s="9"/>
    </row>
    <row r="12" s="4" customFormat="true" ht="15.75" hidden="false" customHeight="true" outlineLevel="0" collapsed="false">
      <c r="A12" s="19" t="s">
        <v>7</v>
      </c>
      <c r="B12" s="20"/>
      <c r="C12" s="20"/>
      <c r="D12" s="21"/>
      <c r="E12" s="22" t="s">
        <v>8</v>
      </c>
      <c r="F12" s="23" t="s">
        <v>9</v>
      </c>
      <c r="G12" s="9"/>
    </row>
    <row r="13" s="3" customFormat="true" ht="15.75" hidden="false" customHeight="true" outlineLevel="0" collapsed="false">
      <c r="A13" s="24" t="str">
        <f aca="false">A37</f>
        <v>1. Mão-de-obra</v>
      </c>
      <c r="B13" s="25"/>
      <c r="C13" s="26"/>
      <c r="D13" s="26"/>
      <c r="E13" s="27" t="n">
        <f aca="false">+F60</f>
        <v>6369.4666</v>
      </c>
      <c r="F13" s="28" t="n">
        <f aca="false">IFERROR(E13/$E$23,0)</f>
        <v>0.19830901241787</v>
      </c>
      <c r="G13" s="29"/>
    </row>
    <row r="14" s="7" customFormat="true" ht="15.75" hidden="false" customHeight="true" outlineLevel="0" collapsed="false">
      <c r="A14" s="30" t="str">
        <f aca="false">A39</f>
        <v>1.1. Operador de pá carregadeira</v>
      </c>
      <c r="B14" s="31"/>
      <c r="C14" s="32"/>
      <c r="D14" s="32"/>
      <c r="E14" s="33" t="n">
        <f aca="false">F47</f>
        <v>5295.3866</v>
      </c>
      <c r="F14" s="34" t="n">
        <f aca="false">IFERROR(E14/$E$23,0)</f>
        <v>0.164868261812822</v>
      </c>
      <c r="G14" s="9"/>
    </row>
    <row r="15" s="3" customFormat="true" ht="15.75" hidden="false" customHeight="true" outlineLevel="0" collapsed="false">
      <c r="A15" s="35" t="str">
        <f aca="false">A62</f>
        <v>2. Uniformes e Equipamentos de Proteção Individual</v>
      </c>
      <c r="B15" s="35"/>
      <c r="C15" s="35"/>
      <c r="D15" s="26"/>
      <c r="E15" s="27" t="n">
        <f aca="false">+F80</f>
        <v>106.3725</v>
      </c>
      <c r="F15" s="28" t="n">
        <f aca="false">IFERROR(E15/$E$23,0)</f>
        <v>0.00331183547197185</v>
      </c>
      <c r="G15" s="29"/>
    </row>
    <row r="16" s="4" customFormat="true" ht="15.75" hidden="false" customHeight="true" outlineLevel="0" collapsed="false">
      <c r="A16" s="35" t="str">
        <f aca="false">A82</f>
        <v>3. Equipamentos e Transbordo</v>
      </c>
      <c r="B16" s="36"/>
      <c r="C16" s="26"/>
      <c r="D16" s="26"/>
      <c r="E16" s="27" t="n">
        <f aca="false">+F115</f>
        <v>18630.7787955313</v>
      </c>
      <c r="F16" s="28" t="n">
        <f aca="false">IFERROR(E16/$E$23,0)</f>
        <v>0.580056631981963</v>
      </c>
      <c r="G16" s="29"/>
    </row>
    <row r="17" s="7" customFormat="true" ht="15.75" hidden="false" customHeight="true" outlineLevel="0" collapsed="false">
      <c r="A17" s="37" t="str">
        <f aca="false">A84</f>
        <v>3.1 Retroescavadeira sobre rodas, tração 4x4, potência líq. 88 hp, caçamba carreg. Cap. Mín. 1 m3 - chp diurno</v>
      </c>
      <c r="B17" s="38"/>
      <c r="C17" s="32"/>
      <c r="D17" s="32"/>
      <c r="E17" s="33" t="n">
        <f aca="false">SUM(E18)</f>
        <v>11597.475</v>
      </c>
      <c r="F17" s="34" t="n">
        <f aca="false">IFERROR(E17/$E$23,0)</f>
        <v>0.361079499779611</v>
      </c>
      <c r="G17" s="9"/>
    </row>
    <row r="18" s="7" customFormat="true" ht="15.75" hidden="false" customHeight="true" outlineLevel="0" collapsed="false">
      <c r="A18" s="37" t="str">
        <f aca="false">A86</f>
        <v>3.1.1 Hora/ máquina</v>
      </c>
      <c r="B18" s="38"/>
      <c r="C18" s="32"/>
      <c r="D18" s="32"/>
      <c r="E18" s="33" t="n">
        <f aca="false">F89</f>
        <v>11597.475</v>
      </c>
      <c r="F18" s="34" t="n">
        <f aca="false">IFERROR(E18/$E$23,0)</f>
        <v>0.361079499779611</v>
      </c>
      <c r="G18" s="9"/>
    </row>
    <row r="19" s="7" customFormat="true" ht="15.75" hidden="false" customHeight="true" outlineLevel="0" collapsed="false">
      <c r="A19" s="37" t="str">
        <f aca="false">A91</f>
        <v>3.2 Transbordo</v>
      </c>
      <c r="B19" s="38"/>
      <c r="C19" s="32"/>
      <c r="D19" s="32"/>
      <c r="E19" s="33" t="n">
        <f aca="false">SUM(E20:E21)</f>
        <v>7033.30379553125</v>
      </c>
      <c r="F19" s="34" t="n">
        <f aca="false">IFERROR(E19/$E$23,0)</f>
        <v>0.218977132202351</v>
      </c>
      <c r="G19" s="9"/>
    </row>
    <row r="20" s="7" customFormat="true" ht="15.75" hidden="false" customHeight="true" outlineLevel="0" collapsed="false">
      <c r="A20" s="37" t="str">
        <f aca="false">A93</f>
        <v>3.2.1 Depreciação</v>
      </c>
      <c r="B20" s="38"/>
      <c r="C20" s="32"/>
      <c r="D20" s="32"/>
      <c r="E20" s="33" t="n">
        <f aca="false">F102</f>
        <v>2734.45037083333</v>
      </c>
      <c r="F20" s="34" t="n">
        <f aca="false">IFERROR(E20/$E$23,0)</f>
        <v>0.0851352533264933</v>
      </c>
      <c r="G20" s="9"/>
    </row>
    <row r="21" s="7" customFormat="true" ht="15.75" hidden="false" customHeight="true" outlineLevel="0" collapsed="false">
      <c r="A21" s="37" t="str">
        <f aca="false">A104</f>
        <v>3.2.1 Remuneração do Capital</v>
      </c>
      <c r="B21" s="38"/>
      <c r="C21" s="32"/>
      <c r="D21" s="32"/>
      <c r="E21" s="33" t="n">
        <f aca="false">F113</f>
        <v>4298.85342469792</v>
      </c>
      <c r="F21" s="34" t="n">
        <f aca="false">IFERROR(E21/$E$23,0)</f>
        <v>0.133841878875858</v>
      </c>
      <c r="G21" s="9"/>
    </row>
    <row r="22" s="4" customFormat="true" ht="15.75" hidden="false" customHeight="true" outlineLevel="0" collapsed="false">
      <c r="A22" s="35" t="str">
        <f aca="false">A119</f>
        <v>3. Benefícios e Despesas Indiretas - BDI</v>
      </c>
      <c r="B22" s="36"/>
      <c r="C22" s="26"/>
      <c r="D22" s="26"/>
      <c r="E22" s="39" t="n">
        <f aca="false">+F125</f>
        <v>7012.27837822188</v>
      </c>
      <c r="F22" s="28" t="n">
        <f aca="false">IFERROR(E22/$E$23,0)</f>
        <v>0.218322520128195</v>
      </c>
      <c r="G22" s="29"/>
    </row>
    <row r="23" s="7" customFormat="true" ht="15.75" hidden="false" customHeight="true" outlineLevel="0" collapsed="false">
      <c r="A23" s="40" t="s">
        <v>10</v>
      </c>
      <c r="B23" s="41"/>
      <c r="C23" s="42"/>
      <c r="D23" s="42"/>
      <c r="E23" s="43" t="n">
        <f aca="false">E13+E15+E16+E22</f>
        <v>32118.8962737531</v>
      </c>
      <c r="F23" s="44" t="n">
        <f aca="false">F13+F15+F16+F22</f>
        <v>1</v>
      </c>
      <c r="G23" s="9"/>
    </row>
    <row r="24" s="4" customFormat="true" ht="12.75" hidden="false" customHeight="false" outlineLevel="0" collapsed="false"/>
    <row r="25" s="4" customFormat="true" ht="12.75" hidden="false" customHeight="false" outlineLevel="0" collapsed="false"/>
    <row r="26" s="7" customFormat="true" ht="15" hidden="false" customHeight="true" outlineLevel="0" collapsed="false">
      <c r="A26" s="18" t="s">
        <v>11</v>
      </c>
      <c r="B26" s="18"/>
      <c r="C26" s="18"/>
      <c r="D26" s="18"/>
      <c r="E26" s="18"/>
      <c r="F26" s="9"/>
      <c r="G26" s="9"/>
    </row>
    <row r="27" s="4" customFormat="true" ht="15" hidden="false" customHeight="true" outlineLevel="0" collapsed="false">
      <c r="A27" s="45" t="s">
        <v>12</v>
      </c>
      <c r="B27" s="45"/>
      <c r="C27" s="45"/>
      <c r="D27" s="45"/>
      <c r="E27" s="46" t="s">
        <v>13</v>
      </c>
      <c r="F27" s="9"/>
      <c r="G27" s="9"/>
    </row>
    <row r="28" s="4" customFormat="true" ht="15" hidden="false" customHeight="true" outlineLevel="0" collapsed="false">
      <c r="A28" s="47" t="str">
        <f aca="false">+A39</f>
        <v>1.1. Operador de pá carregadeira</v>
      </c>
      <c r="B28" s="20"/>
      <c r="C28" s="20"/>
      <c r="D28" s="48"/>
      <c r="E28" s="49" t="n">
        <f aca="false">C46</f>
        <v>1</v>
      </c>
      <c r="F28" s="9"/>
      <c r="G28" s="9"/>
    </row>
    <row r="29" s="4" customFormat="true" ht="15" hidden="false" customHeight="true" outlineLevel="0" collapsed="false">
      <c r="A29" s="50" t="s">
        <v>14</v>
      </c>
      <c r="B29" s="51"/>
      <c r="C29" s="51"/>
      <c r="D29" s="52"/>
      <c r="E29" s="53" t="n">
        <f aca="false">SUM(E28)</f>
        <v>1</v>
      </c>
      <c r="F29" s="9"/>
      <c r="G29" s="9"/>
    </row>
    <row r="30" s="4" customFormat="true" ht="15" hidden="false" customHeight="true" outlineLevel="0" collapsed="false">
      <c r="A30" s="54"/>
      <c r="B30" s="55"/>
      <c r="C30" s="9"/>
      <c r="D30" s="9"/>
      <c r="E30" s="17"/>
      <c r="F30" s="9"/>
      <c r="G30" s="9"/>
    </row>
    <row r="31" s="4" customFormat="true" ht="15" hidden="false" customHeight="true" outlineLevel="0" collapsed="false">
      <c r="A31" s="56" t="s">
        <v>15</v>
      </c>
      <c r="B31" s="56"/>
      <c r="C31" s="56"/>
      <c r="D31" s="56"/>
      <c r="E31" s="57" t="s">
        <v>13</v>
      </c>
      <c r="F31" s="6"/>
      <c r="G31" s="9"/>
    </row>
    <row r="32" s="4" customFormat="true" ht="15" hidden="false" customHeight="true" outlineLevel="0" collapsed="false">
      <c r="A32" s="58" t="str">
        <f aca="false">+A84</f>
        <v>3.1 Retroescavadeira sobre rodas, tração 4x4, potência líq. 88 hp, caçamba carreg. Cap. Mín. 1 m3 - chp diurno</v>
      </c>
      <c r="B32" s="58"/>
      <c r="C32" s="58"/>
      <c r="D32" s="59"/>
      <c r="E32" s="60" t="n">
        <f aca="false">C101</f>
        <v>1</v>
      </c>
      <c r="F32" s="6"/>
      <c r="G32" s="9"/>
    </row>
    <row r="33" s="4" customFormat="true" ht="15" hidden="false" customHeight="true" outlineLevel="0" collapsed="false">
      <c r="A33" s="58" t="str">
        <f aca="false">A91</f>
        <v>3.2 Transbordo</v>
      </c>
      <c r="B33" s="58"/>
      <c r="C33" s="58"/>
      <c r="D33" s="59"/>
      <c r="E33" s="60" t="n">
        <v>1</v>
      </c>
      <c r="F33" s="6"/>
      <c r="G33" s="9"/>
    </row>
    <row r="34" s="4" customFormat="true" ht="12.75" hidden="false" customHeight="false" outlineLevel="0" collapsed="false">
      <c r="A34" s="9"/>
      <c r="B34" s="9"/>
      <c r="C34" s="9"/>
      <c r="D34" s="10"/>
      <c r="E34" s="61"/>
      <c r="F34" s="6"/>
      <c r="G34" s="9"/>
    </row>
    <row r="35" s="3" customFormat="true" ht="15.75" hidden="false" customHeight="true" outlineLevel="0" collapsed="false">
      <c r="A35" s="62" t="s">
        <v>16</v>
      </c>
      <c r="B35" s="63" t="n">
        <v>1</v>
      </c>
      <c r="C35" s="29"/>
      <c r="D35" s="64"/>
      <c r="E35" s="65"/>
      <c r="G35" s="29"/>
    </row>
    <row r="36" s="7" customFormat="true" ht="15.75" hidden="false" customHeight="true" outlineLevel="0" collapsed="false">
      <c r="A36" s="9"/>
      <c r="B36" s="9"/>
      <c r="C36" s="9"/>
      <c r="D36" s="10"/>
      <c r="E36" s="61"/>
      <c r="F36" s="6"/>
      <c r="G36" s="9"/>
    </row>
    <row r="37" s="4" customFormat="true" ht="13.15" hidden="false" customHeight="true" outlineLevel="0" collapsed="false">
      <c r="A37" s="3" t="s">
        <v>17</v>
      </c>
    </row>
    <row r="38" s="4" customFormat="true" ht="11.25" hidden="false" customHeight="true" outlineLevel="0" collapsed="false"/>
    <row r="39" s="4" customFormat="true" ht="13.9" hidden="false" customHeight="true" outlineLevel="0" collapsed="false">
      <c r="A39" s="6" t="s">
        <v>18</v>
      </c>
    </row>
    <row r="40" s="4" customFormat="true" ht="13.9" hidden="false" customHeight="true" outlineLevel="0" collapsed="false">
      <c r="A40" s="66" t="s">
        <v>19</v>
      </c>
      <c r="B40" s="67" t="s">
        <v>20</v>
      </c>
      <c r="C40" s="67" t="s">
        <v>13</v>
      </c>
      <c r="D40" s="68" t="s">
        <v>21</v>
      </c>
      <c r="E40" s="68" t="s">
        <v>22</v>
      </c>
      <c r="F40" s="69" t="s">
        <v>23</v>
      </c>
    </row>
    <row r="41" s="4" customFormat="true" ht="13.15" hidden="false" customHeight="true" outlineLevel="0" collapsed="false">
      <c r="A41" s="70" t="s">
        <v>24</v>
      </c>
      <c r="B41" s="71" t="s">
        <v>25</v>
      </c>
      <c r="C41" s="71" t="n">
        <v>1</v>
      </c>
      <c r="D41" s="72" t="n">
        <v>2162</v>
      </c>
      <c r="E41" s="73" t="n">
        <f aca="false">C41*D41</f>
        <v>2162</v>
      </c>
    </row>
    <row r="42" s="4" customFormat="true" ht="12.75" hidden="false" customHeight="false" outlineLevel="0" collapsed="false">
      <c r="A42" s="74" t="s">
        <v>26</v>
      </c>
      <c r="B42" s="75" t="s">
        <v>9</v>
      </c>
      <c r="C42" s="75" t="n">
        <v>40</v>
      </c>
      <c r="D42" s="76" t="n">
        <f aca="false">SUM(E41)</f>
        <v>2162</v>
      </c>
      <c r="E42" s="76" t="n">
        <f aca="false">C42*D42/100</f>
        <v>864.8</v>
      </c>
    </row>
    <row r="43" s="4" customFormat="true" ht="12.75" hidden="false" customHeight="false" outlineLevel="0" collapsed="false">
      <c r="A43" s="77" t="s">
        <v>27</v>
      </c>
      <c r="B43" s="78"/>
      <c r="C43" s="78"/>
      <c r="D43" s="79"/>
      <c r="E43" s="80" t="n">
        <f aca="false">SUM(E41:E42)</f>
        <v>3026.8</v>
      </c>
    </row>
    <row r="44" s="4" customFormat="true" ht="12.75" hidden="false" customHeight="false" outlineLevel="0" collapsed="false">
      <c r="A44" s="74" t="s">
        <v>28</v>
      </c>
      <c r="B44" s="75" t="s">
        <v>9</v>
      </c>
      <c r="C44" s="81" t="n">
        <f aca="false">'2.Encargos Sociais'!$C$34*100</f>
        <v>74.95</v>
      </c>
      <c r="D44" s="76" t="n">
        <f aca="false">E43</f>
        <v>3026.8</v>
      </c>
      <c r="E44" s="76" t="n">
        <f aca="false">D44*C44/100</f>
        <v>2268.5866</v>
      </c>
    </row>
    <row r="45" s="4" customFormat="true" ht="12.75" hidden="false" customHeight="false" outlineLevel="0" collapsed="false">
      <c r="A45" s="77" t="s">
        <v>29</v>
      </c>
      <c r="B45" s="78"/>
      <c r="C45" s="78"/>
      <c r="D45" s="79"/>
      <c r="E45" s="80" t="n">
        <f aca="false">E43+E44</f>
        <v>5295.3866</v>
      </c>
    </row>
    <row r="46" s="4" customFormat="true" ht="12.75" hidden="false" customHeight="false" outlineLevel="0" collapsed="false">
      <c r="A46" s="74" t="s">
        <v>30</v>
      </c>
      <c r="B46" s="75" t="s">
        <v>31</v>
      </c>
      <c r="C46" s="82" t="n">
        <v>1</v>
      </c>
      <c r="D46" s="76" t="n">
        <f aca="false">E45</f>
        <v>5295.3866</v>
      </c>
      <c r="E46" s="76" t="n">
        <f aca="false">C46*D46</f>
        <v>5295.3866</v>
      </c>
      <c r="G46" s="9"/>
    </row>
    <row r="47" s="4" customFormat="true" ht="13.9" hidden="false" customHeight="true" outlineLevel="0" collapsed="false">
      <c r="D47" s="83" t="s">
        <v>32</v>
      </c>
      <c r="E47" s="84" t="n">
        <f aca="false">$B$35</f>
        <v>1</v>
      </c>
      <c r="F47" s="85" t="n">
        <f aca="false">E46*E47</f>
        <v>5295.3866</v>
      </c>
      <c r="G47" s="9"/>
    </row>
    <row r="48" s="4" customFormat="true" ht="13.9" hidden="false" customHeight="true" outlineLevel="0" collapsed="false">
      <c r="A48" s="6" t="s">
        <v>33</v>
      </c>
      <c r="B48" s="86"/>
      <c r="C48" s="6"/>
      <c r="D48" s="6"/>
      <c r="E48" s="6"/>
      <c r="F48" s="9"/>
      <c r="G48" s="9"/>
    </row>
    <row r="49" s="4" customFormat="true" ht="13.9" hidden="false" customHeight="true" outlineLevel="0" collapsed="false">
      <c r="A49" s="66" t="s">
        <v>19</v>
      </c>
      <c r="B49" s="67" t="s">
        <v>20</v>
      </c>
      <c r="C49" s="67" t="s">
        <v>13</v>
      </c>
      <c r="D49" s="68" t="s">
        <v>21</v>
      </c>
      <c r="E49" s="68" t="s">
        <v>22</v>
      </c>
      <c r="F49" s="87" t="s">
        <v>34</v>
      </c>
      <c r="G49" s="9"/>
    </row>
    <row r="50" s="4" customFormat="true" ht="13.9" hidden="false" customHeight="true" outlineLevel="0" collapsed="false">
      <c r="A50" s="74" t="s">
        <v>35</v>
      </c>
      <c r="B50" s="75" t="s">
        <v>36</v>
      </c>
      <c r="C50" s="88" t="n">
        <v>1</v>
      </c>
      <c r="D50" s="89" t="n">
        <v>5.5</v>
      </c>
      <c r="E50" s="76"/>
      <c r="F50" s="9"/>
      <c r="G50" s="9"/>
    </row>
    <row r="51" s="4" customFormat="true" ht="13.9" hidden="false" customHeight="true" outlineLevel="0" collapsed="false">
      <c r="A51" s="74" t="s">
        <v>37</v>
      </c>
      <c r="B51" s="75" t="s">
        <v>38</v>
      </c>
      <c r="C51" s="90" t="n">
        <v>26</v>
      </c>
      <c r="D51" s="76"/>
      <c r="E51" s="76"/>
      <c r="F51" s="9"/>
      <c r="G51" s="9"/>
    </row>
    <row r="52" s="4" customFormat="true" ht="13.9" hidden="false" customHeight="true" outlineLevel="0" collapsed="false">
      <c r="A52" s="74" t="s">
        <v>39</v>
      </c>
      <c r="B52" s="75" t="s">
        <v>40</v>
      </c>
      <c r="C52" s="91" t="n">
        <f aca="false">$C$51*2*C46</f>
        <v>52</v>
      </c>
      <c r="D52" s="73" t="n">
        <f aca="false">IFERROR((($C$51*2*$D$50)-(E41*0.06*C51/26))/($C$51*2),"-")</f>
        <v>3.00538461538462</v>
      </c>
      <c r="E52" s="76" t="n">
        <f aca="false">IFERROR(C52*D52,"-")</f>
        <v>156.28</v>
      </c>
      <c r="F52" s="9"/>
      <c r="G52" s="9"/>
    </row>
    <row r="53" s="4" customFormat="true" ht="13.9" hidden="false" customHeight="true" outlineLevel="0" collapsed="false">
      <c r="A53" s="6"/>
      <c r="B53" s="6"/>
      <c r="C53" s="6"/>
      <c r="D53" s="9"/>
      <c r="E53" s="9"/>
      <c r="F53" s="92" t="n">
        <f aca="false">SUM(E52)</f>
        <v>156.28</v>
      </c>
      <c r="G53" s="9"/>
    </row>
    <row r="54" s="4" customFormat="true" ht="13.9" hidden="false" customHeight="true" outlineLevel="0" collapsed="false">
      <c r="A54" s="6"/>
      <c r="B54" s="6"/>
      <c r="C54" s="6"/>
      <c r="D54" s="9"/>
      <c r="E54" s="9"/>
      <c r="F54" s="9"/>
      <c r="G54" s="9"/>
    </row>
    <row r="55" s="4" customFormat="true" ht="13.9" hidden="false" customHeight="true" outlineLevel="0" collapsed="false">
      <c r="A55" s="6" t="s">
        <v>41</v>
      </c>
      <c r="B55" s="6"/>
      <c r="C55" s="6"/>
      <c r="D55" s="9"/>
      <c r="E55" s="9"/>
      <c r="F55" s="29"/>
      <c r="G55" s="9"/>
    </row>
    <row r="56" s="4" customFormat="true" ht="13.9" hidden="false" customHeight="true" outlineLevel="0" collapsed="false">
      <c r="A56" s="66" t="s">
        <v>19</v>
      </c>
      <c r="B56" s="67" t="s">
        <v>20</v>
      </c>
      <c r="C56" s="67" t="s">
        <v>13</v>
      </c>
      <c r="D56" s="68" t="s">
        <v>21</v>
      </c>
      <c r="E56" s="68" t="s">
        <v>22</v>
      </c>
      <c r="F56" s="87" t="s">
        <v>34</v>
      </c>
      <c r="G56" s="9"/>
    </row>
    <row r="57" s="4" customFormat="true" ht="13.9" hidden="false" customHeight="true" outlineLevel="0" collapsed="false">
      <c r="A57" s="74" t="str">
        <f aca="false">+A52</f>
        <v>Operador</v>
      </c>
      <c r="B57" s="75" t="s">
        <v>42</v>
      </c>
      <c r="C57" s="91" t="n">
        <f aca="false">C51*(E28)</f>
        <v>26</v>
      </c>
      <c r="D57" s="93" t="n">
        <v>35.3</v>
      </c>
      <c r="E57" s="84" t="n">
        <f aca="false">C57*D57</f>
        <v>917.8</v>
      </c>
      <c r="F57" s="29"/>
      <c r="G57" s="9"/>
    </row>
    <row r="58" s="4" customFormat="true" ht="13.9" hidden="false" customHeight="true" outlineLevel="0" collapsed="false">
      <c r="A58" s="6"/>
      <c r="B58" s="6"/>
      <c r="C58" s="6"/>
      <c r="D58" s="9"/>
      <c r="E58" s="9"/>
      <c r="F58" s="92" t="n">
        <f aca="false">SUM(E57)</f>
        <v>917.8</v>
      </c>
      <c r="G58" s="9"/>
    </row>
    <row r="59" s="4" customFormat="true" ht="13.9" hidden="false" customHeight="true" outlineLevel="0" collapsed="false">
      <c r="A59" s="6"/>
      <c r="B59" s="6"/>
      <c r="C59" s="6"/>
      <c r="D59" s="9"/>
      <c r="E59" s="9"/>
      <c r="F59" s="9"/>
      <c r="G59" s="9"/>
    </row>
    <row r="60" s="4" customFormat="true" ht="12.75" hidden="false" customHeight="false" outlineLevel="0" collapsed="false">
      <c r="A60" s="94" t="s">
        <v>43</v>
      </c>
      <c r="B60" s="95"/>
      <c r="C60" s="95"/>
      <c r="D60" s="42"/>
      <c r="E60" s="96"/>
      <c r="F60" s="92" t="n">
        <f aca="false">+SUM(F41:F59)</f>
        <v>6369.4666</v>
      </c>
      <c r="G60" s="6"/>
    </row>
    <row r="61" s="4" customFormat="true" ht="12.75" hidden="false" customHeight="false" outlineLevel="0" collapsed="false"/>
    <row r="62" s="4" customFormat="true" ht="12.75" hidden="false" customHeight="false" outlineLevel="0" collapsed="false">
      <c r="A62" s="3" t="s">
        <v>44</v>
      </c>
      <c r="G62" s="6"/>
    </row>
    <row r="63" s="4" customFormat="true" ht="11.25" hidden="false" customHeight="true" outlineLevel="0" collapsed="false">
      <c r="G63" s="6"/>
    </row>
    <row r="64" s="4" customFormat="true" ht="13.9" hidden="false" customHeight="true" outlineLevel="0" collapsed="false">
      <c r="A64" s="6" t="s">
        <v>45</v>
      </c>
      <c r="G64" s="6"/>
    </row>
    <row r="65" s="4" customFormat="true" ht="11.25" hidden="false" customHeight="true" outlineLevel="0" collapsed="false">
      <c r="G65" s="6"/>
    </row>
    <row r="66" s="4" customFormat="true" ht="27.75" hidden="false" customHeight="true" outlineLevel="0" collapsed="false">
      <c r="A66" s="66" t="s">
        <v>19</v>
      </c>
      <c r="B66" s="67" t="s">
        <v>20</v>
      </c>
      <c r="C66" s="97" t="s">
        <v>46</v>
      </c>
      <c r="D66" s="68" t="s">
        <v>21</v>
      </c>
      <c r="E66" s="68" t="s">
        <v>22</v>
      </c>
      <c r="F66" s="69" t="s">
        <v>23</v>
      </c>
      <c r="G66" s="6"/>
    </row>
    <row r="67" s="4" customFormat="true" ht="12.75" hidden="false" customHeight="false" outlineLevel="0" collapsed="false">
      <c r="A67" s="70" t="s">
        <v>47</v>
      </c>
      <c r="B67" s="71" t="s">
        <v>42</v>
      </c>
      <c r="C67" s="98" t="n">
        <v>8</v>
      </c>
      <c r="D67" s="72" t="n">
        <v>170</v>
      </c>
      <c r="E67" s="73" t="n">
        <f aca="false">IFERROR(D67/C67,0)</f>
        <v>21.25</v>
      </c>
      <c r="G67" s="6"/>
    </row>
    <row r="68" s="4" customFormat="true" ht="13.15" hidden="false" customHeight="true" outlineLevel="0" collapsed="false">
      <c r="A68" s="74" t="s">
        <v>48</v>
      </c>
      <c r="B68" s="75" t="s">
        <v>42</v>
      </c>
      <c r="C68" s="98" t="n">
        <v>12</v>
      </c>
      <c r="D68" s="72" t="n">
        <v>46.5</v>
      </c>
      <c r="E68" s="73" t="n">
        <f aca="false">IFERROR(D68/C68,0)</f>
        <v>3.875</v>
      </c>
      <c r="G68" s="6"/>
    </row>
    <row r="69" s="4" customFormat="true" ht="12.75" hidden="false" customHeight="false" outlineLevel="0" collapsed="false">
      <c r="A69" s="74" t="s">
        <v>49</v>
      </c>
      <c r="B69" s="75" t="s">
        <v>42</v>
      </c>
      <c r="C69" s="98" t="n">
        <v>12</v>
      </c>
      <c r="D69" s="72" t="n">
        <v>30</v>
      </c>
      <c r="E69" s="73" t="n">
        <f aca="false">IFERROR(D69/C69,0)</f>
        <v>2.5</v>
      </c>
      <c r="G69" s="6"/>
    </row>
    <row r="70" s="4" customFormat="true" ht="13.15" hidden="false" customHeight="true" outlineLevel="0" collapsed="false">
      <c r="A70" s="74" t="s">
        <v>50</v>
      </c>
      <c r="B70" s="75" t="s">
        <v>42</v>
      </c>
      <c r="C70" s="98" t="n">
        <v>12</v>
      </c>
      <c r="D70" s="72" t="n">
        <v>22</v>
      </c>
      <c r="E70" s="73" t="n">
        <f aca="false">IFERROR(D70/C70,0)</f>
        <v>1.83333333333333</v>
      </c>
      <c r="G70" s="6"/>
    </row>
    <row r="71" s="4" customFormat="true" ht="13.9" hidden="false" customHeight="true" outlineLevel="0" collapsed="false">
      <c r="A71" s="74" t="s">
        <v>51</v>
      </c>
      <c r="B71" s="75" t="s">
        <v>52</v>
      </c>
      <c r="C71" s="98" t="n">
        <v>12</v>
      </c>
      <c r="D71" s="72" t="n">
        <v>45.84</v>
      </c>
      <c r="E71" s="73" t="n">
        <f aca="false">IFERROR(D71/C71,0)</f>
        <v>3.82</v>
      </c>
      <c r="G71" s="6"/>
    </row>
    <row r="72" s="4" customFormat="true" ht="13.15" hidden="false" customHeight="true" outlineLevel="0" collapsed="false">
      <c r="A72" s="74" t="s">
        <v>53</v>
      </c>
      <c r="B72" s="75" t="s">
        <v>42</v>
      </c>
      <c r="C72" s="98" t="n">
        <v>8</v>
      </c>
      <c r="D72" s="72"/>
      <c r="E72" s="73" t="n">
        <f aca="false">IFERROR(D72/C72,0)</f>
        <v>0</v>
      </c>
    </row>
    <row r="73" s="4" customFormat="true" ht="12.75" hidden="false" customHeight="false" outlineLevel="0" collapsed="false">
      <c r="A73" s="74" t="s">
        <v>54</v>
      </c>
      <c r="B73" s="75" t="s">
        <v>42</v>
      </c>
      <c r="C73" s="98" t="n">
        <v>12</v>
      </c>
      <c r="D73" s="72" t="n">
        <v>15.97</v>
      </c>
      <c r="E73" s="73" t="n">
        <f aca="false">IFERROR(D73/C73,0)</f>
        <v>1.33083333333333</v>
      </c>
    </row>
    <row r="74" customFormat="false" ht="12.75" hidden="false" customHeight="false" outlineLevel="0" collapsed="false">
      <c r="A74" s="99" t="s">
        <v>55</v>
      </c>
      <c r="B74" s="100" t="s">
        <v>42</v>
      </c>
      <c r="C74" s="98" t="n">
        <v>12</v>
      </c>
      <c r="D74" s="72" t="n">
        <v>10</v>
      </c>
      <c r="E74" s="73" t="n">
        <f aca="false">IFERROR(D74/C74,0)</f>
        <v>0.833333333333333</v>
      </c>
      <c r="F74" s="101"/>
      <c r="G74" s="101"/>
    </row>
    <row r="75" s="4" customFormat="true" ht="13.15" hidden="false" customHeight="true" outlineLevel="0" collapsed="false">
      <c r="A75" s="74" t="s">
        <v>56</v>
      </c>
      <c r="B75" s="75" t="s">
        <v>57</v>
      </c>
      <c r="C75" s="98" t="n">
        <v>1</v>
      </c>
      <c r="D75" s="72" t="n">
        <v>18.13</v>
      </c>
      <c r="E75" s="73" t="n">
        <f aca="false">IFERROR(D75/C75,0)</f>
        <v>18.13</v>
      </c>
    </row>
    <row r="76" s="4" customFormat="true" ht="12.75" hidden="false" customHeight="false" outlineLevel="0" collapsed="false">
      <c r="A76" s="74" t="s">
        <v>58</v>
      </c>
      <c r="B76" s="75" t="s">
        <v>59</v>
      </c>
      <c r="C76" s="102" t="n">
        <v>1</v>
      </c>
      <c r="D76" s="72" t="n">
        <v>52.8</v>
      </c>
      <c r="E76" s="76" t="n">
        <f aca="false">C76*D76</f>
        <v>52.8</v>
      </c>
    </row>
    <row r="77" s="4" customFormat="true" ht="12.75" hidden="false" customHeight="false" outlineLevel="0" collapsed="false">
      <c r="A77" s="74" t="s">
        <v>30</v>
      </c>
      <c r="B77" s="75" t="s">
        <v>31</v>
      </c>
      <c r="C77" s="102" t="n">
        <f aca="false">E28</f>
        <v>1</v>
      </c>
      <c r="D77" s="76" t="n">
        <f aca="false">+SUM(E67:E76)</f>
        <v>106.3725</v>
      </c>
      <c r="E77" s="76" t="n">
        <f aca="false">C77*D77</f>
        <v>106.3725</v>
      </c>
    </row>
    <row r="78" s="4" customFormat="true" ht="12.75" hidden="false" customHeight="false" outlineLevel="0" collapsed="false">
      <c r="D78" s="83" t="s">
        <v>32</v>
      </c>
      <c r="E78" s="84" t="n">
        <f aca="false">$B$35</f>
        <v>1</v>
      </c>
      <c r="F78" s="85" t="n">
        <f aca="false">E77*E78</f>
        <v>106.3725</v>
      </c>
    </row>
    <row r="79" s="4" customFormat="true" ht="11.25" hidden="false" customHeight="true" outlineLevel="0" collapsed="false">
      <c r="G79" s="6"/>
    </row>
    <row r="80" s="4" customFormat="true" ht="12.75" hidden="false" customHeight="false" outlineLevel="0" collapsed="false">
      <c r="A80" s="94" t="s">
        <v>60</v>
      </c>
      <c r="B80" s="103"/>
      <c r="C80" s="103"/>
      <c r="D80" s="104"/>
      <c r="E80" s="105"/>
      <c r="F80" s="106" t="n">
        <f aca="false">+F78</f>
        <v>106.3725</v>
      </c>
      <c r="G80" s="6"/>
    </row>
    <row r="81" s="4" customFormat="true" ht="11.25" hidden="false" customHeight="true" outlineLevel="0" collapsed="false">
      <c r="G81" s="6"/>
    </row>
    <row r="82" s="4" customFormat="true" ht="12.75" hidden="false" customHeight="false" outlineLevel="0" collapsed="false">
      <c r="A82" s="3" t="s">
        <v>61</v>
      </c>
      <c r="G82" s="6"/>
    </row>
    <row r="83" s="4" customFormat="true" ht="11.25" hidden="false" customHeight="true" outlineLevel="0" collapsed="false">
      <c r="B83" s="107"/>
      <c r="G83" s="6"/>
    </row>
    <row r="84" s="4" customFormat="true" ht="12.8" hidden="false" customHeight="false" outlineLevel="0" collapsed="false">
      <c r="A84" s="6" t="s">
        <v>62</v>
      </c>
      <c r="G84" s="6"/>
    </row>
    <row r="85" s="4" customFormat="true" ht="12.8" hidden="false" customHeight="false" outlineLevel="0" collapsed="false">
      <c r="A85" s="6"/>
      <c r="G85" s="6"/>
    </row>
    <row r="86" s="4" customFormat="true" ht="12.8" hidden="false" customHeight="false" outlineLevel="0" collapsed="false">
      <c r="A86" s="107" t="s">
        <v>63</v>
      </c>
      <c r="G86" s="6"/>
    </row>
    <row r="87" s="4" customFormat="true" ht="12.8" hidden="false" customHeight="false" outlineLevel="0" collapsed="false">
      <c r="A87" s="66" t="s">
        <v>19</v>
      </c>
      <c r="B87" s="67" t="s">
        <v>20</v>
      </c>
      <c r="C87" s="67" t="s">
        <v>13</v>
      </c>
      <c r="D87" s="68" t="s">
        <v>21</v>
      </c>
      <c r="E87" s="68" t="s">
        <v>22</v>
      </c>
      <c r="F87" s="69" t="s">
        <v>23</v>
      </c>
      <c r="G87" s="6"/>
    </row>
    <row r="88" s="4" customFormat="true" ht="12.8" hidden="false" customHeight="false" outlineLevel="0" collapsed="false">
      <c r="A88" s="70" t="s">
        <v>64</v>
      </c>
      <c r="B88" s="71" t="s">
        <v>42</v>
      </c>
      <c r="C88" s="71" t="n">
        <v>71.7</v>
      </c>
      <c r="D88" s="72" t="n">
        <v>161.75</v>
      </c>
      <c r="E88" s="73" t="n">
        <f aca="false">C88*D88</f>
        <v>11597.475</v>
      </c>
      <c r="G88" s="6"/>
    </row>
    <row r="89" s="4" customFormat="true" ht="12.8" hidden="false" customHeight="false" outlineLevel="0" collapsed="false">
      <c r="A89" s="6"/>
      <c r="C89" s="108"/>
      <c r="D89" s="83" t="s">
        <v>32</v>
      </c>
      <c r="E89" s="84" t="n">
        <f aca="false">$B$35</f>
        <v>1</v>
      </c>
      <c r="F89" s="106" t="n">
        <f aca="false">E88*E89</f>
        <v>11597.475</v>
      </c>
      <c r="G89" s="6"/>
    </row>
    <row r="90" s="4" customFormat="true" ht="12.8" hidden="false" customHeight="false" outlineLevel="0" collapsed="false">
      <c r="A90" s="6"/>
      <c r="G90" s="6"/>
    </row>
    <row r="91" s="4" customFormat="true" ht="12.8" hidden="false" customHeight="false" outlineLevel="0" collapsed="false">
      <c r="A91" s="6" t="s">
        <v>65</v>
      </c>
      <c r="G91" s="6"/>
    </row>
    <row r="92" s="4" customFormat="true" ht="11.25" hidden="false" customHeight="true" outlineLevel="0" collapsed="false">
      <c r="G92" s="6"/>
    </row>
    <row r="93" s="4" customFormat="true" ht="12.75" hidden="false" customHeight="false" outlineLevel="0" collapsed="false">
      <c r="A93" s="107" t="s">
        <v>66</v>
      </c>
      <c r="G93" s="6"/>
    </row>
    <row r="94" s="4" customFormat="true" ht="12.75" hidden="false" customHeight="false" outlineLevel="0" collapsed="false">
      <c r="A94" s="66" t="s">
        <v>19</v>
      </c>
      <c r="B94" s="67" t="s">
        <v>20</v>
      </c>
      <c r="C94" s="67" t="s">
        <v>13</v>
      </c>
      <c r="D94" s="68" t="s">
        <v>21</v>
      </c>
      <c r="E94" s="68" t="s">
        <v>22</v>
      </c>
      <c r="F94" s="69" t="s">
        <v>23</v>
      </c>
      <c r="G94" s="6"/>
    </row>
    <row r="95" s="4" customFormat="true" ht="12.75" hidden="false" customHeight="false" outlineLevel="0" collapsed="false">
      <c r="A95" s="70" t="s">
        <v>67</v>
      </c>
      <c r="B95" s="71" t="s">
        <v>42</v>
      </c>
      <c r="C95" s="71" t="n">
        <v>1</v>
      </c>
      <c r="D95" s="72" t="n">
        <v>503427.5</v>
      </c>
      <c r="E95" s="73" t="n">
        <f aca="false">C95*D95</f>
        <v>503427.5</v>
      </c>
      <c r="G95" s="6"/>
    </row>
    <row r="96" s="4" customFormat="true" ht="12.75" hidden="false" customHeight="false" outlineLevel="0" collapsed="false">
      <c r="A96" s="74" t="s">
        <v>68</v>
      </c>
      <c r="B96" s="75" t="s">
        <v>69</v>
      </c>
      <c r="C96" s="82" t="n">
        <v>10</v>
      </c>
      <c r="D96" s="76"/>
      <c r="E96" s="76"/>
      <c r="G96" s="6"/>
    </row>
    <row r="97" s="4" customFormat="true" ht="12.75" hidden="false" customHeight="false" outlineLevel="0" collapsed="false">
      <c r="A97" s="74" t="s">
        <v>70</v>
      </c>
      <c r="B97" s="75" t="s">
        <v>69</v>
      </c>
      <c r="C97" s="82" t="n">
        <v>0</v>
      </c>
      <c r="D97" s="76"/>
      <c r="E97" s="76"/>
      <c r="F97" s="109"/>
      <c r="I97" s="110"/>
      <c r="J97" s="110"/>
    </row>
    <row r="98" s="4" customFormat="true" ht="12.75" hidden="false" customHeight="false" outlineLevel="0" collapsed="false">
      <c r="A98" s="74" t="s">
        <v>71</v>
      </c>
      <c r="B98" s="75" t="s">
        <v>9</v>
      </c>
      <c r="C98" s="81" t="n">
        <f aca="false">IFERROR(VLOOKUP(C96,'5. Depreciação'!A3:B17,2,0),0)</f>
        <v>65.18</v>
      </c>
      <c r="D98" s="76" t="n">
        <f aca="false">E95</f>
        <v>503427.5</v>
      </c>
      <c r="E98" s="76" t="n">
        <f aca="false">C98*D98/100</f>
        <v>328134.0445</v>
      </c>
    </row>
    <row r="99" s="4" customFormat="true" ht="12.75" hidden="false" customHeight="false" outlineLevel="0" collapsed="false">
      <c r="A99" s="111" t="s">
        <v>72</v>
      </c>
      <c r="B99" s="112" t="s">
        <v>25</v>
      </c>
      <c r="C99" s="112" t="n">
        <f aca="false">C96*12</f>
        <v>120</v>
      </c>
      <c r="D99" s="113" t="n">
        <f aca="false">IF(C97&lt;=C96,E98,0)</f>
        <v>328134.0445</v>
      </c>
      <c r="E99" s="113" t="n">
        <f aca="false">IFERROR(D99/C99,0)</f>
        <v>2734.45037083333</v>
      </c>
    </row>
    <row r="100" s="4" customFormat="true" ht="12.75" hidden="false" customHeight="false" outlineLevel="0" collapsed="false">
      <c r="A100" s="77" t="s">
        <v>73</v>
      </c>
      <c r="B100" s="78"/>
      <c r="C100" s="78"/>
      <c r="D100" s="79"/>
      <c r="E100" s="80" t="n">
        <f aca="false">E99</f>
        <v>2734.45037083333</v>
      </c>
    </row>
    <row r="101" s="4" customFormat="true" ht="12.75" hidden="false" customHeight="false" outlineLevel="0" collapsed="false">
      <c r="A101" s="114" t="s">
        <v>74</v>
      </c>
      <c r="B101" s="115" t="s">
        <v>42</v>
      </c>
      <c r="C101" s="82" t="n">
        <v>1</v>
      </c>
      <c r="D101" s="116" t="n">
        <f aca="false">E100</f>
        <v>2734.45037083333</v>
      </c>
      <c r="E101" s="80" t="n">
        <f aca="false">C101*D101</f>
        <v>2734.45037083333</v>
      </c>
    </row>
    <row r="102" s="4" customFormat="true" ht="12.75" hidden="false" customHeight="false" outlineLevel="0" collapsed="false">
      <c r="A102" s="108"/>
      <c r="B102" s="108"/>
      <c r="C102" s="108"/>
      <c r="D102" s="83" t="s">
        <v>32</v>
      </c>
      <c r="E102" s="84" t="n">
        <f aca="false">$B$35</f>
        <v>1</v>
      </c>
      <c r="F102" s="106" t="n">
        <f aca="false">E101*E102</f>
        <v>2734.45037083333</v>
      </c>
    </row>
    <row r="103" s="4" customFormat="true" ht="11.25" hidden="false" customHeight="true" outlineLevel="0" collapsed="false"/>
    <row r="104" s="4" customFormat="true" ht="12.75" hidden="false" customHeight="false" outlineLevel="0" collapsed="false">
      <c r="A104" s="107" t="s">
        <v>75</v>
      </c>
    </row>
    <row r="105" s="4" customFormat="true" ht="12.75" hidden="false" customHeight="false" outlineLevel="0" collapsed="false">
      <c r="A105" s="117" t="s">
        <v>19</v>
      </c>
      <c r="B105" s="118" t="s">
        <v>20</v>
      </c>
      <c r="C105" s="118" t="s">
        <v>13</v>
      </c>
      <c r="D105" s="68" t="s">
        <v>21</v>
      </c>
      <c r="E105" s="119" t="s">
        <v>22</v>
      </c>
      <c r="F105" s="69" t="s">
        <v>23</v>
      </c>
      <c r="I105" s="110"/>
      <c r="J105" s="110"/>
    </row>
    <row r="106" s="4" customFormat="true" ht="12.75" hidden="false" customHeight="false" outlineLevel="0" collapsed="false">
      <c r="A106" s="74" t="s">
        <v>76</v>
      </c>
      <c r="B106" s="75" t="s">
        <v>42</v>
      </c>
      <c r="C106" s="71" t="n">
        <v>1</v>
      </c>
      <c r="D106" s="76" t="n">
        <f aca="false">D95</f>
        <v>503427.5</v>
      </c>
      <c r="E106" s="76" t="n">
        <f aca="false">C106*D106</f>
        <v>503427.5</v>
      </c>
      <c r="F106" s="109"/>
      <c r="I106" s="110"/>
      <c r="J106" s="110"/>
    </row>
    <row r="107" s="4" customFormat="true" ht="12.75" hidden="false" customHeight="false" outlineLevel="0" collapsed="false">
      <c r="A107" s="74" t="s">
        <v>77</v>
      </c>
      <c r="B107" s="75" t="s">
        <v>9</v>
      </c>
      <c r="C107" s="82" t="n">
        <v>14.5</v>
      </c>
      <c r="D107" s="76"/>
      <c r="E107" s="76"/>
      <c r="F107" s="109"/>
      <c r="I107" s="110"/>
      <c r="J107" s="110"/>
    </row>
    <row r="108" s="4" customFormat="true" ht="12.75" hidden="false" customHeight="false" outlineLevel="0" collapsed="false">
      <c r="A108" s="74" t="s">
        <v>78</v>
      </c>
      <c r="B108" s="75" t="s">
        <v>36</v>
      </c>
      <c r="C108" s="120" t="n">
        <f aca="false">IFERROR(IF(C97&lt;=C96,E95-(C98/(100*C96)*C97)*E95,E95-E98),0)</f>
        <v>503427.5</v>
      </c>
      <c r="D108" s="76"/>
      <c r="E108" s="76"/>
      <c r="F108" s="109"/>
      <c r="I108" s="110"/>
      <c r="J108" s="110"/>
    </row>
    <row r="109" s="4" customFormat="true" ht="12.75" hidden="false" customHeight="false" outlineLevel="0" collapsed="false">
      <c r="A109" s="74" t="s">
        <v>79</v>
      </c>
      <c r="B109" s="75" t="s">
        <v>36</v>
      </c>
      <c r="C109" s="76" t="n">
        <f aca="false">IFERROR(IF(C97&gt;=C96,C108,((((C108)-(E95-E98))*(((C96-C97)+1)/(2*(C96-C97))))+(E95-E98))),0)</f>
        <v>355767.179975</v>
      </c>
      <c r="D109" s="76"/>
      <c r="E109" s="76"/>
      <c r="F109" s="109"/>
      <c r="I109" s="110"/>
      <c r="J109" s="110"/>
    </row>
    <row r="110" s="4" customFormat="true" ht="12.75" hidden="false" customHeight="false" outlineLevel="0" collapsed="false">
      <c r="A110" s="111" t="s">
        <v>80</v>
      </c>
      <c r="B110" s="112" t="s">
        <v>36</v>
      </c>
      <c r="C110" s="112"/>
      <c r="D110" s="113" t="n">
        <f aca="false">C107*C109/12/100</f>
        <v>4298.85342469792</v>
      </c>
      <c r="E110" s="113" t="n">
        <f aca="false">D110</f>
        <v>4298.85342469792</v>
      </c>
      <c r="F110" s="109"/>
      <c r="I110" s="110"/>
      <c r="J110" s="110"/>
    </row>
    <row r="111" s="4" customFormat="true" ht="12.75" hidden="false" customHeight="false" outlineLevel="0" collapsed="false">
      <c r="A111" s="77" t="s">
        <v>73</v>
      </c>
      <c r="B111" s="78"/>
      <c r="C111" s="78"/>
      <c r="D111" s="79"/>
      <c r="E111" s="80" t="n">
        <f aca="false">E110</f>
        <v>4298.85342469792</v>
      </c>
      <c r="F111" s="109"/>
      <c r="I111" s="110"/>
      <c r="J111" s="110"/>
    </row>
    <row r="112" s="4" customFormat="true" ht="12.75" hidden="false" customHeight="false" outlineLevel="0" collapsed="false">
      <c r="A112" s="114" t="s">
        <v>74</v>
      </c>
      <c r="B112" s="115" t="s">
        <v>42</v>
      </c>
      <c r="C112" s="75" t="n">
        <f aca="false">C101</f>
        <v>1</v>
      </c>
      <c r="D112" s="116" t="n">
        <f aca="false">E111</f>
        <v>4298.85342469792</v>
      </c>
      <c r="E112" s="80" t="n">
        <f aca="false">C112*D112</f>
        <v>4298.85342469792</v>
      </c>
      <c r="F112" s="109"/>
      <c r="I112" s="110"/>
      <c r="J112" s="110"/>
    </row>
    <row r="113" s="4" customFormat="true" ht="12.75" hidden="false" customHeight="false" outlineLevel="0" collapsed="false">
      <c r="C113" s="121"/>
      <c r="D113" s="83" t="s">
        <v>32</v>
      </c>
      <c r="E113" s="84" t="n">
        <f aca="false">$B$35</f>
        <v>1</v>
      </c>
      <c r="F113" s="106" t="n">
        <f aca="false">E112*E113</f>
        <v>4298.85342469792</v>
      </c>
      <c r="I113" s="110"/>
      <c r="J113" s="110"/>
    </row>
    <row r="114" s="4" customFormat="true" ht="11.25" hidden="false" customHeight="true" outlineLevel="0" collapsed="false">
      <c r="G114" s="6"/>
    </row>
    <row r="115" s="4" customFormat="true" ht="12.75" hidden="false" customHeight="false" outlineLevel="0" collapsed="false">
      <c r="A115" s="94" t="s">
        <v>81</v>
      </c>
      <c r="B115" s="95"/>
      <c r="C115" s="95"/>
      <c r="D115" s="42"/>
      <c r="E115" s="96"/>
      <c r="F115" s="106" t="n">
        <f aca="false">+SUM(F87:F114)</f>
        <v>18630.7787955313</v>
      </c>
      <c r="G115" s="6"/>
    </row>
    <row r="116" s="4" customFormat="true" ht="11.25" hidden="false" customHeight="true" outlineLevel="0" collapsed="false">
      <c r="G116" s="6"/>
    </row>
    <row r="117" s="4" customFormat="true" ht="17.25" hidden="false" customHeight="true" outlineLevel="0" collapsed="false">
      <c r="A117" s="94" t="s">
        <v>82</v>
      </c>
      <c r="B117" s="103"/>
      <c r="C117" s="103"/>
      <c r="D117" s="104"/>
      <c r="E117" s="105"/>
      <c r="F117" s="92" t="n">
        <f aca="false">+F60+F80+F115</f>
        <v>25106.6178955313</v>
      </c>
    </row>
    <row r="118" s="4" customFormat="true" ht="11.25" hidden="false" customHeight="true" outlineLevel="0" collapsed="false"/>
    <row r="119" s="4" customFormat="true" ht="12.75" hidden="false" customHeight="false" outlineLevel="0" collapsed="false">
      <c r="A119" s="3" t="s">
        <v>83</v>
      </c>
    </row>
    <row r="120" s="4" customFormat="true" ht="11.25" hidden="false" customHeight="true" outlineLevel="0" collapsed="false"/>
    <row r="121" s="4" customFormat="true" ht="12.75" hidden="false" customHeight="false" outlineLevel="0" collapsed="false">
      <c r="A121" s="66" t="s">
        <v>19</v>
      </c>
      <c r="B121" s="67" t="s">
        <v>20</v>
      </c>
      <c r="C121" s="67" t="s">
        <v>13</v>
      </c>
      <c r="D121" s="68" t="s">
        <v>21</v>
      </c>
      <c r="E121" s="68" t="s">
        <v>22</v>
      </c>
      <c r="F121" s="69" t="s">
        <v>23</v>
      </c>
    </row>
    <row r="122" s="4" customFormat="true" ht="12.75" hidden="false" customHeight="false" outlineLevel="0" collapsed="false">
      <c r="A122" s="70" t="s">
        <v>84</v>
      </c>
      <c r="B122" s="71" t="s">
        <v>9</v>
      </c>
      <c r="C122" s="81" t="n">
        <f aca="false">'4.BDI'!C18*100</f>
        <v>27.93</v>
      </c>
      <c r="D122" s="73" t="n">
        <f aca="false">+F117</f>
        <v>25106.6178955313</v>
      </c>
      <c r="E122" s="73" t="n">
        <f aca="false">C122*D122/100</f>
        <v>7012.27837822188</v>
      </c>
    </row>
    <row r="123" s="4" customFormat="true" ht="12.75" hidden="false" customHeight="false" outlineLevel="0" collapsed="false">
      <c r="F123" s="106" t="n">
        <f aca="false">+E122</f>
        <v>7012.27837822188</v>
      </c>
    </row>
    <row r="124" s="4" customFormat="true" ht="11.25" hidden="false" customHeight="true" outlineLevel="0" collapsed="false"/>
    <row r="125" s="4" customFormat="true" ht="12.75" hidden="false" customHeight="false" outlineLevel="0" collapsed="false">
      <c r="A125" s="94" t="s">
        <v>85</v>
      </c>
      <c r="B125" s="103"/>
      <c r="C125" s="103"/>
      <c r="D125" s="104"/>
      <c r="E125" s="105"/>
      <c r="F125" s="92" t="n">
        <f aca="false">F123</f>
        <v>7012.27837822188</v>
      </c>
    </row>
    <row r="126" s="4" customFormat="true" ht="12.75" hidden="false" customHeight="false" outlineLevel="0" collapsed="false">
      <c r="A126" s="64"/>
      <c r="B126" s="64"/>
      <c r="C126" s="64"/>
      <c r="D126" s="29"/>
      <c r="E126" s="29"/>
      <c r="F126" s="79"/>
    </row>
    <row r="127" s="4" customFormat="true" ht="11.25" hidden="false" customHeight="true" outlineLevel="0" collapsed="false"/>
    <row r="128" s="4" customFormat="true" ht="24.75" hidden="false" customHeight="true" outlineLevel="0" collapsed="false">
      <c r="A128" s="94" t="s">
        <v>86</v>
      </c>
      <c r="B128" s="103"/>
      <c r="C128" s="103"/>
      <c r="D128" s="104"/>
      <c r="E128" s="105"/>
      <c r="F128" s="92" t="n">
        <f aca="false">F117+F125</f>
        <v>32118.8962737531</v>
      </c>
    </row>
    <row r="129" customFormat="false" ht="12.6" hidden="false" customHeight="true" outlineLevel="0" collapsed="false"/>
    <row r="130" customFormat="false" ht="9.75" hidden="false" customHeight="true" outlineLevel="0" collapsed="false"/>
    <row r="160" customFormat="false" ht="9" hidden="false" customHeight="true" outlineLevel="0" collapsed="false"/>
    <row r="1048409" customFormat="false" ht="12.8" hidden="false" customHeight="false" outlineLevel="0" collapsed="false"/>
    <row r="1048410" customFormat="false" ht="12.8" hidden="false" customHeight="false" outlineLevel="0" collapsed="false"/>
    <row r="1048411" customFormat="false" ht="12.8" hidden="false" customHeight="false" outlineLevel="0" collapsed="false"/>
    <row r="1048412" customFormat="false" ht="12.8" hidden="false" customHeight="false" outlineLevel="0" collapsed="false"/>
    <row r="1048413" customFormat="false" ht="12.8" hidden="false" customHeight="false" outlineLevel="0" collapsed="false"/>
    <row r="1048414" customFormat="false" ht="12.8" hidden="false" customHeight="false" outlineLevel="0" collapsed="false"/>
    <row r="1048415" customFormat="false" ht="12.8" hidden="false" customHeight="false" outlineLevel="0" collapsed="false"/>
    <row r="1048416" customFormat="false" ht="12.8" hidden="false" customHeight="false" outlineLevel="0" collapsed="false"/>
    <row r="1048417" customFormat="false" ht="12.8" hidden="false" customHeight="false" outlineLevel="0" collapsed="false"/>
    <row r="1048418" customFormat="false" ht="12.8" hidden="false" customHeight="false" outlineLevel="0" collapsed="false"/>
    <row r="1048419" customFormat="false" ht="12.8" hidden="false" customHeight="false" outlineLevel="0" collapsed="false"/>
    <row r="1048420" customFormat="false" ht="12.8" hidden="false" customHeight="false" outlineLevel="0" collapsed="false"/>
    <row r="1048421" customFormat="false" ht="12.8" hidden="false" customHeight="false" outlineLevel="0" collapsed="false"/>
    <row r="1048422" customFormat="false" ht="12.8" hidden="false" customHeight="false" outlineLevel="0" collapsed="false"/>
    <row r="1048423" customFormat="false" ht="12.8" hidden="false" customHeight="false" outlineLevel="0" collapsed="false"/>
    <row r="1048424" customFormat="false" ht="12.8" hidden="false" customHeight="false" outlineLevel="0" collapsed="false"/>
    <row r="1048425" customFormat="false" ht="12.8" hidden="false" customHeight="false" outlineLevel="0" collapsed="false"/>
    <row r="1048426" customFormat="false" ht="12.8" hidden="false" customHeight="false" outlineLevel="0" collapsed="false"/>
    <row r="1048427" customFormat="false" ht="12.8" hidden="false" customHeight="false" outlineLevel="0" collapsed="false"/>
    <row r="1048428" customFormat="false" ht="12.8" hidden="false" customHeight="false" outlineLevel="0" collapsed="false"/>
    <row r="1048429" customFormat="false" ht="12.8" hidden="false" customHeight="false" outlineLevel="0" collapsed="false"/>
    <row r="1048430" customFormat="false" ht="12.8" hidden="false" customHeight="false" outlineLevel="0" collapsed="false"/>
    <row r="1048431" customFormat="false" ht="12.8" hidden="false" customHeight="false" outlineLevel="0" collapsed="false"/>
    <row r="1048432" customFormat="false" ht="12.8" hidden="false" customHeight="false" outlineLevel="0" collapsed="false"/>
    <row r="1048433" customFormat="false" ht="12.8" hidden="false" customHeight="false" outlineLevel="0" collapsed="false"/>
    <row r="1048434" customFormat="false" ht="12.8" hidden="false" customHeight="false" outlineLevel="0" collapsed="false"/>
    <row r="1048435" customFormat="false" ht="12.8" hidden="false" customHeight="false" outlineLevel="0" collapsed="false"/>
    <row r="1048436" customFormat="false" ht="12.8" hidden="false" customHeight="false" outlineLevel="0" collapsed="false"/>
    <row r="1048437" customFormat="false" ht="12.8" hidden="false" customHeight="false" outlineLevel="0" collapsed="false"/>
    <row r="1048438" customFormat="false" ht="12.8" hidden="false" customHeight="false" outlineLevel="0" collapsed="false"/>
    <row r="1048439" customFormat="false" ht="12.8" hidden="false" customHeight="false" outlineLevel="0" collapsed="false"/>
    <row r="1048440" customFormat="false" ht="12.8" hidden="false" customHeight="false" outlineLevel="0" collapsed="false"/>
    <row r="1048441" customFormat="false" ht="12.8" hidden="false" customHeight="false" outlineLevel="0" collapsed="false"/>
    <row r="1048442" customFormat="false" ht="12.8" hidden="false" customHeight="false" outlineLevel="0" collapsed="false"/>
    <row r="1048443" customFormat="false" ht="12.8" hidden="false" customHeight="false" outlineLevel="0" collapsed="false"/>
    <row r="1048444" customFormat="false" ht="12.8" hidden="false" customHeight="false" outlineLevel="0" collapsed="false"/>
    <row r="1048445" customFormat="false" ht="12.8" hidden="false" customHeight="false" outlineLevel="0" collapsed="false"/>
    <row r="1048446" customFormat="false" ht="12.8" hidden="false" customHeight="false" outlineLevel="0" collapsed="false"/>
    <row r="1048447" customFormat="false" ht="12.8" hidden="false" customHeight="false" outlineLevel="0" collapsed="false"/>
    <row r="1048448" customFormat="false" ht="12.8" hidden="false" customHeight="false" outlineLevel="0" collapsed="false"/>
    <row r="1048449" customFormat="false" ht="12.8" hidden="false" customHeight="false" outlineLevel="0" collapsed="false"/>
    <row r="1048450" customFormat="false" ht="12.8" hidden="false" customHeight="false" outlineLevel="0" collapsed="false"/>
    <row r="1048451" customFormat="false" ht="12.8" hidden="false" customHeight="false" outlineLevel="0" collapsed="false"/>
    <row r="1048452" customFormat="false" ht="12.8" hidden="false" customHeight="false" outlineLevel="0" collapsed="false"/>
    <row r="1048453" customFormat="false" ht="12.8" hidden="false" customHeight="false" outlineLevel="0" collapsed="false"/>
    <row r="1048454" customFormat="false" ht="12.8" hidden="false" customHeight="false" outlineLevel="0" collapsed="false"/>
    <row r="1048455" customFormat="false" ht="12.8" hidden="false" customHeight="false" outlineLevel="0" collapsed="false"/>
    <row r="1048456" customFormat="false" ht="12.8" hidden="false" customHeight="false" outlineLevel="0" collapsed="false"/>
    <row r="1048457" customFormat="false" ht="12.8" hidden="false" customHeight="false" outlineLevel="0" collapsed="false"/>
    <row r="1048458" customFormat="false" ht="12.8" hidden="false" customHeight="false" outlineLevel="0" collapsed="false"/>
    <row r="1048459" customFormat="false" ht="12.8" hidden="false" customHeight="false" outlineLevel="0" collapsed="false"/>
    <row r="1048460" customFormat="false" ht="12.8" hidden="false" customHeight="false" outlineLevel="0" collapsed="false"/>
    <row r="1048461" customFormat="false" ht="12.8" hidden="false" customHeight="false" outlineLevel="0" collapsed="false"/>
    <row r="1048462" customFormat="false" ht="12.8" hidden="false" customHeight="false" outlineLevel="0" collapsed="false"/>
    <row r="1048463" customFormat="false" ht="12.8" hidden="false" customHeight="false" outlineLevel="0" collapsed="false"/>
    <row r="1048464" customFormat="false" ht="12.8" hidden="false" customHeight="false" outlineLevel="0" collapsed="false"/>
    <row r="1048465" customFormat="false" ht="12.8" hidden="false" customHeight="false" outlineLevel="0" collapsed="false"/>
    <row r="1048466" customFormat="false" ht="12.8" hidden="false" customHeight="false" outlineLevel="0" collapsed="false"/>
    <row r="1048467" customFormat="false" ht="12.8" hidden="false" customHeight="false" outlineLevel="0" collapsed="false"/>
    <row r="1048468" customFormat="false" ht="12.8" hidden="false" customHeight="false" outlineLevel="0" collapsed="false"/>
    <row r="1048469" customFormat="false" ht="12.8" hidden="false" customHeight="false" outlineLevel="0" collapsed="false"/>
    <row r="1048470" customFormat="false" ht="12.8" hidden="false" customHeight="false" outlineLevel="0" collapsed="false"/>
    <row r="1048471" customFormat="false" ht="12.8" hidden="false" customHeight="false" outlineLevel="0" collapsed="false"/>
    <row r="1048472" customFormat="false" ht="12.8" hidden="false" customHeight="false" outlineLevel="0" collapsed="false"/>
    <row r="1048473" customFormat="false" ht="12.8" hidden="false" customHeight="false" outlineLevel="0" collapsed="false"/>
    <row r="1048474" customFormat="false" ht="12.8" hidden="false" customHeight="false" outlineLevel="0" collapsed="false"/>
    <row r="1048475" customFormat="false" ht="12.8" hidden="false" customHeight="false" outlineLevel="0" collapsed="false"/>
    <row r="1048476" customFormat="false" ht="12.8" hidden="false" customHeight="false" outlineLevel="0" collapsed="false"/>
    <row r="1048477" customFormat="false" ht="12.8" hidden="false" customHeight="false" outlineLevel="0" collapsed="false"/>
    <row r="1048478" customFormat="false" ht="12.8" hidden="false" customHeight="false" outlineLevel="0" collapsed="false"/>
    <row r="1048479" customFormat="false" ht="12.8" hidden="false" customHeight="false" outlineLevel="0" collapsed="false"/>
    <row r="1048480" customFormat="false" ht="12.8" hidden="false" customHeight="false" outlineLevel="0" collapsed="false"/>
    <row r="1048481" customFormat="false" ht="12.8" hidden="false" customHeight="false" outlineLevel="0" collapsed="false"/>
    <row r="1048482" customFormat="false" ht="12.8" hidden="false" customHeight="false" outlineLevel="0" collapsed="false"/>
    <row r="1048483" customFormat="false" ht="12.8" hidden="false" customHeight="false" outlineLevel="0" collapsed="false"/>
    <row r="1048484" customFormat="false" ht="12.8" hidden="false" customHeight="false" outlineLevel="0" collapsed="false"/>
    <row r="1048485" customFormat="false" ht="12.8" hidden="false" customHeight="false" outlineLevel="0" collapsed="false"/>
    <row r="1048486" customFormat="false" ht="12.8" hidden="false" customHeight="false" outlineLevel="0" collapsed="false"/>
    <row r="1048487" customFormat="false" ht="12.8" hidden="false" customHeight="false" outlineLevel="0" collapsed="false"/>
    <row r="1048488" customFormat="false" ht="12.8" hidden="false" customHeight="false" outlineLevel="0" collapsed="false"/>
    <row r="1048489" customFormat="false" ht="12.8" hidden="false" customHeight="false" outlineLevel="0" collapsed="false"/>
    <row r="1048490" customFormat="false" ht="12.8" hidden="false" customHeight="false" outlineLevel="0" collapsed="false"/>
    <row r="1048491" customFormat="false" ht="12.8" hidden="false" customHeight="false" outlineLevel="0" collapsed="false"/>
    <row r="1048492" customFormat="false" ht="12.8" hidden="false" customHeight="false" outlineLevel="0" collapsed="false"/>
    <row r="1048493" customFormat="false" ht="12.8" hidden="false" customHeight="false" outlineLevel="0" collapsed="false"/>
    <row r="1048494" customFormat="false" ht="12.8" hidden="false" customHeight="false" outlineLevel="0" collapsed="false"/>
    <row r="1048495" customFormat="false" ht="12.8" hidden="false" customHeight="false" outlineLevel="0" collapsed="false"/>
    <row r="1048496" customFormat="false" ht="12.8" hidden="false" customHeight="false" outlineLevel="0" collapsed="false"/>
    <row r="1048497" customFormat="false" ht="12.8" hidden="false" customHeight="false" outlineLevel="0" collapsed="false"/>
    <row r="1048498" customFormat="false" ht="12.8" hidden="false" customHeight="false" outlineLevel="0" collapsed="false"/>
    <row r="1048499" customFormat="false" ht="12.8" hidden="false" customHeight="false" outlineLevel="0" collapsed="false"/>
    <row r="1048500" customFormat="false" ht="12.8" hidden="false" customHeight="false" outlineLevel="0" collapsed="false"/>
    <row r="1048501" customFormat="false" ht="12.8" hidden="false" customHeight="false" outlineLevel="0" collapsed="false"/>
    <row r="1048502" customFormat="false" ht="12.8" hidden="false" customHeight="false" outlineLevel="0" collapsed="false"/>
    <row r="1048503" customFormat="false" ht="12.8" hidden="false" customHeight="false" outlineLevel="0" collapsed="false"/>
    <row r="1048504" customFormat="false" ht="12.8" hidden="false" customHeight="false" outlineLevel="0" collapsed="false"/>
    <row r="1048505" customFormat="false" ht="12.8" hidden="false" customHeight="false" outlineLevel="0" collapsed="false"/>
    <row r="1048506" customFormat="false" ht="12.8" hidden="false" customHeight="false" outlineLevel="0" collapsed="false"/>
    <row r="1048507" customFormat="false" ht="12.8" hidden="false" customHeight="false" outlineLevel="0" collapsed="false"/>
    <row r="1048508" customFormat="false" ht="12.8" hidden="false" customHeight="false" outlineLevel="0" collapsed="false"/>
    <row r="1048509" customFormat="false" ht="12.8" hidden="false" customHeight="false" outlineLevel="0" collapsed="false"/>
    <row r="1048510" customFormat="false" ht="12.8" hidden="false" customHeight="false" outlineLevel="0" collapsed="false"/>
    <row r="1048511" customFormat="false" ht="12.8" hidden="false" customHeight="false" outlineLevel="0" collapsed="false"/>
    <row r="1048512" customFormat="false" ht="12.8" hidden="false" customHeight="false" outlineLevel="0" collapsed="false"/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7">
    <mergeCell ref="A8:F8"/>
    <mergeCell ref="A9:F9"/>
    <mergeCell ref="A11:F11"/>
    <mergeCell ref="A15:C15"/>
    <mergeCell ref="A26:E26"/>
    <mergeCell ref="A27:D27"/>
    <mergeCell ref="A31:D31"/>
  </mergeCells>
  <printOptions headings="false" gridLines="false" gridLinesSet="true" horizontalCentered="false" verticalCentered="false"/>
  <pageMargins left="0.905555555555556" right="0.511805555555556" top="0.14375" bottom="0.490972222222222" header="0.511811023622047" footer="0.0583333333333333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&amp;R&amp;P de &amp;N</oddFooter>
  </headerFooter>
  <rowBreaks count="2" manualBreakCount="2">
    <brk id="36" man="true" max="16383" min="0"/>
    <brk id="81" man="true" max="16383" min="0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53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D8" activeCellId="0" sqref="D8"/>
    </sheetView>
  </sheetViews>
  <sheetFormatPr defaultColWidth="8.6796875" defaultRowHeight="12.75" customHeight="false" zeroHeight="false" outlineLevelRow="0" outlineLevelCol="0"/>
  <cols>
    <col collapsed="false" customWidth="true" hidden="false" outlineLevel="0" max="1" min="1" style="1" width="13.23"/>
    <col collapsed="false" customWidth="true" hidden="false" outlineLevel="0" max="2" min="2" style="1" width="35.77"/>
    <col collapsed="false" customWidth="true" hidden="false" outlineLevel="0" max="3" min="3" style="1" width="14.04"/>
    <col collapsed="false" customWidth="true" hidden="false" outlineLevel="0" max="4" min="4" style="122" width="36.45"/>
    <col collapsed="false" customWidth="true" hidden="false" outlineLevel="0" max="10" min="5" style="1" width="8.8"/>
    <col collapsed="false" customWidth="true" hidden="false" outlineLevel="0" max="11" min="11" style="1" width="10.65"/>
    <col collapsed="false" customWidth="true" hidden="false" outlineLevel="0" max="1025" min="12" style="1" width="8.8"/>
  </cols>
  <sheetData>
    <row r="1" customFormat="false" ht="12.75" hidden="false" customHeight="false" outlineLevel="0" collapsed="false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customFormat="false" ht="12.75" hidden="false" customHeight="false" outlineLevel="0" collapsed="false">
      <c r="A2" s="5" t="s">
        <v>87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customFormat="false" ht="12.75" hidden="false" customHeight="false" outlineLevel="0" collapsed="false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customFormat="false" ht="17.35" hidden="false" customHeight="false" outlineLevel="0" collapsed="false">
      <c r="A4" s="123" t="s">
        <v>88</v>
      </c>
      <c r="B4" s="123"/>
      <c r="C4" s="123"/>
      <c r="D4" s="124"/>
      <c r="E4" s="124"/>
      <c r="F4" s="124"/>
      <c r="G4" s="4"/>
      <c r="H4" s="4"/>
      <c r="I4" s="4"/>
      <c r="J4" s="4"/>
      <c r="K4" s="4"/>
      <c r="L4" s="4"/>
    </row>
    <row r="5" customFormat="false" ht="13.8" hidden="false" customHeight="false" outlineLevel="0" collapsed="false">
      <c r="A5" s="125" t="s">
        <v>89</v>
      </c>
      <c r="B5" s="126" t="s">
        <v>90</v>
      </c>
      <c r="C5" s="127" t="s">
        <v>91</v>
      </c>
      <c r="D5" s="128"/>
      <c r="E5" s="4"/>
      <c r="F5" s="4"/>
      <c r="G5" s="4"/>
      <c r="H5" s="4"/>
      <c r="I5" s="4"/>
      <c r="J5" s="4"/>
      <c r="K5" s="4"/>
      <c r="L5" s="4"/>
    </row>
    <row r="6" customFormat="false" ht="13.8" hidden="false" customHeight="false" outlineLevel="0" collapsed="false">
      <c r="A6" s="125" t="s">
        <v>92</v>
      </c>
      <c r="B6" s="126" t="s">
        <v>93</v>
      </c>
      <c r="C6" s="129" t="n">
        <v>0.2</v>
      </c>
      <c r="D6" s="128"/>
      <c r="E6" s="4"/>
      <c r="F6" s="122"/>
      <c r="G6" s="122"/>
      <c r="H6" s="122"/>
      <c r="I6" s="122"/>
      <c r="J6" s="122"/>
      <c r="K6" s="122"/>
      <c r="L6" s="122"/>
    </row>
    <row r="7" customFormat="false" ht="13.8" hidden="false" customHeight="false" outlineLevel="0" collapsed="false">
      <c r="A7" s="125" t="s">
        <v>94</v>
      </c>
      <c r="B7" s="126" t="s">
        <v>95</v>
      </c>
      <c r="C7" s="129" t="n">
        <v>0.015</v>
      </c>
      <c r="D7" s="128"/>
      <c r="E7" s="4"/>
      <c r="F7" s="122"/>
      <c r="G7" s="122"/>
      <c r="H7" s="122"/>
      <c r="I7" s="122"/>
      <c r="J7" s="122"/>
      <c r="K7" s="122"/>
      <c r="L7" s="122"/>
    </row>
    <row r="8" customFormat="false" ht="13.8" hidden="false" customHeight="false" outlineLevel="0" collapsed="false">
      <c r="A8" s="125" t="s">
        <v>96</v>
      </c>
      <c r="B8" s="126" t="s">
        <v>97</v>
      </c>
      <c r="C8" s="129" t="n">
        <v>0.01</v>
      </c>
      <c r="D8" s="128"/>
      <c r="E8" s="4"/>
      <c r="F8" s="122"/>
      <c r="G8" s="122"/>
      <c r="H8" s="122"/>
      <c r="I8" s="122"/>
      <c r="J8" s="122"/>
      <c r="K8" s="122"/>
      <c r="L8" s="122"/>
    </row>
    <row r="9" customFormat="false" ht="13.8" hidden="false" customHeight="false" outlineLevel="0" collapsed="false">
      <c r="A9" s="125" t="s">
        <v>98</v>
      </c>
      <c r="B9" s="126" t="s">
        <v>99</v>
      </c>
      <c r="C9" s="129" t="n">
        <v>0.002</v>
      </c>
      <c r="D9" s="128"/>
      <c r="E9" s="4"/>
      <c r="F9" s="122"/>
      <c r="G9" s="122"/>
      <c r="H9" s="122"/>
      <c r="I9" s="122"/>
      <c r="J9" s="122"/>
      <c r="K9" s="122"/>
      <c r="L9" s="122"/>
    </row>
    <row r="10" customFormat="false" ht="13.8" hidden="false" customHeight="false" outlineLevel="0" collapsed="false">
      <c r="A10" s="125" t="s">
        <v>100</v>
      </c>
      <c r="B10" s="126" t="s">
        <v>101</v>
      </c>
      <c r="C10" s="129" t="n">
        <v>0.006</v>
      </c>
      <c r="D10" s="128"/>
      <c r="E10" s="4"/>
      <c r="F10" s="122"/>
      <c r="G10" s="122"/>
      <c r="H10" s="122"/>
      <c r="I10" s="122"/>
      <c r="J10" s="122"/>
      <c r="K10" s="122"/>
      <c r="L10" s="122"/>
    </row>
    <row r="11" customFormat="false" ht="13.8" hidden="false" customHeight="false" outlineLevel="0" collapsed="false">
      <c r="A11" s="125" t="s">
        <v>102</v>
      </c>
      <c r="B11" s="126" t="s">
        <v>103</v>
      </c>
      <c r="C11" s="129" t="n">
        <v>0.025</v>
      </c>
      <c r="D11" s="128"/>
      <c r="E11" s="4"/>
      <c r="F11" s="122"/>
      <c r="G11" s="122"/>
      <c r="H11" s="122"/>
      <c r="I11" s="122"/>
      <c r="J11" s="122"/>
      <c r="K11" s="122"/>
      <c r="L11" s="122"/>
    </row>
    <row r="12" customFormat="false" ht="13.8" hidden="false" customHeight="false" outlineLevel="0" collapsed="false">
      <c r="A12" s="125" t="s">
        <v>104</v>
      </c>
      <c r="B12" s="126" t="s">
        <v>105</v>
      </c>
      <c r="C12" s="129" t="n">
        <v>0.03</v>
      </c>
      <c r="D12" s="128"/>
      <c r="E12" s="4"/>
      <c r="F12" s="122"/>
      <c r="G12" s="122"/>
      <c r="H12" s="122"/>
      <c r="I12" s="122"/>
      <c r="J12" s="122"/>
      <c r="K12" s="122"/>
      <c r="L12" s="122"/>
    </row>
    <row r="13" customFormat="false" ht="13.8" hidden="false" customHeight="false" outlineLevel="0" collapsed="false">
      <c r="A13" s="125" t="s">
        <v>106</v>
      </c>
      <c r="B13" s="126" t="s">
        <v>107</v>
      </c>
      <c r="C13" s="129" t="n">
        <v>0.08</v>
      </c>
      <c r="D13" s="128"/>
      <c r="E13" s="4"/>
      <c r="F13" s="122"/>
      <c r="G13" s="122"/>
      <c r="H13" s="122"/>
      <c r="I13" s="122"/>
      <c r="J13" s="122"/>
      <c r="K13" s="122"/>
      <c r="L13" s="122"/>
    </row>
    <row r="14" customFormat="false" ht="13.8" hidden="false" customHeight="false" outlineLevel="0" collapsed="false">
      <c r="A14" s="125" t="s">
        <v>108</v>
      </c>
      <c r="B14" s="130" t="s">
        <v>109</v>
      </c>
      <c r="C14" s="131" t="n">
        <f aca="false">SUM(C6:C13)</f>
        <v>0.368</v>
      </c>
      <c r="D14" s="128"/>
      <c r="E14" s="4"/>
      <c r="F14" s="122"/>
      <c r="G14" s="122"/>
      <c r="H14" s="122"/>
      <c r="I14" s="122"/>
      <c r="J14" s="122"/>
      <c r="K14" s="122"/>
      <c r="L14" s="122"/>
    </row>
    <row r="15" customFormat="false" ht="13.8" hidden="false" customHeight="false" outlineLevel="0" collapsed="false">
      <c r="A15" s="132"/>
      <c r="B15" s="133"/>
      <c r="C15" s="134"/>
      <c r="D15" s="128"/>
      <c r="E15" s="4"/>
      <c r="F15" s="122"/>
      <c r="G15" s="122"/>
      <c r="H15" s="122"/>
      <c r="I15" s="122"/>
      <c r="J15" s="122"/>
      <c r="K15" s="122"/>
      <c r="L15" s="122"/>
    </row>
    <row r="16" customFormat="false" ht="13.8" hidden="false" customHeight="false" outlineLevel="0" collapsed="false">
      <c r="A16" s="125" t="s">
        <v>110</v>
      </c>
      <c r="B16" s="126" t="s">
        <v>111</v>
      </c>
      <c r="C16" s="129" t="n">
        <f aca="false">ROUND(IF('3.CAGED'!C39&gt;24,(1-12/'3.CAGED'!C39)*0.1111,0.1111-C25),4)</f>
        <v>0.0574</v>
      </c>
      <c r="D16" s="128"/>
      <c r="E16" s="4"/>
      <c r="F16" s="122"/>
      <c r="G16" s="122"/>
      <c r="H16" s="122"/>
      <c r="I16" s="122"/>
      <c r="J16" s="122"/>
      <c r="K16" s="122"/>
      <c r="L16" s="122"/>
    </row>
    <row r="17" customFormat="false" ht="13.8" hidden="false" customHeight="false" outlineLevel="0" collapsed="false">
      <c r="A17" s="125" t="s">
        <v>112</v>
      </c>
      <c r="B17" s="126" t="s">
        <v>113</v>
      </c>
      <c r="C17" s="129" t="n">
        <f aca="false">ROUND('3.CAGED'!C33/'3.CAGED'!C30,4)</f>
        <v>0.0833</v>
      </c>
      <c r="D17" s="128"/>
      <c r="E17" s="4"/>
      <c r="F17" s="122"/>
      <c r="G17" s="122"/>
      <c r="H17" s="122"/>
      <c r="I17" s="122"/>
      <c r="J17" s="122"/>
      <c r="K17" s="122"/>
      <c r="L17" s="122"/>
    </row>
    <row r="18" customFormat="false" ht="13.8" hidden="false" customHeight="false" outlineLevel="0" collapsed="false">
      <c r="A18" s="125" t="s">
        <v>114</v>
      </c>
      <c r="B18" s="126" t="s">
        <v>115</v>
      </c>
      <c r="C18" s="129" t="n">
        <v>0.0006</v>
      </c>
      <c r="D18" s="128"/>
      <c r="E18" s="4"/>
      <c r="F18" s="122"/>
      <c r="G18" s="122"/>
      <c r="H18" s="122"/>
      <c r="I18" s="122"/>
      <c r="J18" s="122"/>
      <c r="K18" s="122"/>
      <c r="L18" s="122"/>
    </row>
    <row r="19" customFormat="false" ht="13.8" hidden="false" customHeight="false" outlineLevel="0" collapsed="false">
      <c r="A19" s="125" t="s">
        <v>116</v>
      </c>
      <c r="B19" s="126" t="s">
        <v>117</v>
      </c>
      <c r="C19" s="129" t="n">
        <v>0.0082</v>
      </c>
      <c r="D19" s="128"/>
      <c r="E19" s="4"/>
      <c r="F19" s="122"/>
      <c r="G19" s="122"/>
      <c r="H19" s="122"/>
      <c r="I19" s="122"/>
      <c r="J19" s="122"/>
      <c r="K19" s="122"/>
      <c r="L19" s="122"/>
    </row>
    <row r="20" customFormat="false" ht="13.8" hidden="false" customHeight="false" outlineLevel="0" collapsed="false">
      <c r="A20" s="125" t="s">
        <v>118</v>
      </c>
      <c r="B20" s="126" t="s">
        <v>119</v>
      </c>
      <c r="C20" s="129" t="n">
        <v>0.0031</v>
      </c>
      <c r="D20" s="128"/>
      <c r="E20" s="4"/>
      <c r="F20" s="122"/>
      <c r="G20" s="122"/>
      <c r="H20" s="122"/>
      <c r="I20" s="122"/>
      <c r="J20" s="122"/>
      <c r="K20" s="122"/>
      <c r="L20" s="122"/>
    </row>
    <row r="21" customFormat="false" ht="13.8" hidden="false" customHeight="false" outlineLevel="0" collapsed="false">
      <c r="A21" s="125" t="s">
        <v>120</v>
      </c>
      <c r="B21" s="126" t="s">
        <v>121</v>
      </c>
      <c r="C21" s="129" t="n">
        <v>0.0166</v>
      </c>
      <c r="D21" s="128"/>
      <c r="E21" s="4"/>
      <c r="F21" s="122"/>
      <c r="G21" s="122"/>
      <c r="H21" s="122"/>
      <c r="I21" s="122"/>
      <c r="J21" s="122"/>
      <c r="K21" s="122"/>
      <c r="L21" s="122"/>
    </row>
    <row r="22" customFormat="false" ht="13.8" hidden="false" customHeight="false" outlineLevel="0" collapsed="false">
      <c r="A22" s="125" t="s">
        <v>122</v>
      </c>
      <c r="B22" s="130" t="s">
        <v>123</v>
      </c>
      <c r="C22" s="131" t="n">
        <f aca="false">SUM(C16:C21)</f>
        <v>0.1692</v>
      </c>
      <c r="D22" s="135"/>
      <c r="E22" s="4"/>
      <c r="F22" s="122"/>
      <c r="G22" s="122"/>
      <c r="H22" s="122"/>
      <c r="I22" s="122"/>
      <c r="J22" s="122"/>
      <c r="K22" s="122"/>
      <c r="L22" s="122"/>
    </row>
    <row r="23" customFormat="false" ht="13.8" hidden="false" customHeight="false" outlineLevel="0" collapsed="false">
      <c r="A23" s="132"/>
      <c r="B23" s="133"/>
      <c r="C23" s="134"/>
      <c r="D23" s="135"/>
      <c r="E23" s="4"/>
      <c r="F23" s="122"/>
      <c r="G23" s="122"/>
      <c r="H23" s="122"/>
      <c r="I23" s="122"/>
      <c r="J23" s="122"/>
      <c r="K23" s="122"/>
      <c r="L23" s="122"/>
    </row>
    <row r="24" customFormat="false" ht="13.8" hidden="false" customHeight="false" outlineLevel="0" collapsed="false">
      <c r="A24" s="125" t="s">
        <v>124</v>
      </c>
      <c r="B24" s="126" t="s">
        <v>125</v>
      </c>
      <c r="C24" s="129" t="n">
        <f aca="false">ROUND(('3.CAGED'!C38) *'3.CAGED'!C29/'3.CAGED'!C30,4)</f>
        <v>0.039</v>
      </c>
      <c r="D24" s="128"/>
      <c r="E24" s="136"/>
      <c r="F24" s="122"/>
      <c r="G24" s="122"/>
      <c r="H24" s="122"/>
      <c r="I24" s="122"/>
      <c r="J24" s="122"/>
      <c r="K24" s="122"/>
      <c r="L24" s="122"/>
    </row>
    <row r="25" customFormat="false" ht="13.8" hidden="false" customHeight="false" outlineLevel="0" collapsed="false">
      <c r="A25" s="125" t="s">
        <v>126</v>
      </c>
      <c r="B25" s="126" t="s">
        <v>127</v>
      </c>
      <c r="C25" s="129" t="n">
        <f aca="false">ROUND(IF('3.CAGED'!C39&gt;12,12/'3.CAGED'!C39*0.1111,0.1111),4)</f>
        <v>0.0537</v>
      </c>
      <c r="D25" s="128"/>
      <c r="E25" s="4"/>
      <c r="F25" s="122"/>
      <c r="G25" s="122"/>
      <c r="H25" s="137"/>
      <c r="I25" s="122"/>
      <c r="J25" s="122"/>
      <c r="K25" s="122"/>
      <c r="L25" s="122"/>
    </row>
    <row r="26" customFormat="false" ht="13.8" hidden="false" customHeight="false" outlineLevel="0" collapsed="false">
      <c r="A26" s="125" t="s">
        <v>128</v>
      </c>
      <c r="B26" s="126" t="s">
        <v>129</v>
      </c>
      <c r="C26" s="129" t="n">
        <f aca="false">ROUND(('3.CAGED'!C32+'3.CAGED'!C31)/360*C24,4)</f>
        <v>0.0043</v>
      </c>
      <c r="D26" s="128"/>
      <c r="E26" s="4"/>
      <c r="F26" s="122"/>
      <c r="G26" s="122"/>
      <c r="H26" s="122"/>
      <c r="I26" s="122"/>
      <c r="J26" s="122"/>
      <c r="K26" s="122"/>
      <c r="L26" s="122"/>
    </row>
    <row r="27" customFormat="false" ht="13.8" hidden="false" customHeight="false" outlineLevel="0" collapsed="false">
      <c r="A27" s="125" t="s">
        <v>130</v>
      </c>
      <c r="B27" s="126" t="s">
        <v>131</v>
      </c>
      <c r="C27" s="129" t="n">
        <f aca="false">ROUND(('3.CAGED'!C30+'3.CAGED'!C31+'3.CAGED'!C33)/'3.CAGED'!C28*'3.CAGED'!C35*'3.CAGED'!C36*'3.CAGED'!C29/'3.CAGED'!C30,4)</f>
        <v>0.0359</v>
      </c>
      <c r="D27" s="128"/>
      <c r="E27" s="4"/>
      <c r="F27" s="122"/>
      <c r="G27" s="138"/>
      <c r="H27" s="122"/>
      <c r="I27" s="122"/>
      <c r="J27" s="122"/>
      <c r="K27" s="122"/>
      <c r="L27" s="122"/>
    </row>
    <row r="28" customFormat="false" ht="13.8" hidden="false" customHeight="false" outlineLevel="0" collapsed="false">
      <c r="A28" s="125" t="s">
        <v>132</v>
      </c>
      <c r="B28" s="126" t="s">
        <v>133</v>
      </c>
      <c r="C28" s="129" t="n">
        <f aca="false">ROUND(('3.CAGED'!C32/'3.CAGED'!C30)*'3.CAGED'!C29/12,4)</f>
        <v>0.0027</v>
      </c>
      <c r="D28" s="128"/>
      <c r="E28" s="4"/>
      <c r="F28" s="122"/>
      <c r="G28" s="122"/>
      <c r="H28" s="122"/>
      <c r="I28" s="122"/>
      <c r="J28" s="122"/>
      <c r="K28" s="122"/>
      <c r="L28" s="122"/>
    </row>
    <row r="29" customFormat="false" ht="13.8" hidden="false" customHeight="false" outlineLevel="0" collapsed="false">
      <c r="A29" s="125" t="s">
        <v>134</v>
      </c>
      <c r="B29" s="130" t="s">
        <v>135</v>
      </c>
      <c r="C29" s="131" t="n">
        <f aca="false">SUM(C24:C28)</f>
        <v>0.1356</v>
      </c>
      <c r="D29" s="135"/>
      <c r="E29" s="4"/>
      <c r="F29" s="122"/>
      <c r="G29" s="122"/>
      <c r="H29" s="122"/>
      <c r="I29" s="122"/>
      <c r="J29" s="122"/>
      <c r="K29" s="122"/>
      <c r="L29" s="122"/>
    </row>
    <row r="30" customFormat="false" ht="13.8" hidden="false" customHeight="false" outlineLevel="0" collapsed="false">
      <c r="A30" s="132"/>
      <c r="B30" s="133"/>
      <c r="C30" s="134"/>
      <c r="D30" s="135"/>
      <c r="E30" s="4"/>
      <c r="F30" s="122"/>
      <c r="G30" s="122"/>
      <c r="H30" s="122"/>
      <c r="I30" s="122"/>
      <c r="J30" s="122"/>
      <c r="K30" s="122"/>
      <c r="L30" s="122"/>
    </row>
    <row r="31" customFormat="false" ht="13.8" hidden="false" customHeight="false" outlineLevel="0" collapsed="false">
      <c r="A31" s="125" t="s">
        <v>136</v>
      </c>
      <c r="B31" s="126" t="s">
        <v>137</v>
      </c>
      <c r="C31" s="129" t="n">
        <f aca="false">ROUND(C14*C22,4)</f>
        <v>0.0623</v>
      </c>
      <c r="D31" s="128"/>
      <c r="E31" s="4"/>
      <c r="F31" s="122"/>
      <c r="G31" s="122"/>
      <c r="H31" s="122"/>
      <c r="I31" s="122"/>
      <c r="J31" s="122"/>
      <c r="K31" s="122"/>
      <c r="L31" s="122"/>
    </row>
    <row r="32" customFormat="false" ht="26.85" hidden="false" customHeight="false" outlineLevel="0" collapsed="false">
      <c r="A32" s="125" t="s">
        <v>138</v>
      </c>
      <c r="B32" s="139" t="s">
        <v>139</v>
      </c>
      <c r="C32" s="129" t="n">
        <f aca="false">ROUND((C24*C14),4)</f>
        <v>0.0144</v>
      </c>
      <c r="D32" s="128"/>
      <c r="E32" s="4"/>
      <c r="F32" s="122"/>
      <c r="G32" s="122"/>
      <c r="H32" s="122"/>
      <c r="I32" s="122"/>
      <c r="J32" s="122"/>
      <c r="K32" s="122"/>
      <c r="L32" s="122"/>
    </row>
    <row r="33" customFormat="false" ht="13.8" hidden="false" customHeight="false" outlineLevel="0" collapsed="false">
      <c r="A33" s="125" t="s">
        <v>140</v>
      </c>
      <c r="B33" s="130" t="s">
        <v>141</v>
      </c>
      <c r="C33" s="131" t="n">
        <f aca="false">SUM(C31:C32)</f>
        <v>0.0767</v>
      </c>
      <c r="D33" s="135"/>
      <c r="E33" s="4"/>
      <c r="F33" s="122"/>
      <c r="G33" s="122"/>
      <c r="H33" s="122"/>
      <c r="I33" s="122"/>
      <c r="J33" s="122"/>
      <c r="K33" s="122"/>
      <c r="L33" s="122"/>
    </row>
    <row r="34" customFormat="false" ht="13.8" hidden="false" customHeight="false" outlineLevel="0" collapsed="false">
      <c r="A34" s="140"/>
      <c r="B34" s="141" t="s">
        <v>142</v>
      </c>
      <c r="C34" s="142" t="n">
        <f aca="false">C33+C29+C22+C14</f>
        <v>0.7495</v>
      </c>
      <c r="D34" s="135"/>
      <c r="E34" s="4"/>
      <c r="F34" s="122"/>
      <c r="G34" s="122"/>
      <c r="H34" s="122"/>
      <c r="I34" s="122"/>
      <c r="J34" s="122"/>
      <c r="K34" s="122"/>
      <c r="L34" s="122"/>
    </row>
    <row r="35" customFormat="false" ht="13.8" hidden="false" customHeight="false" outlineLevel="0" collapsed="false">
      <c r="A35" s="128"/>
      <c r="B35" s="143"/>
      <c r="C35" s="144"/>
      <c r="D35" s="145"/>
      <c r="E35" s="4"/>
      <c r="F35" s="122"/>
      <c r="G35" s="122"/>
      <c r="H35" s="122"/>
      <c r="I35" s="122"/>
      <c r="J35" s="122"/>
      <c r="K35" s="122"/>
      <c r="L35" s="122"/>
    </row>
    <row r="36" customFormat="false" ht="13.8" hidden="false" customHeight="false" outlineLevel="0" collapsed="false">
      <c r="A36" s="128"/>
      <c r="B36" s="128"/>
      <c r="C36" s="146"/>
      <c r="D36" s="147"/>
      <c r="E36" s="4"/>
      <c r="F36" s="122"/>
      <c r="G36" s="122"/>
      <c r="H36" s="122"/>
      <c r="I36" s="122"/>
      <c r="J36" s="122"/>
      <c r="K36" s="122"/>
      <c r="L36" s="122"/>
    </row>
    <row r="40" customFormat="false" ht="15" hidden="false" customHeight="false" outlineLevel="0" collapsed="false"/>
    <row r="41" customFormat="false" ht="15" hidden="false" customHeight="false" outlineLevel="0" collapsed="false"/>
    <row r="42" customFormat="false" ht="16.5" hidden="false" customHeight="false" outlineLevel="0" collapsed="false"/>
    <row r="44" customFormat="false" ht="14.25" hidden="false" customHeight="false" outlineLevel="0" collapsed="false"/>
    <row r="45" customFormat="false" ht="14.25" hidden="false" customHeight="false" outlineLevel="0" collapsed="false"/>
    <row r="46" customFormat="false" ht="14.25" hidden="false" customHeight="false" outlineLevel="0" collapsed="false"/>
    <row r="47" customFormat="false" ht="14.25" hidden="false" customHeight="false" outlineLevel="0" collapsed="false"/>
    <row r="48" customFormat="false" ht="14.25" hidden="false" customHeight="false" outlineLevel="0" collapsed="false"/>
    <row r="49" customFormat="false" ht="14.25" hidden="false" customHeight="false" outlineLevel="0" collapsed="false"/>
    <row r="50" customFormat="false" ht="14.25" hidden="false" customHeight="false" outlineLevel="0" collapsed="false"/>
    <row r="51" customFormat="false" ht="14.25" hidden="false" customHeight="false" outlineLevel="0" collapsed="false"/>
    <row r="52" customFormat="false" ht="14.25" hidden="false" customHeight="false" outlineLevel="0" collapsed="false"/>
    <row r="53" customFormat="false" ht="16.5" hidden="false" customHeight="false" outlineLevel="0" collapsed="false"/>
  </sheetData>
  <mergeCells count="1">
    <mergeCell ref="A4:C4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41"/>
  <sheetViews>
    <sheetView showFormulas="false" showGridLines="true" showRowColHeaders="true" showZeros="true" rightToLeft="false" tabSelected="false" showOutlineSymbols="true" defaultGridColor="true" view="pageBreakPreview" topLeftCell="A4" colorId="64" zoomScale="100" zoomScaleNormal="100" zoomScalePageLayoutView="100" workbookViewId="0">
      <selection pane="topLeft" activeCell="B25" activeCellId="0" sqref="B25"/>
    </sheetView>
  </sheetViews>
  <sheetFormatPr defaultColWidth="8.6796875" defaultRowHeight="12.75" customHeight="false" zeroHeight="false" outlineLevelRow="0" outlineLevelCol="0"/>
  <cols>
    <col collapsed="false" customWidth="true" hidden="false" outlineLevel="0" max="1" min="1" style="1" width="8.21"/>
    <col collapsed="false" customWidth="true" hidden="false" outlineLevel="0" max="2" min="2" style="1" width="65.62"/>
    <col collapsed="false" customWidth="true" hidden="false" outlineLevel="0" max="3" min="3" style="1" width="13.23"/>
    <col collapsed="false" customWidth="true" hidden="true" outlineLevel="0" max="11" min="4" style="1" width="11.52"/>
    <col collapsed="false" customWidth="true" hidden="false" outlineLevel="0" max="1025" min="12" style="1" width="8.8"/>
  </cols>
  <sheetData>
    <row r="1" s="4" customFormat="true" ht="12.75" hidden="false" customHeight="false" outlineLevel="0" collapsed="false">
      <c r="A1" s="148" t="s">
        <v>143</v>
      </c>
    </row>
    <row r="3" s="4" customFormat="true" ht="12.75" hidden="false" customHeight="false" outlineLevel="0" collapsed="false">
      <c r="A3" s="1" t="s">
        <v>144</v>
      </c>
    </row>
    <row r="4" s="4" customFormat="true" ht="12.75" hidden="false" customHeight="false" outlineLevel="0" collapsed="false">
      <c r="A4" s="1" t="s">
        <v>145</v>
      </c>
    </row>
    <row r="5" s="4" customFormat="true" ht="25.5" hidden="false" customHeight="true" outlineLevel="0" collapsed="false">
      <c r="A5" s="149" t="s">
        <v>146</v>
      </c>
      <c r="B5" s="149"/>
      <c r="C5" s="149"/>
    </row>
    <row r="6" s="4" customFormat="true" ht="12.75" hidden="false" customHeight="false" outlineLevel="0" collapsed="false">
      <c r="A6" s="1" t="s">
        <v>147</v>
      </c>
    </row>
    <row r="7" s="4" customFormat="true" ht="26.25" hidden="false" customHeight="true" outlineLevel="0" collapsed="false">
      <c r="A7" s="149" t="s">
        <v>148</v>
      </c>
      <c r="B7" s="149"/>
      <c r="C7" s="149"/>
    </row>
    <row r="8" s="4" customFormat="true" ht="12.75" hidden="false" customHeight="false" outlineLevel="0" collapsed="false">
      <c r="A8" s="1" t="s">
        <v>149</v>
      </c>
    </row>
    <row r="9" s="4" customFormat="true" ht="12.75" hidden="false" customHeight="false" outlineLevel="0" collapsed="false">
      <c r="A9" s="1" t="s">
        <v>150</v>
      </c>
    </row>
    <row r="10" s="4" customFormat="true" ht="12.75" hidden="false" customHeight="false" outlineLevel="0" collapsed="false"/>
    <row r="11" s="4" customFormat="true" ht="17.35" hidden="false" customHeight="false" outlineLevel="0" collapsed="false">
      <c r="B11" s="150" t="s">
        <v>151</v>
      </c>
      <c r="C11" s="150"/>
    </row>
    <row r="12" s="4" customFormat="true" ht="13.8" hidden="false" customHeight="false" outlineLevel="0" collapsed="false">
      <c r="A12" s="122"/>
      <c r="B12" s="151" t="s">
        <v>152</v>
      </c>
      <c r="C12" s="152"/>
    </row>
    <row r="13" s="4" customFormat="true" ht="13.8" hidden="false" customHeight="false" outlineLevel="0" collapsed="false">
      <c r="A13" s="122"/>
      <c r="B13" s="153" t="s">
        <v>153</v>
      </c>
      <c r="C13" s="154" t="n">
        <v>2486</v>
      </c>
    </row>
    <row r="14" s="4" customFormat="true" ht="13.8" hidden="false" customHeight="false" outlineLevel="0" collapsed="false">
      <c r="A14" s="122"/>
      <c r="B14" s="155" t="s">
        <v>154</v>
      </c>
      <c r="C14" s="154" t="n">
        <v>3303</v>
      </c>
    </row>
    <row r="15" s="4" customFormat="true" ht="13.8" hidden="false" customHeight="false" outlineLevel="0" collapsed="false">
      <c r="A15" s="122"/>
      <c r="B15" s="156" t="s">
        <v>155</v>
      </c>
      <c r="C15" s="157" t="n">
        <v>81</v>
      </c>
    </row>
    <row r="16" s="4" customFormat="true" ht="13.8" hidden="false" customHeight="false" outlineLevel="0" collapsed="false">
      <c r="A16" s="122"/>
      <c r="B16" s="156" t="s">
        <v>156</v>
      </c>
      <c r="C16" s="157" t="n">
        <v>2336</v>
      </c>
    </row>
    <row r="17" s="4" customFormat="true" ht="13.8" hidden="false" customHeight="false" outlineLevel="0" collapsed="false">
      <c r="A17" s="122"/>
      <c r="B17" s="156" t="s">
        <v>157</v>
      </c>
      <c r="C17" s="157" t="n">
        <v>342</v>
      </c>
    </row>
    <row r="18" s="4" customFormat="true" ht="13.8" hidden="false" customHeight="false" outlineLevel="0" collapsed="false">
      <c r="A18" s="122"/>
      <c r="B18" s="156" t="s">
        <v>158</v>
      </c>
      <c r="C18" s="157" t="n">
        <v>18</v>
      </c>
    </row>
    <row r="19" s="4" customFormat="true" ht="13.8" hidden="false" customHeight="false" outlineLevel="0" collapsed="false">
      <c r="A19" s="122"/>
      <c r="B19" s="156" t="s">
        <v>159</v>
      </c>
      <c r="C19" s="157" t="n">
        <v>500</v>
      </c>
    </row>
    <row r="20" s="4" customFormat="true" ht="13.8" hidden="false" customHeight="false" outlineLevel="0" collapsed="false">
      <c r="A20" s="122"/>
      <c r="B20" s="156" t="s">
        <v>160</v>
      </c>
      <c r="C20" s="157" t="n">
        <v>1</v>
      </c>
    </row>
    <row r="21" s="4" customFormat="true" ht="13.8" hidden="false" customHeight="false" outlineLevel="0" collapsed="false">
      <c r="A21" s="122"/>
      <c r="B21" s="156" t="s">
        <v>161</v>
      </c>
      <c r="C21" s="157" t="n">
        <v>25</v>
      </c>
    </row>
    <row r="22" s="4" customFormat="true" ht="13.8" hidden="false" customHeight="false" outlineLevel="0" collapsed="false">
      <c r="A22" s="122"/>
      <c r="B22" s="158" t="s">
        <v>162</v>
      </c>
      <c r="C22" s="159" t="n">
        <v>0</v>
      </c>
    </row>
    <row r="23" s="4" customFormat="true" ht="13.8" hidden="false" customHeight="false" outlineLevel="0" collapsed="false">
      <c r="A23" s="122" t="s">
        <v>163</v>
      </c>
      <c r="B23" s="151" t="s">
        <v>164</v>
      </c>
      <c r="C23" s="152"/>
    </row>
    <row r="24" s="4" customFormat="true" ht="13.8" hidden="false" customHeight="false" outlineLevel="0" collapsed="false">
      <c r="A24" s="122"/>
      <c r="B24" s="160" t="s">
        <v>165</v>
      </c>
      <c r="C24" s="161" t="n">
        <v>6400</v>
      </c>
    </row>
    <row r="25" s="4" customFormat="true" ht="13.8" hidden="false" customHeight="false" outlineLevel="0" collapsed="false">
      <c r="A25" s="122"/>
      <c r="B25" s="156" t="s">
        <v>166</v>
      </c>
      <c r="C25" s="157" t="n">
        <v>5583</v>
      </c>
    </row>
    <row r="26" s="4" customFormat="true" ht="13.8" hidden="false" customHeight="false" outlineLevel="0" collapsed="false">
      <c r="B26" s="156" t="s">
        <v>167</v>
      </c>
      <c r="C26" s="157" t="n">
        <v>-817</v>
      </c>
    </row>
    <row r="27" s="4" customFormat="true" ht="13.8" hidden="false" customHeight="false" outlineLevel="0" collapsed="false">
      <c r="B27" s="162"/>
      <c r="C27" s="163"/>
    </row>
    <row r="28" s="4" customFormat="true" ht="13.8" hidden="false" customHeight="false" outlineLevel="0" collapsed="false">
      <c r="B28" s="164" t="s">
        <v>168</v>
      </c>
      <c r="C28" s="165" t="n">
        <f aca="false">MEDIAN(C13,C14)/MEDIAN(C24,C25)</f>
        <v>0.483101059834766</v>
      </c>
      <c r="G28" s="1" t="n">
        <f aca="false">12/C28</f>
        <v>24.8395232337191</v>
      </c>
    </row>
    <row r="29" s="4" customFormat="true" ht="13.8" hidden="false" customHeight="false" outlineLevel="0" collapsed="false">
      <c r="B29" s="153" t="s">
        <v>169</v>
      </c>
      <c r="C29" s="165" t="n">
        <f aca="false">C16/MEDIAN(C24,C25)</f>
        <v>0.389885671367771</v>
      </c>
    </row>
    <row r="30" s="4" customFormat="true" ht="13.8" hidden="false" customHeight="false" outlineLevel="0" collapsed="false">
      <c r="B30" s="166" t="s">
        <v>170</v>
      </c>
      <c r="C30" s="167" t="n">
        <v>360</v>
      </c>
    </row>
    <row r="31" s="4" customFormat="true" ht="13.8" hidden="false" customHeight="false" outlineLevel="0" collapsed="false">
      <c r="B31" s="153" t="s">
        <v>171</v>
      </c>
      <c r="C31" s="167" t="n">
        <v>10</v>
      </c>
    </row>
    <row r="32" s="4" customFormat="true" ht="13.8" hidden="false" customHeight="false" outlineLevel="0" collapsed="false">
      <c r="B32" s="153" t="s">
        <v>172</v>
      </c>
      <c r="C32" s="167" t="n">
        <v>30</v>
      </c>
      <c r="G32" s="1" t="n">
        <f aca="false">TRUNC(G37)</f>
        <v>0</v>
      </c>
    </row>
    <row r="33" s="4" customFormat="true" ht="13.8" hidden="false" customHeight="false" outlineLevel="0" collapsed="false">
      <c r="B33" s="153" t="s">
        <v>173</v>
      </c>
      <c r="C33" s="167" t="n">
        <v>30</v>
      </c>
    </row>
    <row r="34" s="148" customFormat="true" ht="13.8" hidden="false" customHeight="false" outlineLevel="0" collapsed="false">
      <c r="B34" s="153" t="s">
        <v>174</v>
      </c>
      <c r="C34" s="168" t="n">
        <f aca="false">MEDIAN(C24,C25)</f>
        <v>5991.5</v>
      </c>
    </row>
    <row r="35" customFormat="false" ht="13.8" hidden="false" customHeight="false" outlineLevel="0" collapsed="false">
      <c r="A35" s="148"/>
      <c r="B35" s="153" t="s">
        <v>107</v>
      </c>
      <c r="C35" s="169" t="n">
        <v>0.08</v>
      </c>
      <c r="D35" s="148"/>
      <c r="E35" s="148"/>
      <c r="F35" s="148"/>
      <c r="G35" s="148"/>
      <c r="H35" s="148"/>
      <c r="I35" s="148"/>
      <c r="J35" s="148"/>
      <c r="K35" s="148" t="n">
        <f aca="false">IF(C39&gt;12,C39-12,C39)</f>
        <v>12.8395232337191</v>
      </c>
    </row>
    <row r="36" customFormat="false" ht="13.8" hidden="false" customHeight="false" outlineLevel="0" collapsed="false">
      <c r="A36" s="148"/>
      <c r="B36" s="153" t="s">
        <v>175</v>
      </c>
      <c r="C36" s="169" t="n">
        <v>0.5</v>
      </c>
      <c r="D36" s="148"/>
      <c r="E36" s="148"/>
      <c r="F36" s="148"/>
      <c r="G36" s="148"/>
      <c r="H36" s="148"/>
      <c r="I36" s="148"/>
      <c r="J36" s="148"/>
      <c r="K36" s="148" t="e">
        <f aca="false">IF(#REF!&gt;12,#REF!-12,#REF!)</f>
        <v>#REF!</v>
      </c>
    </row>
    <row r="37" customFormat="false" ht="13.8" hidden="false" customHeight="false" outlineLevel="0" collapsed="false">
      <c r="A37" s="148"/>
      <c r="B37" s="153" t="s">
        <v>176</v>
      </c>
      <c r="C37" s="170" t="n">
        <f aca="false">((1/C28)-TRUNC(E37))</f>
        <v>0.0699602694765935</v>
      </c>
      <c r="D37" s="148" t="n">
        <f aca="false">TRUNC(E37)</f>
        <v>2</v>
      </c>
      <c r="E37" s="148" t="n">
        <f aca="false">1/C28</f>
        <v>2.06996026947659</v>
      </c>
      <c r="F37" s="148" t="n">
        <f aca="false">((1/C28)-TRUNC(E37))</f>
        <v>0.0699602694765935</v>
      </c>
      <c r="G37" s="148" t="n">
        <f aca="false">12*F37</f>
        <v>0.839523233719122</v>
      </c>
      <c r="K37" s="148" t="e">
        <f aca="false">IF(#REF!&gt;12,#REF!-12,#REF!)</f>
        <v>#REF!</v>
      </c>
    </row>
    <row r="38" customFormat="false" ht="13.8" hidden="false" customHeight="false" outlineLevel="0" collapsed="false">
      <c r="A38" s="148"/>
      <c r="B38" s="151" t="s">
        <v>177</v>
      </c>
      <c r="C38" s="171" t="n">
        <f aca="false">30+D38</f>
        <v>36</v>
      </c>
      <c r="D38" s="148" t="n">
        <f aca="false">3*D37</f>
        <v>6</v>
      </c>
      <c r="G38" s="148" t="n">
        <f aca="false">G37/12*40/360</f>
        <v>0.00777336327517706</v>
      </c>
      <c r="K38" s="148" t="e">
        <f aca="false">IF(#REF!&gt;12,#REF!-12,#REF!)</f>
        <v>#REF!</v>
      </c>
    </row>
    <row r="39" customFormat="false" ht="13.8" hidden="false" customHeight="false" outlineLevel="0" collapsed="false">
      <c r="A39" s="148"/>
      <c r="B39" s="172" t="s">
        <v>178</v>
      </c>
      <c r="C39" s="173" t="n">
        <f aca="false">12/C28</f>
        <v>24.8395232337191</v>
      </c>
      <c r="K39" s="148" t="e">
        <f aca="false">IF(#REF!&gt;12,#REF!-12,#REF!)</f>
        <v>#REF!</v>
      </c>
    </row>
    <row r="40" customFormat="false" ht="12.75" hidden="false" customHeight="false" outlineLevel="0" collapsed="false">
      <c r="K40" s="1" t="e">
        <f aca="false">IF(K39&gt;12,K39-12,K39)</f>
        <v>#REF!</v>
      </c>
    </row>
    <row r="41" customFormat="false" ht="12.75" hidden="false" customHeight="false" outlineLevel="0" collapsed="false">
      <c r="K41" s="1" t="e">
        <f aca="false">IF(K40&gt;12,K40-12,K40)</f>
        <v>#REF!</v>
      </c>
    </row>
  </sheetData>
  <mergeCells count="3">
    <mergeCell ref="A5:C5"/>
    <mergeCell ref="A7:C7"/>
    <mergeCell ref="B11:C11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7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22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F13" activeCellId="0" sqref="F13"/>
    </sheetView>
  </sheetViews>
  <sheetFormatPr defaultColWidth="8.6796875" defaultRowHeight="12.75" customHeight="false" zeroHeight="false" outlineLevelRow="0" outlineLevelCol="0"/>
  <cols>
    <col collapsed="false" customWidth="true" hidden="false" outlineLevel="0" max="1" min="1" style="4" width="40.77"/>
    <col collapsed="false" customWidth="true" hidden="false" outlineLevel="0" max="2" min="2" style="4" width="5.28"/>
    <col collapsed="false" customWidth="true" hidden="false" outlineLevel="0" max="3" min="3" style="4" width="8.37"/>
    <col collapsed="false" customWidth="true" hidden="false" outlineLevel="0" max="4" min="4" style="4" width="9.45"/>
    <col collapsed="false" customWidth="true" hidden="false" outlineLevel="0" max="5" min="5" style="174" width="7.68"/>
    <col collapsed="false" customWidth="true" hidden="false" outlineLevel="0" max="6" min="6" style="4" width="9.45"/>
    <col collapsed="false" customWidth="true" hidden="false" outlineLevel="0" max="1025" min="7" style="4" width="8.37"/>
  </cols>
  <sheetData>
    <row r="1" s="175" customFormat="true" ht="13.8" hidden="false" customHeight="false" outlineLevel="0" collapsed="false">
      <c r="A1" s="3" t="s">
        <v>0</v>
      </c>
      <c r="B1" s="14"/>
      <c r="C1" s="14"/>
      <c r="E1" s="176"/>
    </row>
    <row r="2" s="175" customFormat="true" ht="13.8" hidden="false" customHeight="false" outlineLevel="0" collapsed="false">
      <c r="A2" s="5" t="s">
        <v>179</v>
      </c>
      <c r="B2" s="14"/>
      <c r="C2" s="14"/>
      <c r="E2" s="176"/>
    </row>
    <row r="3" s="175" customFormat="true" ht="13.8" hidden="false" customHeight="false" outlineLevel="0" collapsed="false">
      <c r="A3" s="6" t="s">
        <v>2</v>
      </c>
      <c r="B3" s="14"/>
      <c r="C3" s="14"/>
      <c r="E3" s="176"/>
    </row>
    <row r="4" s="175" customFormat="true" ht="13.8" hidden="false" customHeight="false" outlineLevel="0" collapsed="false">
      <c r="A4" s="5"/>
      <c r="B4" s="14"/>
      <c r="C4" s="14"/>
      <c r="E4" s="176"/>
    </row>
    <row r="5" customFormat="false" ht="13.8" hidden="false" customHeight="false" outlineLevel="0" collapsed="false">
      <c r="B5" s="14"/>
      <c r="C5" s="14"/>
      <c r="E5" s="176"/>
    </row>
    <row r="6" customFormat="false" ht="15" hidden="false" customHeight="false" outlineLevel="0" collapsed="false">
      <c r="A6" s="177" t="s">
        <v>180</v>
      </c>
      <c r="B6" s="177"/>
      <c r="C6" s="177"/>
      <c r="D6" s="177"/>
      <c r="E6" s="177"/>
      <c r="F6" s="177"/>
    </row>
    <row r="7" customFormat="false" ht="15" hidden="false" customHeight="false" outlineLevel="0" collapsed="false">
      <c r="A7" s="178"/>
      <c r="B7" s="179"/>
      <c r="C7" s="179"/>
      <c r="D7" s="179"/>
      <c r="E7" s="179"/>
      <c r="F7" s="180"/>
    </row>
    <row r="8" customFormat="false" ht="13.8" hidden="false" customHeight="false" outlineLevel="0" collapsed="false">
      <c r="A8" s="181"/>
      <c r="B8" s="182"/>
      <c r="C8" s="182"/>
      <c r="D8" s="183" t="s">
        <v>181</v>
      </c>
      <c r="E8" s="183"/>
      <c r="F8" s="183"/>
      <c r="G8" s="175"/>
      <c r="H8" s="175"/>
    </row>
    <row r="9" customFormat="false" ht="13.8" hidden="false" customHeight="false" outlineLevel="0" collapsed="false">
      <c r="A9" s="162"/>
      <c r="B9" s="184"/>
      <c r="C9" s="184"/>
      <c r="D9" s="185" t="s">
        <v>182</v>
      </c>
      <c r="E9" s="186" t="s">
        <v>183</v>
      </c>
      <c r="F9" s="187" t="s">
        <v>184</v>
      </c>
      <c r="G9" s="175"/>
      <c r="H9" s="175"/>
    </row>
    <row r="10" customFormat="false" ht="13.8" hidden="false" customHeight="false" outlineLevel="0" collapsed="false">
      <c r="A10" s="188" t="s">
        <v>185</v>
      </c>
      <c r="B10" s="189" t="s">
        <v>186</v>
      </c>
      <c r="C10" s="190" t="n">
        <v>0.0508</v>
      </c>
      <c r="D10" s="191" t="n">
        <v>0.0297</v>
      </c>
      <c r="E10" s="192" t="n">
        <v>0.0508</v>
      </c>
      <c r="F10" s="193" t="n">
        <v>0.0627</v>
      </c>
      <c r="G10" s="175"/>
      <c r="H10" s="175"/>
    </row>
    <row r="11" customFormat="false" ht="13.8" hidden="false" customHeight="false" outlineLevel="0" collapsed="false">
      <c r="A11" s="194" t="s">
        <v>187</v>
      </c>
      <c r="B11" s="195" t="s">
        <v>188</v>
      </c>
      <c r="C11" s="196" t="n">
        <v>0.0133</v>
      </c>
      <c r="D11" s="191" t="n">
        <f aca="false">0.003+0.0056</f>
        <v>0.0086</v>
      </c>
      <c r="E11" s="192" t="n">
        <f aca="false">0.0048+0.0085</f>
        <v>0.0133</v>
      </c>
      <c r="F11" s="193" t="n">
        <f aca="false">0.0082+0.0089</f>
        <v>0.0171</v>
      </c>
      <c r="G11" s="175"/>
      <c r="H11" s="175"/>
    </row>
    <row r="12" customFormat="false" ht="13.8" hidden="false" customHeight="false" outlineLevel="0" collapsed="false">
      <c r="A12" s="194" t="s">
        <v>189</v>
      </c>
      <c r="B12" s="195" t="s">
        <v>190</v>
      </c>
      <c r="C12" s="196" t="n">
        <v>0.1085</v>
      </c>
      <c r="D12" s="191" t="n">
        <v>0.0778</v>
      </c>
      <c r="E12" s="192" t="n">
        <v>0.1085</v>
      </c>
      <c r="F12" s="193" t="n">
        <v>0.1355</v>
      </c>
      <c r="G12" s="175"/>
      <c r="H12" s="175"/>
    </row>
    <row r="13" customFormat="false" ht="13.8" hidden="false" customHeight="false" outlineLevel="0" collapsed="false">
      <c r="A13" s="194" t="s">
        <v>191</v>
      </c>
      <c r="B13" s="195" t="s">
        <v>192</v>
      </c>
      <c r="C13" s="197" t="n">
        <f aca="false">(1+E13)^(E14/252)-1</f>
        <v>0.0124205074857131</v>
      </c>
      <c r="D13" s="191" t="s">
        <v>193</v>
      </c>
      <c r="E13" s="198" t="n">
        <v>0.1325</v>
      </c>
      <c r="F13" s="199"/>
      <c r="G13" s="175"/>
      <c r="H13" s="175"/>
    </row>
    <row r="14" customFormat="false" ht="13.8" hidden="false" customHeight="false" outlineLevel="0" collapsed="false">
      <c r="A14" s="194" t="s">
        <v>194</v>
      </c>
      <c r="B14" s="200" t="s">
        <v>195</v>
      </c>
      <c r="C14" s="196" t="n">
        <v>0.03</v>
      </c>
      <c r="D14" s="201" t="s">
        <v>196</v>
      </c>
      <c r="E14" s="202" t="n">
        <v>25</v>
      </c>
      <c r="F14" s="203"/>
      <c r="G14" s="175"/>
      <c r="H14" s="175"/>
    </row>
    <row r="15" customFormat="false" ht="13.8" hidden="false" customHeight="false" outlineLevel="0" collapsed="false">
      <c r="A15" s="204" t="s">
        <v>197</v>
      </c>
      <c r="B15" s="200"/>
      <c r="C15" s="205" t="n">
        <v>0.0365</v>
      </c>
      <c r="D15" s="156"/>
      <c r="E15" s="206"/>
      <c r="F15" s="203"/>
      <c r="G15" s="175"/>
      <c r="H15" s="175"/>
    </row>
    <row r="16" customFormat="false" ht="13.8" hidden="false" customHeight="false" outlineLevel="0" collapsed="false">
      <c r="A16" s="207" t="s">
        <v>198</v>
      </c>
      <c r="B16" s="208"/>
      <c r="C16" s="209"/>
      <c r="D16" s="156"/>
      <c r="E16" s="206"/>
      <c r="F16" s="203"/>
      <c r="G16" s="175"/>
      <c r="H16" s="175"/>
    </row>
    <row r="17" customFormat="false" ht="13.8" hidden="false" customHeight="false" outlineLevel="0" collapsed="false">
      <c r="A17" s="210" t="s">
        <v>199</v>
      </c>
      <c r="B17" s="211"/>
      <c r="C17" s="212"/>
      <c r="D17" s="156"/>
      <c r="E17" s="206"/>
      <c r="F17" s="203"/>
      <c r="G17" s="175"/>
      <c r="H17" s="175"/>
    </row>
    <row r="18" customFormat="false" ht="14.15" hidden="false" customHeight="false" outlineLevel="0" collapsed="false">
      <c r="A18" s="213" t="s">
        <v>200</v>
      </c>
      <c r="B18" s="214"/>
      <c r="C18" s="215" t="n">
        <f aca="false">ROUND((((1+C10+C11)*(1+C12)*(1+C13))/(1-(C14+C15))-1),4)</f>
        <v>0.2793</v>
      </c>
      <c r="D18" s="216" t="n">
        <v>0.2143</v>
      </c>
      <c r="E18" s="217" t="n">
        <v>0.2717</v>
      </c>
      <c r="F18" s="218" t="n">
        <v>0.3362</v>
      </c>
      <c r="G18" s="175"/>
      <c r="H18" s="175"/>
    </row>
    <row r="19" customFormat="false" ht="14.25" hidden="false" customHeight="false" outlineLevel="0" collapsed="false"/>
    <row r="20" customFormat="false" ht="14.25" hidden="false" customHeight="false" outlineLevel="0" collapsed="false"/>
    <row r="21" customFormat="false" ht="14.25" hidden="false" customHeight="false" outlineLevel="0" collapsed="false"/>
    <row r="22" customFormat="false" ht="14.25" hidden="false" customHeight="false" outlineLevel="0" collapsed="false"/>
  </sheetData>
  <mergeCells count="3">
    <mergeCell ref="A6:F6"/>
    <mergeCell ref="D8:F8"/>
    <mergeCell ref="B14:B15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7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B3" activeCellId="0" sqref="B3"/>
    </sheetView>
  </sheetViews>
  <sheetFormatPr defaultColWidth="8.6796875" defaultRowHeight="19.5" customHeight="false" zeroHeight="false" outlineLevelRow="0" outlineLevelCol="0"/>
  <cols>
    <col collapsed="false" customWidth="true" hidden="false" outlineLevel="0" max="1" min="1" style="1" width="23.88"/>
    <col collapsed="false" customWidth="true" hidden="false" outlineLevel="0" max="2" min="2" style="1" width="20.25"/>
    <col collapsed="false" customWidth="true" hidden="false" outlineLevel="0" max="1025" min="3" style="1" width="8.8"/>
  </cols>
  <sheetData>
    <row r="1" s="4" customFormat="true" ht="19.5" hidden="false" customHeight="true" outlineLevel="0" collapsed="false">
      <c r="A1" s="219" t="s">
        <v>201</v>
      </c>
      <c r="B1" s="219"/>
    </row>
    <row r="2" s="148" customFormat="true" ht="19.5" hidden="false" customHeight="true" outlineLevel="0" collapsed="false">
      <c r="A2" s="220" t="s">
        <v>202</v>
      </c>
      <c r="B2" s="221" t="s">
        <v>203</v>
      </c>
    </row>
    <row r="3" customFormat="false" ht="19.5" hidden="false" customHeight="true" outlineLevel="0" collapsed="false">
      <c r="A3" s="222" t="n">
        <v>1</v>
      </c>
      <c r="B3" s="223" t="n">
        <v>33.63</v>
      </c>
    </row>
    <row r="4" customFormat="false" ht="19.5" hidden="false" customHeight="true" outlineLevel="0" collapsed="false">
      <c r="A4" s="222" t="n">
        <v>2</v>
      </c>
      <c r="B4" s="223" t="n">
        <v>43.13</v>
      </c>
    </row>
    <row r="5" customFormat="false" ht="19.5" hidden="false" customHeight="true" outlineLevel="0" collapsed="false">
      <c r="A5" s="222" t="n">
        <v>3</v>
      </c>
      <c r="B5" s="223" t="n">
        <v>48.68</v>
      </c>
    </row>
    <row r="6" customFormat="false" ht="19.5" hidden="false" customHeight="true" outlineLevel="0" collapsed="false">
      <c r="A6" s="222" t="n">
        <v>4</v>
      </c>
      <c r="B6" s="223" t="n">
        <v>52.62</v>
      </c>
    </row>
    <row r="7" customFormat="false" ht="19.5" hidden="false" customHeight="true" outlineLevel="0" collapsed="false">
      <c r="A7" s="222" t="n">
        <v>5</v>
      </c>
      <c r="B7" s="223" t="n">
        <v>55.68</v>
      </c>
    </row>
    <row r="8" customFormat="false" ht="19.5" hidden="false" customHeight="true" outlineLevel="0" collapsed="false">
      <c r="A8" s="222" t="n">
        <v>6</v>
      </c>
      <c r="B8" s="223" t="n">
        <v>58.18</v>
      </c>
    </row>
    <row r="9" customFormat="false" ht="19.5" hidden="false" customHeight="true" outlineLevel="0" collapsed="false">
      <c r="A9" s="222" t="n">
        <v>7</v>
      </c>
      <c r="B9" s="223" t="n">
        <v>60.29</v>
      </c>
    </row>
    <row r="10" customFormat="false" ht="19.5" hidden="false" customHeight="true" outlineLevel="0" collapsed="false">
      <c r="A10" s="222" t="n">
        <v>8</v>
      </c>
      <c r="B10" s="223" t="n">
        <v>62.12</v>
      </c>
    </row>
    <row r="11" customFormat="false" ht="19.5" hidden="false" customHeight="true" outlineLevel="0" collapsed="false">
      <c r="A11" s="222" t="n">
        <v>9</v>
      </c>
      <c r="B11" s="223" t="n">
        <v>63.73</v>
      </c>
    </row>
    <row r="12" customFormat="false" ht="19.5" hidden="false" customHeight="true" outlineLevel="0" collapsed="false">
      <c r="A12" s="222" t="n">
        <v>10</v>
      </c>
      <c r="B12" s="223" t="n">
        <v>65.18</v>
      </c>
    </row>
    <row r="13" customFormat="false" ht="19.5" hidden="false" customHeight="true" outlineLevel="0" collapsed="false">
      <c r="A13" s="222" t="n">
        <v>11</v>
      </c>
      <c r="B13" s="223" t="n">
        <v>66.48</v>
      </c>
    </row>
    <row r="14" customFormat="false" ht="19.5" hidden="false" customHeight="true" outlineLevel="0" collapsed="false">
      <c r="A14" s="222" t="n">
        <v>12</v>
      </c>
      <c r="B14" s="223" t="n">
        <v>67.67</v>
      </c>
    </row>
    <row r="15" customFormat="false" ht="19.5" hidden="false" customHeight="true" outlineLevel="0" collapsed="false">
      <c r="A15" s="222" t="n">
        <v>13</v>
      </c>
      <c r="B15" s="223" t="n">
        <v>68.77</v>
      </c>
    </row>
    <row r="16" customFormat="false" ht="19.5" hidden="false" customHeight="true" outlineLevel="0" collapsed="false">
      <c r="A16" s="222" t="n">
        <v>14</v>
      </c>
      <c r="B16" s="223" t="n">
        <v>69.79</v>
      </c>
    </row>
    <row r="17" customFormat="false" ht="19.5" hidden="false" customHeight="true" outlineLevel="0" collapsed="false">
      <c r="A17" s="224" t="n">
        <v>15</v>
      </c>
      <c r="B17" s="225" t="n">
        <v>70.73</v>
      </c>
    </row>
  </sheetData>
  <mergeCells count="1">
    <mergeCell ref="A1:B1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17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A24" activeCellId="0" sqref="A24"/>
    </sheetView>
  </sheetViews>
  <sheetFormatPr defaultColWidth="8.6796875" defaultRowHeight="12.75" customHeight="false" zeroHeight="false" outlineLevelRow="0" outlineLevelCol="0"/>
  <cols>
    <col collapsed="false" customWidth="true" hidden="false" outlineLevel="0" max="1" min="1" style="1" width="68.85"/>
    <col collapsed="false" customWidth="true" hidden="false" outlineLevel="0" max="3" min="2" style="1" width="8.8"/>
    <col collapsed="false" customWidth="true" hidden="false" outlineLevel="0" max="4" min="4" style="1" width="12.56"/>
    <col collapsed="false" customWidth="true" hidden="false" outlineLevel="0" max="1025" min="5" style="1" width="8.8"/>
  </cols>
  <sheetData>
    <row r="1" customFormat="false" ht="17.35" hidden="false" customHeight="false" outlineLevel="0" collapsed="false">
      <c r="A1" s="226" t="s">
        <v>204</v>
      </c>
    </row>
    <row r="2" customFormat="false" ht="12.75" hidden="false" customHeight="false" outlineLevel="0" collapsed="false">
      <c r="A2" s="227"/>
    </row>
    <row r="3" customFormat="false" ht="12.75" hidden="false" customHeight="false" outlineLevel="0" collapsed="false">
      <c r="A3" s="227" t="s">
        <v>205</v>
      </c>
    </row>
    <row r="4" customFormat="false" ht="12.75" hidden="false" customHeight="false" outlineLevel="0" collapsed="false">
      <c r="A4" s="227"/>
    </row>
    <row r="5" customFormat="false" ht="12.75" hidden="false" customHeight="false" outlineLevel="0" collapsed="false">
      <c r="A5" s="227"/>
    </row>
    <row r="6" customFormat="false" ht="12.75" hidden="false" customHeight="false" outlineLevel="0" collapsed="false">
      <c r="A6" s="227"/>
    </row>
    <row r="7" customFormat="false" ht="12.75" hidden="false" customHeight="false" outlineLevel="0" collapsed="false">
      <c r="A7" s="227"/>
    </row>
    <row r="8" customFormat="false" ht="12.75" hidden="false" customHeight="false" outlineLevel="0" collapsed="false">
      <c r="A8" s="227"/>
    </row>
    <row r="9" customFormat="false" ht="12.75" hidden="false" customHeight="false" outlineLevel="0" collapsed="false">
      <c r="A9" s="227"/>
    </row>
    <row r="10" customFormat="false" ht="12.75" hidden="false" customHeight="false" outlineLevel="0" collapsed="false">
      <c r="A10" s="227"/>
    </row>
    <row r="11" customFormat="false" ht="12.75" hidden="false" customHeight="false" outlineLevel="0" collapsed="false">
      <c r="A11" s="227"/>
    </row>
    <row r="12" customFormat="false" ht="15" hidden="false" customHeight="false" outlineLevel="0" collapsed="false">
      <c r="A12" s="228" t="s">
        <v>206</v>
      </c>
    </row>
    <row r="13" customFormat="false" ht="15" hidden="false" customHeight="false" outlineLevel="0" collapsed="false">
      <c r="A13" s="228" t="s">
        <v>207</v>
      </c>
    </row>
    <row r="14" customFormat="false" ht="15" hidden="false" customHeight="false" outlineLevel="0" collapsed="false">
      <c r="A14" s="228" t="s">
        <v>208</v>
      </c>
    </row>
    <row r="15" customFormat="false" ht="15" hidden="false" customHeight="false" outlineLevel="0" collapsed="false">
      <c r="A15" s="228" t="s">
        <v>209</v>
      </c>
    </row>
    <row r="16" customFormat="false" ht="15" hidden="false" customHeight="false" outlineLevel="0" collapsed="false">
      <c r="A16" s="228" t="s">
        <v>210</v>
      </c>
    </row>
    <row r="17" customFormat="false" ht="15" hidden="false" customHeight="false" outlineLevel="0" collapsed="false">
      <c r="A17" s="229" t="s">
        <v>211</v>
      </c>
    </row>
  </sheetData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21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70" zoomScalePageLayoutView="100" workbookViewId="0">
      <selection pane="topLeft" activeCell="G15" activeCellId="0" sqref="G15"/>
    </sheetView>
  </sheetViews>
  <sheetFormatPr defaultColWidth="8.6796875" defaultRowHeight="12.75" customHeight="false" zeroHeight="false" outlineLevelRow="0" outlineLevelCol="0"/>
  <cols>
    <col collapsed="false" customWidth="true" hidden="false" outlineLevel="0" max="1" min="1" style="1" width="56.83"/>
    <col collapsed="false" customWidth="true" hidden="false" outlineLevel="0" max="3" min="2" style="1" width="10.8"/>
    <col collapsed="false" customWidth="true" hidden="false" outlineLevel="0" max="1025" min="4" style="1" width="8.8"/>
  </cols>
  <sheetData>
    <row r="1" s="4" customFormat="true" ht="12.75" hidden="false" customHeight="false" outlineLevel="0" collapsed="false">
      <c r="A1" s="3" t="s">
        <v>0</v>
      </c>
    </row>
    <row r="2" s="4" customFormat="true" ht="12.75" hidden="false" customHeight="false" outlineLevel="0" collapsed="false">
      <c r="A2" s="5" t="s">
        <v>212</v>
      </c>
    </row>
    <row r="3" s="4" customFormat="true" ht="12.75" hidden="false" customHeight="false" outlineLevel="0" collapsed="false">
      <c r="A3" s="5" t="s">
        <v>213</v>
      </c>
    </row>
    <row r="4" s="4" customFormat="true" ht="12.75" hidden="false" customHeight="false" outlineLevel="0" collapsed="false">
      <c r="A4" s="6" t="s">
        <v>214</v>
      </c>
    </row>
    <row r="5" s="4" customFormat="true" ht="12.75" hidden="false" customHeight="false" outlineLevel="0" collapsed="false"/>
    <row r="6" s="4" customFormat="true" ht="17.35" hidden="false" customHeight="false" outlineLevel="0" collapsed="false">
      <c r="A6" s="150" t="s">
        <v>215</v>
      </c>
      <c r="B6" s="150"/>
      <c r="C6" s="150"/>
    </row>
    <row r="7" customFormat="false" ht="17.35" hidden="false" customHeight="false" outlineLevel="0" collapsed="false">
      <c r="A7" s="230"/>
      <c r="B7" s="231"/>
      <c r="C7" s="232"/>
    </row>
    <row r="8" s="148" customFormat="true" ht="13.8" hidden="false" customHeight="false" outlineLevel="0" collapsed="false">
      <c r="A8" s="233" t="s">
        <v>216</v>
      </c>
      <c r="B8" s="234" t="s">
        <v>217</v>
      </c>
      <c r="C8" s="235" t="s">
        <v>91</v>
      </c>
    </row>
    <row r="9" customFormat="false" ht="13.8" hidden="false" customHeight="false" outlineLevel="0" collapsed="false">
      <c r="A9" s="156" t="s">
        <v>218</v>
      </c>
      <c r="B9" s="236" t="s">
        <v>219</v>
      </c>
      <c r="C9" s="157"/>
    </row>
    <row r="10" customFormat="false" ht="14.15" hidden="false" customHeight="false" outlineLevel="0" collapsed="false">
      <c r="A10" s="156" t="s">
        <v>220</v>
      </c>
      <c r="B10" s="236" t="s">
        <v>221</v>
      </c>
      <c r="C10" s="237" t="n">
        <f aca="false">0.0362741*C9^0.2336249</f>
        <v>0</v>
      </c>
    </row>
    <row r="11" customFormat="false" ht="13.8" hidden="false" customHeight="false" outlineLevel="0" collapsed="false">
      <c r="A11" s="156" t="s">
        <v>222</v>
      </c>
      <c r="B11" s="236" t="s">
        <v>223</v>
      </c>
      <c r="C11" s="238" t="n">
        <f aca="false">C9*C10/1000</f>
        <v>0</v>
      </c>
    </row>
    <row r="12" customFormat="false" ht="13.8" hidden="false" customHeight="false" outlineLevel="0" collapsed="false">
      <c r="A12" s="156" t="s">
        <v>224</v>
      </c>
      <c r="B12" s="236" t="s">
        <v>225</v>
      </c>
      <c r="C12" s="239" t="n">
        <f aca="false">(C11*30)</f>
        <v>0</v>
      </c>
    </row>
    <row r="13" customFormat="false" ht="13.8" hidden="false" customHeight="false" outlineLevel="0" collapsed="false">
      <c r="A13" s="156" t="s">
        <v>226</v>
      </c>
      <c r="B13" s="236" t="s">
        <v>38</v>
      </c>
      <c r="C13" s="240"/>
    </row>
    <row r="14" customFormat="false" ht="13.8" hidden="false" customHeight="false" outlineLevel="0" collapsed="false">
      <c r="A14" s="156" t="s">
        <v>227</v>
      </c>
      <c r="B14" s="236" t="s">
        <v>223</v>
      </c>
      <c r="C14" s="238" t="n">
        <f aca="false">IFERROR(C11*7/C13,0)</f>
        <v>0</v>
      </c>
    </row>
    <row r="15" customFormat="false" ht="13.8" hidden="false" customHeight="false" outlineLevel="0" collapsed="false">
      <c r="A15" s="156" t="s">
        <v>228</v>
      </c>
      <c r="B15" s="236" t="s">
        <v>229</v>
      </c>
      <c r="C15" s="203" t="n">
        <v>500</v>
      </c>
    </row>
    <row r="16" customFormat="false" ht="13.8" hidden="false" customHeight="false" outlineLevel="0" collapsed="false">
      <c r="A16" s="156" t="s">
        <v>230</v>
      </c>
      <c r="B16" s="236"/>
      <c r="C16" s="157"/>
    </row>
    <row r="17" customFormat="false" ht="13.8" hidden="false" customHeight="false" outlineLevel="0" collapsed="false">
      <c r="A17" s="156" t="s">
        <v>231</v>
      </c>
      <c r="B17" s="236" t="s">
        <v>232</v>
      </c>
      <c r="C17" s="157"/>
    </row>
    <row r="18" customFormat="false" ht="13.8" hidden="false" customHeight="false" outlineLevel="0" collapsed="false">
      <c r="A18" s="156" t="s">
        <v>233</v>
      </c>
      <c r="B18" s="236" t="s">
        <v>225</v>
      </c>
      <c r="C18" s="203" t="n">
        <f aca="false">IF(AND(C17&gt;=15,C16=1),5.8,C17/2)</f>
        <v>0</v>
      </c>
    </row>
    <row r="19" customFormat="false" ht="13.8" hidden="false" customHeight="false" outlineLevel="0" collapsed="false">
      <c r="A19" s="156" t="s">
        <v>234</v>
      </c>
      <c r="B19" s="236"/>
      <c r="C19" s="238" t="n">
        <f aca="false">IFERROR(C14/C18,0)</f>
        <v>0</v>
      </c>
    </row>
    <row r="20" customFormat="false" ht="13.8" hidden="false" customHeight="false" outlineLevel="0" collapsed="false">
      <c r="A20" s="156" t="s">
        <v>235</v>
      </c>
      <c r="B20" s="236"/>
      <c r="C20" s="241"/>
    </row>
    <row r="21" customFormat="false" ht="13.8" hidden="false" customHeight="false" outlineLevel="0" collapsed="false">
      <c r="A21" s="242" t="s">
        <v>236</v>
      </c>
      <c r="B21" s="243"/>
      <c r="C21" s="244" t="n">
        <f aca="false">IFERROR(C19/C20,0)</f>
        <v>0</v>
      </c>
    </row>
  </sheetData>
  <mergeCells count="1">
    <mergeCell ref="A6:C6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25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288</TotalTime>
  <Application>LibreOffice/25.8.5.2$Windows_X86_64 LibreOffice_project/9c8b85f387cc00a89945a79c9e6239f32e450ac2</Application>
  <AppVersion>15.0000</AppVersion>
  <DocSecurity>0</DocSecurity>
  <Company>dmlu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2000-12-13T10:02:50Z</dcterms:created>
  <dc:creator>Flavia Burmeister Martins</dc:creator>
  <dc:description/>
  <dc:language>pt-BR</dc:language>
  <cp:lastModifiedBy/>
  <cp:lastPrinted>2026-06-16T14:13:55Z</cp:lastPrinted>
  <dcterms:modified xsi:type="dcterms:W3CDTF">2026-06-16T14:14:38Z</dcterms:modified>
  <cp:revision>21</cp:revision>
  <dc:subject/>
  <dc:title>Planilha de Custos Coleta e Transporte RSU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