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8800" windowHeight="12045" tabRatio="802" activeTab="3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  <sheet name="Plan1" sheetId="10" r:id="rId8"/>
  </sheets>
  <externalReferences>
    <externalReference r:id="rId9"/>
  </externalReferences>
  <definedNames>
    <definedName name="AbaDeprec">'5. Depreciação'!$A$1</definedName>
    <definedName name="AbaRemun">'6.Remuneração de capital'!$A$1</definedName>
    <definedName name="Print_Area" localSheetId="0">'1. Coleta Domiciliar'!$A$1:$F$292</definedName>
    <definedName name="Print_Area" localSheetId="1">'2.Encargos Sociais'!$A$1:$C$47</definedName>
    <definedName name="Print_Titles" localSheetId="0">'1. Coleta Domiciliar'!$1:$6</definedName>
  </definedNames>
  <calcPr calcId="125725"/>
</workbook>
</file>

<file path=xl/calcChain.xml><?xml version="1.0" encoding="utf-8"?>
<calcChain xmlns="http://schemas.openxmlformats.org/spreadsheetml/2006/main">
  <c r="C34" i="8"/>
  <c r="C30"/>
  <c r="C17"/>
  <c r="C23" s="1"/>
  <c r="C35" s="1"/>
  <c r="C92" i="2" s="1"/>
  <c r="C14" i="8"/>
  <c r="A13" i="2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9"/>
  <c r="E39"/>
  <c r="A40"/>
  <c r="E40"/>
  <c r="C147" s="1"/>
  <c r="E147" s="1"/>
  <c r="A41"/>
  <c r="E41"/>
  <c r="E55"/>
  <c r="D56"/>
  <c r="E56" s="1"/>
  <c r="D57"/>
  <c r="E57"/>
  <c r="E59"/>
  <c r="E64"/>
  <c r="D68"/>
  <c r="E68" s="1"/>
  <c r="C70"/>
  <c r="D70"/>
  <c r="E70" s="1"/>
  <c r="C73"/>
  <c r="E73" s="1"/>
  <c r="D73"/>
  <c r="D74"/>
  <c r="E74"/>
  <c r="C76"/>
  <c r="C78"/>
  <c r="C80"/>
  <c r="E83"/>
  <c r="E87"/>
  <c r="D136"/>
  <c r="D90"/>
  <c r="E90" s="1"/>
  <c r="E91" s="1"/>
  <c r="D92" s="1"/>
  <c r="E95"/>
  <c r="D99"/>
  <c r="D103" s="1"/>
  <c r="E103" s="1"/>
  <c r="D100"/>
  <c r="C102"/>
  <c r="D102"/>
  <c r="E102" s="1"/>
  <c r="C105"/>
  <c r="D106"/>
  <c r="E106" s="1"/>
  <c r="C108"/>
  <c r="C111"/>
  <c r="D111"/>
  <c r="C113"/>
  <c r="E116"/>
  <c r="E119"/>
  <c r="D120"/>
  <c r="E120"/>
  <c r="D122" s="1"/>
  <c r="E122" s="1"/>
  <c r="E124" s="1"/>
  <c r="D121"/>
  <c r="E121"/>
  <c r="E123"/>
  <c r="C135"/>
  <c r="E135" s="1"/>
  <c r="D135"/>
  <c r="C136"/>
  <c r="A141"/>
  <c r="C141"/>
  <c r="E141" s="1"/>
  <c r="F143" s="1"/>
  <c r="E19" s="1"/>
  <c r="E142"/>
  <c r="A147"/>
  <c r="E148"/>
  <c r="E149"/>
  <c r="E158"/>
  <c r="E159"/>
  <c r="D169" s="1"/>
  <c r="E160"/>
  <c r="E161"/>
  <c r="E162"/>
  <c r="E163"/>
  <c r="E164"/>
  <c r="E165"/>
  <c r="E166"/>
  <c r="E167"/>
  <c r="E168"/>
  <c r="E170"/>
  <c r="D175"/>
  <c r="E175" s="1"/>
  <c r="D176"/>
  <c r="E176"/>
  <c r="D177"/>
  <c r="E177" s="1"/>
  <c r="D178"/>
  <c r="E178"/>
  <c r="D179"/>
  <c r="E179" s="1"/>
  <c r="D180"/>
  <c r="E180"/>
  <c r="E181"/>
  <c r="C182"/>
  <c r="E183"/>
  <c r="E192"/>
  <c r="D195"/>
  <c r="E195"/>
  <c r="D196" s="1"/>
  <c r="C196"/>
  <c r="E199"/>
  <c r="D203"/>
  <c r="E203"/>
  <c r="C209"/>
  <c r="E210"/>
  <c r="C214"/>
  <c r="D214"/>
  <c r="E214"/>
  <c r="D217" s="1"/>
  <c r="E217" s="1"/>
  <c r="F218" s="1"/>
  <c r="E26" s="1"/>
  <c r="C215"/>
  <c r="E215"/>
  <c r="C216"/>
  <c r="E216"/>
  <c r="E218"/>
  <c r="C226"/>
  <c r="C228" s="1"/>
  <c r="D226"/>
  <c r="D228"/>
  <c r="E229"/>
  <c r="E240"/>
  <c r="D241"/>
  <c r="E241"/>
  <c r="D242" s="1"/>
  <c r="C242"/>
  <c r="E251"/>
  <c r="E252"/>
  <c r="E253"/>
  <c r="E254"/>
  <c r="E255"/>
  <c r="F256"/>
  <c r="F258" s="1"/>
  <c r="E30" s="1"/>
  <c r="C263"/>
  <c r="E263"/>
  <c r="D264"/>
  <c r="E264" s="1"/>
  <c r="F267" s="1"/>
  <c r="F269" s="1"/>
  <c r="E31" s="1"/>
  <c r="C265"/>
  <c r="E265"/>
  <c r="D266"/>
  <c r="E266" s="1"/>
  <c r="E267"/>
  <c r="D290"/>
  <c r="C291"/>
  <c r="A37" i="8"/>
  <c r="C28" i="5"/>
  <c r="G28" s="1"/>
  <c r="C29"/>
  <c r="C34"/>
  <c r="K36"/>
  <c r="K37"/>
  <c r="K38"/>
  <c r="K39"/>
  <c r="K40"/>
  <c r="K41" s="1"/>
  <c r="D11" i="4"/>
  <c r="E11"/>
  <c r="F11"/>
  <c r="C13"/>
  <c r="C18" s="1"/>
  <c r="C276" i="2" s="1"/>
  <c r="A21" i="4"/>
  <c r="C10" i="9"/>
  <c r="C11" s="1"/>
  <c r="C18"/>
  <c r="A24"/>
  <c r="C205" i="2"/>
  <c r="C206" s="1"/>
  <c r="D207" s="1"/>
  <c r="E207" s="1"/>
  <c r="E208" s="1"/>
  <c r="D209" s="1"/>
  <c r="E209" s="1"/>
  <c r="F210" s="1"/>
  <c r="E196" l="1"/>
  <c r="E197" s="1"/>
  <c r="D198" s="1"/>
  <c r="E198" s="1"/>
  <c r="F199" s="1"/>
  <c r="E24" s="1"/>
  <c r="C14" i="9"/>
  <c r="C19" s="1"/>
  <c r="C21" s="1"/>
  <c r="C12"/>
  <c r="D58" i="2"/>
  <c r="E58" s="1"/>
  <c r="E60" s="1"/>
  <c r="D125"/>
  <c r="E125" s="1"/>
  <c r="E126" s="1"/>
  <c r="D127" s="1"/>
  <c r="E127" s="1"/>
  <c r="F128" s="1"/>
  <c r="E17" s="1"/>
  <c r="F149"/>
  <c r="E20" s="1"/>
  <c r="D182"/>
  <c r="E182" s="1"/>
  <c r="F183" s="1"/>
  <c r="C39" i="5"/>
  <c r="K35" s="1"/>
  <c r="E37"/>
  <c r="E242" i="2"/>
  <c r="F243" s="1"/>
  <c r="E29" s="1"/>
  <c r="E228"/>
  <c r="E136"/>
  <c r="F137" s="1"/>
  <c r="E18" s="1"/>
  <c r="D76"/>
  <c r="E76" s="1"/>
  <c r="D71"/>
  <c r="E71" s="1"/>
  <c r="D230"/>
  <c r="E43"/>
  <c r="C169"/>
  <c r="E169" s="1"/>
  <c r="F170" s="1"/>
  <c r="F185" s="1"/>
  <c r="E21" s="1"/>
  <c r="E111"/>
  <c r="C235"/>
  <c r="E235" s="1"/>
  <c r="F236" s="1"/>
  <c r="E28" s="1"/>
  <c r="E226"/>
  <c r="F231" s="1"/>
  <c r="E27" s="1"/>
  <c r="E25"/>
  <c r="D105"/>
  <c r="E105" s="1"/>
  <c r="D109" s="1"/>
  <c r="E109" s="1"/>
  <c r="E99"/>
  <c r="D108"/>
  <c r="E108" s="1"/>
  <c r="E92"/>
  <c r="E93" s="1"/>
  <c r="D94" s="1"/>
  <c r="E94" s="1"/>
  <c r="F95" s="1"/>
  <c r="E16" s="1"/>
  <c r="D61" l="1"/>
  <c r="E61" s="1"/>
  <c r="E62" s="1"/>
  <c r="D63" s="1"/>
  <c r="E63" s="1"/>
  <c r="F64" s="1"/>
  <c r="E14" s="1"/>
  <c r="C37" i="5"/>
  <c r="F37"/>
  <c r="G37" s="1"/>
  <c r="D37"/>
  <c r="D38" s="1"/>
  <c r="C38" s="1"/>
  <c r="D77" i="2"/>
  <c r="E77" s="1"/>
  <c r="F246"/>
  <c r="E22" s="1"/>
  <c r="E23"/>
  <c r="E112"/>
  <c r="G32" i="5" l="1"/>
  <c r="G38"/>
  <c r="D78" i="2"/>
  <c r="E78" s="1"/>
  <c r="E79" s="1"/>
  <c r="D80" s="1"/>
  <c r="E80" s="1"/>
  <c r="E81" s="1"/>
  <c r="D82" s="1"/>
  <c r="E82" s="1"/>
  <c r="F83" s="1"/>
  <c r="E15" s="1"/>
  <c r="D113"/>
  <c r="E113" s="1"/>
  <c r="E114" s="1"/>
  <c r="D115" s="1"/>
  <c r="E115" s="1"/>
  <c r="F116" s="1"/>
  <c r="F151" l="1"/>
  <c r="F271" s="1"/>
  <c r="E13" l="1"/>
  <c r="D276"/>
  <c r="E276" s="1"/>
  <c r="F277" s="1"/>
  <c r="F279" s="1"/>
  <c r="E32" s="1"/>
  <c r="E33" l="1"/>
  <c r="F17" s="1"/>
  <c r="F282"/>
  <c r="E34" l="1"/>
  <c r="E35" s="1"/>
  <c r="F28"/>
  <c r="F30"/>
  <c r="F21"/>
  <c r="F26"/>
  <c r="F31"/>
  <c r="F13"/>
  <c r="F18"/>
  <c r="F29"/>
  <c r="F16"/>
  <c r="F24"/>
  <c r="F20"/>
  <c r="F32"/>
  <c r="F27"/>
  <c r="F14"/>
  <c r="F15"/>
  <c r="F22"/>
  <c r="F19"/>
  <c r="F25"/>
  <c r="F23"/>
  <c r="F33" l="1"/>
</calcChain>
</file>

<file path=xl/comments1.xml><?xml version="1.0" encoding="utf-8"?>
<comments xmlns="http://schemas.openxmlformats.org/spreadsheetml/2006/main">
  <authors>
    <author>Clauber Bridi</author>
  </authors>
  <commentList>
    <comment ref="A11" authorId="0">
      <text>
        <r>
          <rPr>
            <sz val="9"/>
            <rFont val="Tahoma"/>
            <family val="2"/>
          </rPr>
          <t xml:space="preserve">Qualquer custo previsto no edital e não contemplado nesta planilha modelo deverá ser devidamente incluído
</t>
        </r>
      </text>
    </comment>
    <comment ref="B49" authorId="0">
      <text>
        <r>
          <rPr>
            <b/>
            <sz val="9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rFont val="Tahoma"/>
            <family val="2"/>
          </rPr>
          <t xml:space="preserve">
</t>
        </r>
      </text>
    </comment>
    <comment ref="D55" authorId="0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C56" authorId="0">
      <text>
        <r>
          <rPr>
            <sz val="9"/>
            <rFont val="Tahoma"/>
            <family val="2"/>
          </rPr>
          <t xml:space="preserve">Informar o número de horas extras trabalhadas nos domingos e feriados em horário diurno
</t>
        </r>
      </text>
    </comment>
    <comment ref="C57" authorId="0">
      <text>
        <r>
          <rPr>
            <sz val="9"/>
            <rFont val="Tahoma"/>
            <family val="2"/>
          </rPr>
          <t xml:space="preserve">Informar o número de horas extras trabalhadas em horário diurno de segunda a sábado 
</t>
        </r>
      </text>
    </comment>
    <comment ref="A58" authorId="0">
      <text>
        <r>
          <rPr>
            <sz val="9"/>
            <rFont val="Tahoma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1" authorId="0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63" authorId="0">
      <text>
        <r>
          <rPr>
            <sz val="9"/>
            <rFont val="Tahoma"/>
            <family val="2"/>
          </rPr>
          <t>Informar a quantidade de trabalhadores na função</t>
        </r>
      </text>
    </comment>
    <comment ref="C69" authorId="0">
      <text>
        <r>
          <rPr>
            <sz val="9"/>
            <rFont val="Tahoma"/>
            <family val="2"/>
          </rPr>
          <t>Informar o número de horas noturnas trabalhadas no intervalo das 22:00h as 5:00h</t>
        </r>
      </text>
    </comment>
    <comment ref="C71" authorId="0">
      <text>
        <r>
          <rPr>
            <sz val="9"/>
            <rFont val="Tahoma"/>
            <family val="2"/>
          </rPr>
          <t>Informar o número de horas extras trabalhadas em horário diurno nos domingos e feriados</t>
        </r>
      </text>
    </comment>
    <comment ref="C72" authorId="0">
      <text>
        <r>
          <rPr>
            <sz val="9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4" authorId="0">
      <text>
        <r>
          <rPr>
            <sz val="9"/>
            <rFont val="Tahoma"/>
            <family val="2"/>
          </rPr>
          <t>Informar o número de horas extras trabalhadas em horário noturno de segunda à sábado</t>
        </r>
      </text>
    </comment>
    <comment ref="C75" authorId="0">
      <text>
        <r>
          <rPr>
            <sz val="9"/>
            <rFont val="Tahoma"/>
            <family val="2"/>
          </rPr>
          <t>Informar o número de horas extras trabalhadas em horário noturno (das 22:00h as 5h) de segunda a sábado</t>
        </r>
      </text>
    </comment>
    <comment ref="A77" authorId="0">
      <text>
        <r>
          <rPr>
            <sz val="9"/>
            <rFont val="Tahoma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80" authorId="0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82" authorId="0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87" authorId="0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D88" authorId="0">
      <text>
        <r>
          <rPr>
            <sz val="9"/>
            <rFont val="Tahoma"/>
            <family val="2"/>
          </rPr>
          <t>Informar o valor do salário Mínimo Nacional</t>
        </r>
      </text>
    </comment>
    <comment ref="C89" authorId="0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0" authorId="0">
      <text>
        <r>
          <rPr>
            <sz val="9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2" authorId="0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94" authorId="0">
      <text>
        <r>
          <rPr>
            <sz val="9"/>
            <rFont val="Tahoma"/>
            <family val="2"/>
          </rPr>
          <t>Informar a quantidade de trabalhadores na função</t>
        </r>
      </text>
    </comment>
    <comment ref="C101" authorId="0">
      <text>
        <r>
          <rPr>
            <sz val="9"/>
            <rFont val="Tahoma"/>
            <family val="2"/>
          </rPr>
          <t>Informar o número de horas noturnas trabalhadas no intervalo das 22:00h as 5:00h</t>
        </r>
      </text>
    </comment>
    <comment ref="C103" authorId="0">
      <text>
        <r>
          <rPr>
            <sz val="9"/>
            <rFont val="Tahoma"/>
            <family val="2"/>
          </rPr>
          <t>Informar o número de horas extras trabalhadas em horário noturno nos domingos e feriados</t>
        </r>
      </text>
    </comment>
    <comment ref="C104" authorId="0">
      <text>
        <r>
          <rPr>
            <sz val="9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06" authorId="0">
      <text>
        <r>
          <rPr>
            <sz val="9"/>
            <rFont val="Tahoma"/>
            <family val="2"/>
          </rPr>
          <t>Informar o número de horas extras trabalhadas em horário noturno de segunda à sábado</t>
        </r>
      </text>
    </comment>
    <comment ref="C107" authorId="0">
      <text>
        <r>
          <rPr>
            <sz val="9"/>
            <rFont val="Tahoma"/>
            <family val="2"/>
          </rPr>
          <t>Informar o número de horas extras trabalhadas em horário noturno (das 22:00h as 5h) de segunda a sábado</t>
        </r>
      </text>
    </comment>
    <comment ref="A109" authorId="0">
      <text>
        <r>
          <rPr>
            <sz val="9"/>
            <rFont val="Tahoma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110" authorId="0">
      <text>
        <r>
          <rPr>
            <sz val="9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3" authorId="0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115" authorId="0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119" authorId="0">
      <text>
        <r>
          <rPr>
            <sz val="9"/>
            <rFont val="Tahoma"/>
            <family val="2"/>
          </rPr>
          <t>Informar o Piso da categoria fixado na Convenção Coletiva</t>
        </r>
      </text>
    </comment>
    <comment ref="C120" authorId="0">
      <text>
        <r>
          <rPr>
            <sz val="9"/>
            <rFont val="Tahoma"/>
            <family val="2"/>
          </rPr>
          <t xml:space="preserve">Informar o número de horas extras trabalhadas nos domingos e feriados em horário diurno
</t>
        </r>
      </text>
    </comment>
    <comment ref="C121" authorId="0">
      <text>
        <r>
          <rPr>
            <sz val="9"/>
            <rFont val="Tahoma"/>
            <family val="2"/>
          </rPr>
          <t xml:space="preserve">Informar o número de horas extras trabalhadas em horário diurno de segunda a sábado 
</t>
        </r>
      </text>
    </comment>
    <comment ref="A122" authorId="0">
      <text>
        <r>
          <rPr>
            <sz val="9"/>
            <rFont val="Tahoma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125" authorId="0">
      <text>
        <r>
          <rPr>
            <sz val="9"/>
            <rFont val="Tahoma"/>
            <family val="2"/>
          </rPr>
          <t xml:space="preserve">Preencher a planilha Encargos Sociais e CAGED </t>
        </r>
      </text>
    </comment>
    <comment ref="C127" authorId="0">
      <text>
        <r>
          <rPr>
            <sz val="9"/>
            <rFont val="Tahoma"/>
            <family val="2"/>
          </rPr>
          <t>Informar a quantidade de trabalhadores na função</t>
        </r>
      </text>
    </comment>
    <comment ref="D133" authorId="0">
      <text>
        <r>
          <rPr>
            <sz val="9"/>
            <rFont val="Tahoma"/>
            <family val="2"/>
          </rPr>
          <t>Informar o valor unitário do VT no município</t>
        </r>
      </text>
    </comment>
    <comment ref="C134" authorId="0">
      <text>
        <r>
          <rPr>
            <sz val="9"/>
            <rFont val="Tahoma"/>
            <family val="2"/>
          </rPr>
          <t>Informar o número médio de dias trabalhados por mês</t>
        </r>
      </text>
    </comment>
    <comment ref="D135" authorId="0">
      <text>
        <r>
          <rPr>
            <sz val="9"/>
            <rFont val="Tahoma"/>
            <family val="2"/>
          </rPr>
          <t>Valor Unitário considerando o desconto legal de até 6% do salário</t>
        </r>
      </text>
    </comment>
    <comment ref="D136" authorId="0">
      <text>
        <r>
          <rPr>
            <sz val="9"/>
            <rFont val="Tahoma"/>
            <family val="2"/>
          </rPr>
          <t xml:space="preserve">Valor Unitário considerando o desconto legal de até 6% do salário
</t>
        </r>
      </text>
    </comment>
    <comment ref="D141" authorId="0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142" authorId="0">
      <text>
        <r>
          <rPr>
            <sz val="9"/>
            <rFont val="Tahoma"/>
            <family val="2"/>
          </rPr>
          <t>Informar o valor unitário diário do vale refeição conforme Convenção Coletiva da categoria</t>
        </r>
      </text>
    </comment>
    <comment ref="D147" authorId="0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D148" authorId="0">
      <text>
        <r>
          <rPr>
            <sz val="9"/>
            <rFont val="Tahoma"/>
            <family val="2"/>
          </rPr>
          <t>Informar o valor mensal do auxilio alimentação conforme Convenção Coletiva da categoria</t>
        </r>
      </text>
    </comment>
    <comment ref="C158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58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59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59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0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0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1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1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2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2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3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3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4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4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5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5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6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6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C167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67" authorId="0">
      <text>
        <r>
          <rPr>
            <sz val="9"/>
            <rFont val="Tahoma"/>
            <family val="2"/>
          </rPr>
          <t>Informar o valor unitário estimado para aquisição de cada EPI</t>
        </r>
      </text>
    </comment>
    <comment ref="D168" authorId="0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C175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C176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C177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C178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C179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C180" authorId="0">
      <text>
        <r>
          <rPr>
            <sz val="9"/>
            <rFont val="Tahoma"/>
            <family val="2"/>
          </rPr>
          <t xml:space="preserve">Informar a durabilidade estimada em meses, para cada EPI
</t>
        </r>
      </text>
    </comment>
    <comment ref="D181" authorId="0">
      <text>
        <r>
          <rPr>
            <sz val="9"/>
            <rFont val="Tahoma"/>
            <family val="2"/>
          </rPr>
          <t>Informar o valor mensal de higienização de uniforme para 1 funcionário</t>
        </r>
      </text>
    </comment>
    <comment ref="D192" authorId="0">
      <text>
        <r>
          <rPr>
            <sz val="9"/>
            <rFont val="Tahoma"/>
            <family val="2"/>
          </rPr>
          <t>Informar o preço unitário do chassis do caminhão de coleta</t>
        </r>
      </text>
    </comment>
    <comment ref="C193" authorId="0">
      <text>
        <r>
          <rPr>
            <sz val="9"/>
            <rFont val="Tahoma"/>
            <family val="2"/>
          </rPr>
          <t>Informar a vida útil estimada para o caminhão, em anos</t>
        </r>
      </text>
    </comment>
    <comment ref="C194" authorId="0">
      <text>
        <r>
          <rPr>
            <sz val="9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95" authorId="0">
      <text>
        <r>
          <rPr>
            <b/>
            <sz val="9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rFont val="Tahoma"/>
            <family val="2"/>
          </rPr>
          <t xml:space="preserve">
</t>
        </r>
      </text>
    </comment>
    <comment ref="C198" authorId="0">
      <text>
        <r>
          <rPr>
            <sz val="9"/>
            <rFont val="Tahoma"/>
            <family val="2"/>
          </rPr>
          <t>Informar a quantidade de caminhões compactadores do respectivo modelo</t>
        </r>
      </text>
    </comment>
    <comment ref="C204" authorId="0">
      <text>
        <r>
          <rPr>
            <b/>
            <sz val="9"/>
            <rFont val="Tahoma"/>
            <family val="2"/>
          </rPr>
          <t>Informar a taxa de juros anual para remuneração do capital. Recomenda-se o uso da Taxa SELIC</t>
        </r>
        <r>
          <rPr>
            <sz val="9"/>
            <rFont val="Tahoma"/>
            <family val="2"/>
          </rPr>
          <t xml:space="preserve">
</t>
        </r>
      </text>
    </comment>
    <comment ref="D215" authorId="0">
      <text>
        <r>
          <rPr>
            <sz val="9"/>
            <rFont val="Tahoma"/>
            <family val="2"/>
          </rPr>
          <t xml:space="preserve">Informar o valor do seguro obrigatório e licenciamento anual de um caminhão
</t>
        </r>
      </text>
    </comment>
    <comment ref="D216" authorId="0">
      <text>
        <r>
          <rPr>
            <sz val="9"/>
            <rFont val="Tahoma"/>
            <family val="2"/>
          </rPr>
          <t xml:space="preserve">Informar o valor do seguro contra terceiros de um caminhão, se houver
</t>
        </r>
      </text>
    </comment>
    <comment ref="B222" authorId="0">
      <text>
        <r>
          <rPr>
            <sz val="9"/>
            <rFont val="Tahoma"/>
            <family val="2"/>
          </rPr>
          <t xml:space="preserve">Informar a quilometragem mensal percorrida, de acordo com o projeto básico
</t>
        </r>
      </text>
    </comment>
    <comment ref="C225" authorId="0">
      <text>
        <r>
          <rPr>
            <sz val="9"/>
            <rFont val="Tahoma"/>
            <family val="2"/>
          </rPr>
          <t>Informar o consumo estimado do veículo em km/l</t>
        </r>
      </text>
    </comment>
    <comment ref="D225" authorId="0">
      <text>
        <r>
          <rPr>
            <sz val="9"/>
            <rFont val="Tahoma"/>
            <family val="2"/>
          </rPr>
          <t xml:space="preserve">Informar o preço unitário do combustivel
</t>
        </r>
      </text>
    </comment>
    <comment ref="C227" authorId="0">
      <text>
        <r>
          <rPr>
            <sz val="9"/>
            <rFont val="Tahoma"/>
            <family val="2"/>
          </rPr>
          <t>Informar o consumo de óleo do motor a cada 1000km</t>
        </r>
      </text>
    </comment>
    <comment ref="D227" authorId="0">
      <text>
        <r>
          <rPr>
            <sz val="9"/>
            <rFont val="Tahoma"/>
            <family val="2"/>
          </rPr>
          <t xml:space="preserve">Informar o preço unitário do litro do óleo do motor
</t>
        </r>
      </text>
    </comment>
    <comment ref="D235" authorId="0">
      <text>
        <r>
          <rPr>
            <sz val="9"/>
            <rFont val="Tahoma"/>
            <family val="2"/>
          </rPr>
          <t xml:space="preserve">Informar o custo de manutenção em R$/km rodado
</t>
        </r>
      </text>
    </comment>
    <comment ref="C240" authorId="0">
      <text>
        <r>
          <rPr>
            <sz val="9"/>
            <rFont val="Tahoma"/>
            <family val="2"/>
          </rPr>
          <t>Informar a quantidade de pneus novos de 1 caminhão</t>
        </r>
      </text>
    </comment>
    <comment ref="D240" authorId="0">
      <text>
        <r>
          <rPr>
            <sz val="9"/>
            <rFont val="Tahoma"/>
            <family val="2"/>
          </rPr>
          <t xml:space="preserve">Informar o preço unitário de cada pneu
</t>
        </r>
      </text>
    </comment>
    <comment ref="C241" authorId="0">
      <text>
        <r>
          <rPr>
            <sz val="9"/>
            <rFont val="Tahoma"/>
            <family val="2"/>
          </rPr>
          <t xml:space="preserve">Informar a durabilidade média dos pneus considerando as recapagens, em km
</t>
        </r>
      </text>
    </comment>
    <comment ref="C251" authorId="0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1" authorId="0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52" authorId="0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2" authorId="0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53" authorId="0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3" authorId="0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54" authorId="0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4" authorId="0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C255" authorId="0">
      <text>
        <r>
          <rPr>
            <sz val="9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5" authorId="0">
      <text>
        <r>
          <rPr>
            <sz val="9"/>
            <rFont val="Tahoma"/>
            <family val="2"/>
          </rPr>
          <t>Informar o valor unitário estimado para aquisição de cada material</t>
        </r>
      </text>
    </comment>
    <comment ref="A260" authorId="0">
      <text>
        <r>
          <rPr>
            <b/>
            <sz val="9"/>
            <rFont val="Tahoma"/>
            <family val="2"/>
          </rPr>
          <t>Especificar somente quando for exigido no Projeto Básico</t>
        </r>
        <r>
          <rPr>
            <sz val="9"/>
            <rFont val="Tahoma"/>
            <family val="2"/>
          </rPr>
          <t xml:space="preserve">
</t>
        </r>
      </text>
    </comment>
    <comment ref="D263" authorId="0">
      <text>
        <r>
          <rPr>
            <sz val="9"/>
            <rFont val="Tahoma"/>
            <family val="2"/>
          </rPr>
          <t>Informar o valor total para instalação do equipamento de monitoramento da frota, se houver</t>
        </r>
      </text>
    </comment>
    <comment ref="D265" authorId="0">
      <text>
        <r>
          <rPr>
            <sz val="9"/>
            <rFont val="Tahoma"/>
            <family val="2"/>
          </rPr>
          <t>Informar o valor unitário mensal para manutenção dos equipamentos de monitoramento</t>
        </r>
      </text>
    </comment>
    <comment ref="C276" authorId="0">
      <text>
        <r>
          <rPr>
            <sz val="9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>Jorge Mesquita</author>
  </authors>
  <commentList>
    <comment ref="G37" authorId="0">
      <text>
        <r>
          <rPr>
            <b/>
            <sz val="9"/>
            <rFont val="Tahoma"/>
            <family val="2"/>
          </rPr>
          <t>Jorge Mesquita:</t>
        </r>
        <r>
          <rPr>
            <sz val="9"/>
            <rFont val="Tahoma"/>
            <family val="2"/>
          </rPr>
          <t xml:space="preserve">
Criar um tipo de arredondamento.
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C10" authorId="0">
      <text>
        <r>
          <rPr>
            <b/>
            <sz val="9"/>
            <rFont val="Tahoma"/>
            <family val="2"/>
          </rPr>
          <t>Informar o % de Administração Central estimado</t>
        </r>
        <r>
          <rPr>
            <sz val="9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rFont val="Tahoma"/>
            <family val="2"/>
          </rPr>
          <t>Informar o % de Seguros, Riscos e Garantia estimado</t>
        </r>
        <r>
          <rPr>
            <sz val="9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rFont val="Tahoma"/>
            <family val="2"/>
          </rPr>
          <t>Informar o % de Lucro estimado</t>
        </r>
        <r>
          <rPr>
            <sz val="9"/>
            <rFont val="Tahoma"/>
            <family val="2"/>
          </rPr>
          <t xml:space="preserve">
</t>
        </r>
      </text>
    </comment>
    <comment ref="E13" authorId="0">
      <text>
        <r>
          <rPr>
            <b/>
            <sz val="9"/>
            <rFont val="Tahoma"/>
            <family val="2"/>
          </rPr>
          <t>Informar o valor anual da taxa financeira, em percentual. Admite-se utilizar a SELIC</t>
        </r>
      </text>
    </comment>
    <comment ref="C14" authorId="0">
      <text>
        <r>
          <rPr>
            <b/>
            <sz val="9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rFont val="Tahoma"/>
            <family val="2"/>
          </rPr>
          <t xml:space="preserve">
</t>
        </r>
      </text>
    </comment>
    <comment ref="E14" authorId="0">
      <text>
        <r>
          <rPr>
            <b/>
            <sz val="9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rFont val="Tahoma"/>
            <family val="2"/>
          </rPr>
          <t xml:space="preserve">Informar o valor estimado de PIS/COFINS. </t>
        </r>
        <r>
          <rPr>
            <sz val="9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4.xml><?xml version="1.0" encoding="utf-8"?>
<comments xmlns="http://schemas.openxmlformats.org/spreadsheetml/2006/main">
  <authors>
    <author>cbridi</author>
    <author>Clauber Bridi</author>
    <author>Omar</author>
  </authors>
  <commentList>
    <comment ref="C9" authorId="0">
      <text>
        <r>
          <rPr>
            <sz val="8"/>
            <rFont val="Tahoma"/>
            <family val="2"/>
          </rPr>
          <t>Informar a população do município a ser atendida</t>
        </r>
      </text>
    </comment>
    <comment ref="C10" authorId="1">
      <text>
        <r>
          <rPr>
            <b/>
            <sz val="9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1" authorId="2">
      <text>
        <r>
          <rPr>
            <sz val="9"/>
            <rFont val="Tahoma"/>
            <family val="2"/>
          </rPr>
          <t>retorna a geração diária a ser recolhida</t>
        </r>
      </text>
    </comment>
    <comment ref="C13" authorId="0">
      <text>
        <r>
          <rPr>
            <b/>
            <sz val="8"/>
            <rFont val="Tahoma"/>
            <family val="2"/>
          </rPr>
          <t>Informe o número de dias de coleta por semana</t>
        </r>
      </text>
    </comment>
    <comment ref="C16" authorId="0">
      <text>
        <r>
          <rPr>
            <sz val="8"/>
            <rFont val="Tahoma"/>
            <family val="2"/>
          </rPr>
          <t>Informar 1 para caminhão toco; Informar 2 para caminhão truck</t>
        </r>
        <r>
          <rPr>
            <b/>
            <sz val="8"/>
            <rFont val="Tahoma"/>
            <family val="2"/>
          </rPr>
          <t xml:space="preserve"> </t>
        </r>
      </text>
    </comment>
    <comment ref="C17" authorId="0">
      <text>
        <r>
          <rPr>
            <sz val="8"/>
            <rFont val="Tahoma"/>
            <family val="2"/>
          </rPr>
          <t>Informar a capacidade do compactador em m³</t>
        </r>
      </text>
    </comment>
    <comment ref="C20" authorId="1">
      <text>
        <r>
          <rPr>
            <sz val="8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<sst xmlns="http://schemas.openxmlformats.org/spreadsheetml/2006/main" count="630" uniqueCount="327">
  <si>
    <t>Orientações para preenchimento:</t>
  </si>
  <si>
    <t>1. Esta planilha é somente um modelo-base. Qualquer custo previsto no edital e não contemplado nesta planilha deverá ser devidamente incluído</t>
  </si>
  <si>
    <t>2. Preencher somente células em amarelo</t>
  </si>
  <si>
    <t>3. As células azuis deverão ter seus valores preenchidos em outra planilha do arquivo.</t>
  </si>
  <si>
    <t>Planilha de Composição de Custos</t>
  </si>
  <si>
    <t>Orçamento Sintético</t>
  </si>
  <si>
    <t>Descrição do Item</t>
  </si>
  <si>
    <t>Custo (R$/mês)</t>
  </si>
  <si>
    <t>%</t>
  </si>
  <si>
    <t>PREÇO TOTAL MENSAL COM O TRANSPORTE</t>
  </si>
  <si>
    <t>PREÇO POR KM</t>
  </si>
  <si>
    <t>PREÇO POR VIAGEM</t>
  </si>
  <si>
    <t>Quantitativos</t>
  </si>
  <si>
    <t>Mão-de-obra</t>
  </si>
  <si>
    <t>Quantidade</t>
  </si>
  <si>
    <t>1.3. Encarregado Operacional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</si>
  <si>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</si>
  <si>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</si>
  <si>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</si>
  <si>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</si>
  <si>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</si>
  <si>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</si>
  <si>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</si>
  <si>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</si>
  <si>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</si>
  <si>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</rPr>
      <t xml:space="preserve">Total </t>
    </r>
    <r>
      <rPr>
        <b/>
        <u/>
        <sz val="9"/>
        <rFont val="Arial"/>
        <family val="2"/>
      </rPr>
      <t>(R$)</t>
    </r>
  </si>
  <si>
    <t>Piso da categoria</t>
  </si>
  <si>
    <t>mês</t>
  </si>
  <si>
    <t>Horas Extras (100%)</t>
  </si>
  <si>
    <t>hora</t>
  </si>
  <si>
    <t>Excluir esta linha caso a contratação não tenha previsão de horas extras 100% explícita no edital</t>
  </si>
  <si>
    <t>Horas Extras (50%)</t>
  </si>
  <si>
    <t>Excluir esta linha caso a contratação não tenha previsão de horas extras 50% explícita no edital</t>
  </si>
  <si>
    <t>Descanso Semanal Remunerado (DSR) - hora extra</t>
  </si>
  <si>
    <t>R$</t>
  </si>
  <si>
    <t>Excluir esta linha caso a contratação não tenha previsão de horas extras explícita no edital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</si>
  <si>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</si>
  <si>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</si>
  <si>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</si>
  <si>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</si>
  <si>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</si>
  <si>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</si>
  <si>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</si>
  <si>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Adicional Noturno</t>
  </si>
  <si>
    <t>horas trabalhadas</t>
  </si>
  <si>
    <t>hora contabilizada</t>
  </si>
  <si>
    <t>Horas Extras Noturnas (100%)</t>
  </si>
  <si>
    <t>Excluir esta linha caso a contratação não tenha previsão de horas extras noturnas 100% explícita no edital</t>
  </si>
  <si>
    <t>Horas Extras Noturnas (50%)</t>
  </si>
  <si>
    <t>Excluir esta linha caso a contratação não tenha previsão de horas extras noturnas 50% explícita no edital</t>
  </si>
  <si>
    <t xml:space="preserve">1.1. Motorista </t>
  </si>
  <si>
    <t>Piso da categoria (1)</t>
  </si>
  <si>
    <t>Salário mínimo nacional (2)</t>
  </si>
  <si>
    <t>Base de cálculo da Insalubridade</t>
  </si>
  <si>
    <t>Total por Motorista</t>
  </si>
  <si>
    <t>Salário mínimo nacional</t>
  </si>
  <si>
    <t>1.3 Encarregado Operacional</t>
  </si>
  <si>
    <t>1.4. Vale Transporte</t>
  </si>
  <si>
    <t>Vale Transporte</t>
  </si>
  <si>
    <t>Dias Trabalhados por mês</t>
  </si>
  <si>
    <t>dia</t>
  </si>
  <si>
    <t>Coletor</t>
  </si>
  <si>
    <t>vale</t>
  </si>
  <si>
    <t>Motorista/Encarregado</t>
  </si>
  <si>
    <t>1.2. Vale-refeição (diário)</t>
  </si>
  <si>
    <t>unidade</t>
  </si>
  <si>
    <t>Motorista</t>
  </si>
  <si>
    <t>1.7. Auxílio Alimentação (mensal)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</si>
  <si>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</si>
  <si>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</si>
  <si>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</si>
  <si>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</si>
  <si>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</si>
  <si>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</si>
  <si>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>Camiseta</t>
  </si>
  <si>
    <t>Boné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</si>
  <si>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</si>
  <si>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</si>
  <si>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</si>
  <si>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</si>
  <si>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</si>
  <si>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</si>
  <si>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</si>
  <si>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</si>
  <si>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</si>
  <si>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</si>
  <si>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</si>
  <si>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Custo Mensal com Uniformes e EPIs (R$/mês)</t>
  </si>
  <si>
    <t>2. Veículo</t>
  </si>
  <si>
    <t>2.1. Veículo</t>
  </si>
  <si>
    <t>2.1.1. Depreciação</t>
  </si>
  <si>
    <t>Custo de aquisição do veículo</t>
  </si>
  <si>
    <t>Vida útil do veículo</t>
  </si>
  <si>
    <t>anos</t>
  </si>
  <si>
    <t>Idade do veículo</t>
  </si>
  <si>
    <t>Depreciação do veículo</t>
  </si>
  <si>
    <t>Depreciação mensal veículo de apoio</t>
  </si>
  <si>
    <t>Total por veículo</t>
  </si>
  <si>
    <t>Total da frota</t>
  </si>
  <si>
    <t>2.1.2. Remuneração do Capital</t>
  </si>
  <si>
    <t>Custo do chassis</t>
  </si>
  <si>
    <t>Taxa de juros anual nominal (SELIC)</t>
  </si>
  <si>
    <t>Valor do veículo proposto (V0)</t>
  </si>
  <si>
    <t>Investimento médio total do chassis</t>
  </si>
  <si>
    <t>Remuneração mensal de capital do chassis</t>
  </si>
  <si>
    <t>2.1.3. Impostos e Seguros</t>
  </si>
  <si>
    <t>IPVA</t>
  </si>
  <si>
    <t>Licenciamento e Seguro obrigatório e outros</t>
  </si>
  <si>
    <t>Seguro contra terceiros</t>
  </si>
  <si>
    <t>Impostos e seguros mensais</t>
  </si>
  <si>
    <t>2.1.4. Consumos</t>
  </si>
  <si>
    <t>Quilometragem mensal</t>
  </si>
  <si>
    <t>Consumo</t>
  </si>
  <si>
    <t>Custo de diesel / km rodado</t>
  </si>
  <si>
    <t>km/l</t>
  </si>
  <si>
    <t>Custo mensal com diesel</t>
  </si>
  <si>
    <t>km</t>
  </si>
  <si>
    <t>Custo de óleo do motor /10000 km rodados</t>
  </si>
  <si>
    <t>kit (óleo +filtro)/10.000 km</t>
  </si>
  <si>
    <t>Custo mensal com óleo do motor</t>
  </si>
  <si>
    <t>Custo mensal com Pedágio</t>
  </si>
  <si>
    <t>und</t>
  </si>
  <si>
    <t>Custo com consumos/km rodado</t>
  </si>
  <si>
    <t>R$/km rodado</t>
  </si>
  <si>
    <t>2.1.5. Manutenção</t>
  </si>
  <si>
    <t>Custo de manutenção do veículo</t>
  </si>
  <si>
    <t>2.1.6. Pneus</t>
  </si>
  <si>
    <t>Custo do jogo de pneus</t>
  </si>
  <si>
    <t>Custo jg. compl. / km rodado</t>
  </si>
  <si>
    <t>km/jogo</t>
  </si>
  <si>
    <t>Custo mensal com pneus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</si>
  <si>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</si>
  <si>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</si>
  <si>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</si>
  <si>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</si>
  <si>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</si>
  <si>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Publicidade (adesivos equipamentos)</t>
  </si>
  <si>
    <t>cj</t>
  </si>
  <si>
    <t>Publicidade (adesivos veículos)</t>
  </si>
  <si>
    <t>Custo Mensal com Ferramentas e Materiais de Consumo (R$/mês)</t>
  </si>
  <si>
    <t>3. Monitoramento da Frota</t>
  </si>
  <si>
    <t>Implantação dos equipamentos de monitoramento</t>
  </si>
  <si>
    <t>Custo mensal com implantação</t>
  </si>
  <si>
    <t>Manutenção dos equipamentos de monitoramento</t>
  </si>
  <si>
    <t>frota</t>
  </si>
  <si>
    <t>Custo mensal com manutenção</t>
  </si>
  <si>
    <t>Custo Mensal com Monitoramento da Frota (R$/mês)</t>
  </si>
  <si>
    <t>CUSTO TOTAL MENSAL COM DESPESAS OPERACIONAIS (R$/mês)</t>
  </si>
  <si>
    <t>4. Benefícios e Despesas Indiretas - BDI</t>
  </si>
  <si>
    <t>Benefícios e despesas indiretas</t>
  </si>
  <si>
    <t>CUSTO MENSAL COM BDI (R$/mês)</t>
  </si>
  <si>
    <t>PREÇO MENSAL TOTAL (R$/mês)</t>
  </si>
  <si>
    <t>Alexandre Etgeton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</si>
  <si>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</si>
  <si>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</si>
  <si>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</si>
  <si>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</si>
  <si>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</si>
  <si>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</si>
  <si>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</si>
  <si>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</si>
  <si>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</si>
  <si>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</si>
  <si>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</si>
  <si>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</si>
  <si>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</si>
  <si>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</si>
  <si>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</si>
  <si>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</si>
  <si>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</si>
  <si>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</si>
  <si>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</si>
  <si>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</si>
  <si>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</si>
  <si>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</si>
  <si>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</si>
  <si>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</si>
  <si>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</si>
  <si>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</si>
  <si>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</si>
  <si>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</si>
  <si>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</si>
  <si>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</si>
  <si>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</si>
  <si>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</si>
  <si>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</si>
  <si>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</si>
  <si>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</si>
  <si>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B7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</si>
  <si>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</si>
  <si>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</si>
  <si>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</si>
  <si>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</si>
  <si>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</si>
  <si>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</si>
  <si>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</si>
  <si>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</si>
  <si>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</si>
  <si>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</si>
  <si>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</si>
  <si>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</si>
  <si>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</si>
  <si>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</si>
  <si>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</si>
  <si>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</si>
  <si>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</si>
  <si>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</si>
  <si>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</si>
  <si>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</si>
  <si>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Engenheiro Civil</t>
  </si>
  <si>
    <t>CREA-RS 163.198-D</t>
  </si>
  <si>
    <t>Jonatan Bronstrup</t>
  </si>
  <si>
    <t>Prefeito Municipal de Teutônia</t>
  </si>
  <si>
    <t>CÁLCULO DAS VERBAS INDENIZATÓRIAS DOS EMPREGADOS NO SETOR DE COLETA DE RSU</t>
  </si>
  <si>
    <t>Para preencher esta planilha siga os passos 1 a 5:</t>
  </si>
  <si>
    <t xml:space="preserve">1. Acesse o Portal do CAGED no link http://bi.mte.gov.br/cagedestabelecimento/pages/consulta.xhtml </t>
  </si>
  <si>
    <t>2. Na Especificação da Consulta, selecione "Demonstrativo por período" e informe as competências relativas ao período Inicial e Final (últimos 12 meses)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</si>
  <si>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</si>
  <si>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</si>
  <si>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</si>
  <si>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6. 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</si>
  <si>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</si>
  <si>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</si>
  <si>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</si>
  <si>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</si>
  <si>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</si>
  <si>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</si>
  <si>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</si>
  <si>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</si>
  <si>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</si>
  <si>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</si>
  <si>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</si>
  <si>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</si>
  <si>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</si>
  <si>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</si>
  <si>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Estoque recuperado início do Período 01-09-2016</t>
  </si>
  <si>
    <t>Estoque recuperado final do Período 31-08-2017</t>
  </si>
  <si>
    <t>Variação Emprego Absoluta de 01-09-2016 a 31-08-2017</t>
  </si>
  <si>
    <t>Rotatividade</t>
  </si>
  <si>
    <t>Demitidos s/ Justa Causa em relação ao Estoque Médio</t>
  </si>
  <si>
    <t>Dias ano</t>
  </si>
  <si>
    <t>1/3 de férias (dias)</t>
  </si>
  <si>
    <t>Férias (dias)</t>
  </si>
  <si>
    <t>13º Salário (dias)</t>
  </si>
  <si>
    <t>Estoque Médio</t>
  </si>
  <si>
    <t>Multa FGTS</t>
  </si>
  <si>
    <t>Fração de tempo para gozo férias</t>
  </si>
  <si>
    <t>Dias de Aviso prévio</t>
  </si>
  <si>
    <t>Rotatividade temporal (meses)</t>
  </si>
  <si>
    <t>1. Esta planilha é somente um modelo-base e deve ser ajustada conforme cada caso concreto.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</si>
  <si>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</si>
  <si>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</si>
  <si>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</si>
  <si>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</si>
  <si>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</si>
  <si>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</si>
  <si>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</si>
  <si>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</si>
  <si>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</si>
  <si>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</si>
  <si>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</si>
  <si>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</si>
  <si>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</si>
  <si>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</si>
  <si>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</si>
  <si>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</si>
  <si>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</si>
  <si>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</si>
  <si>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</si>
  <si>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</si>
  <si>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</si>
  <si>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</si>
  <si>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</si>
  <si>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</si>
  <si>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</si>
  <si>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</si>
  <si>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indexed="8"/>
        <rFont val="Arial"/>
        <family val="2"/>
      </rP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</si>
  <si>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</si>
  <si>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</si>
  <si>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indexed="8"/>
        <rFont val="Arial"/>
        <family val="2"/>
      </rP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</si>
  <si>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rPr>
        <sz val="12"/>
        <color indexed="8"/>
        <rFont val="Arial"/>
        <family val="2"/>
      </rP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</si>
  <si>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n = vida útil do bem em anos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</si>
  <si>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</si>
  <si>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</si>
  <si>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3. Preencher somente células em amarelo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</si>
  <si>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</si>
  <si>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</si>
  <si>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</si>
  <si>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</si>
  <si>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</si>
  <si>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</si>
  <si>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</si>
  <si>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</si>
  <si>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</si>
  <si>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</si>
  <si>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</si>
  <si>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</si>
  <si>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</si>
  <si>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</si>
  <si>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</si>
  <si>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</si>
  <si>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</si>
  <si>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</si>
  <si>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</si>
  <si>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</si>
  <si>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</si>
  <si>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</si>
  <si>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r>
      <rPr>
        <sz val="10"/>
        <rFont val="Arial"/>
        <family val="2"/>
      </rPr>
      <t>3.1. Veículo Coletor Compactador</t>
    </r>
    <r>
      <rPr>
        <sz val="10"/>
        <color indexed="10"/>
        <rFont val="Arial"/>
        <family val="2"/>
      </rPr>
      <t xml:space="preserve"> 15</t>
    </r>
    <r>
      <rPr>
        <sz val="10"/>
        <rFont val="Arial"/>
        <family val="2"/>
      </rPr>
      <t xml:space="preserve"> m³</t>
    </r>
  </si>
  <si>
    <t>Custo de óleo diesel / km rodado</t>
  </si>
  <si>
    <t>Custo mensal com óleo diesel</t>
  </si>
  <si>
    <t>Custo de óleo do motor /1.000 km rodados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</si>
  <si>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</si>
  <si>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</si>
  <si>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</si>
  <si>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</si>
  <si>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</si>
  <si>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Custo mensal com graxa</t>
  </si>
  <si>
    <t>Custo do jogo de pneus xxx/xx Rxx</t>
  </si>
  <si>
    <t>Salário Maternidade</t>
  </si>
  <si>
    <t>Aviso prévio trabalhado</t>
  </si>
  <si>
    <t>8. TRANSPORTE DE PASSAGEIROS (21 lugares - 4.833 km/mês)</t>
  </si>
  <si>
    <t>Aline Dezordi Casarin</t>
  </si>
  <si>
    <t>Engenheira Civil CREA/RS PR 162.735</t>
  </si>
  <si>
    <t>Engenheira Civil</t>
  </si>
  <si>
    <t>CREA-RS PR 162.735</t>
  </si>
  <si>
    <t>Celso Aloísio Forneck</t>
  </si>
  <si>
    <t>Teutônia, 17 de outubro de 2024.</t>
  </si>
</sst>
</file>

<file path=xl/styles.xml><?xml version="1.0" encoding="utf-8"?>
<styleSheet xmlns="http://schemas.openxmlformats.org/spreadsheetml/2006/main">
  <numFmts count="10">
    <numFmt numFmtId="43" formatCode="_-* #,##0.00_-;\-* #,##0.00_-;_-* &quot;-&quot;??_-;_-@_-"/>
    <numFmt numFmtId="164" formatCode="_(* #,##0.00_);_(* \(#,##0.00\);_(* &quot;-&quot;??_);_(@_)"/>
    <numFmt numFmtId="165" formatCode="_-* #,##0.000_-;\-* #,##0.000_-;_-* &quot;-&quot;??_-;_-@_-"/>
    <numFmt numFmtId="166" formatCode="_-* #,##0.00_-;\-* #,##0.00_-;_-* &quot;-&quot;?_-;_-@_-"/>
    <numFmt numFmtId="167" formatCode="_-* #,##0_-;\-* #,##0_-;_-* &quot;-&quot;?_-;_-@_-"/>
    <numFmt numFmtId="168" formatCode="0.0000"/>
    <numFmt numFmtId="169" formatCode="&quot;R$ &quot;#,##0.00"/>
    <numFmt numFmtId="170" formatCode="&quot;R$ &quot;#,##0.00_);\(&quot;R$ &quot;#,##0.00\)"/>
    <numFmt numFmtId="171" formatCode="_(* #,##0_);_(* \(#,##0\);_(* &quot;-&quot;??_);_(@_)"/>
    <numFmt numFmtId="172" formatCode="_(* #,##0.000_);_(* \(#,##0.000\);_(* &quot;-&quot;??_);_(@_)"/>
  </numFmts>
  <fonts count="29"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2"/>
      <color indexed="8"/>
      <name val="Arial"/>
      <family val="2"/>
    </font>
    <font>
      <vertAlign val="subscript"/>
      <sz val="12"/>
      <color indexed="8"/>
      <name val="Arial"/>
      <family val="2"/>
    </font>
    <font>
      <b/>
      <u/>
      <sz val="9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b/>
      <sz val="11"/>
      <color theme="1"/>
      <name val="Arial"/>
      <family val="2"/>
    </font>
    <font>
      <u/>
      <sz val="10"/>
      <color rgb="FF80008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9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356">
    <xf numFmtId="0" fontId="0" fillId="0" borderId="0" xfId="0"/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/>
    <xf numFmtId="0" fontId="0" fillId="0" borderId="3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4" fontId="0" fillId="0" borderId="0" xfId="0" applyNumberFormat="1" applyFont="1" applyBorder="1" applyAlignment="1">
      <alignment vertical="center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3" fillId="0" borderId="4" xfId="0" applyFont="1" applyBorder="1"/>
    <xf numFmtId="0" fontId="3" fillId="0" borderId="2" xfId="0" applyFont="1" applyBorder="1"/>
    <xf numFmtId="0" fontId="3" fillId="0" borderId="5" xfId="0" applyFont="1" applyBorder="1"/>
    <xf numFmtId="0" fontId="4" fillId="0" borderId="4" xfId="0" applyFont="1" applyFill="1" applyBorder="1"/>
    <xf numFmtId="0" fontId="4" fillId="0" borderId="2" xfId="0" applyFont="1" applyFill="1" applyBorder="1"/>
    <xf numFmtId="0" fontId="4" fillId="4" borderId="5" xfId="0" applyFont="1" applyFill="1" applyBorder="1"/>
    <xf numFmtId="0" fontId="4" fillId="0" borderId="4" xfId="0" applyFont="1" applyBorder="1"/>
    <xf numFmtId="0" fontId="4" fillId="0" borderId="2" xfId="0" applyFont="1" applyBorder="1"/>
    <xf numFmtId="165" fontId="20" fillId="0" borderId="5" xfId="3" applyNumberFormat="1" applyFont="1" applyBorder="1" applyAlignment="1">
      <alignment horizontal="center" vertical="center" wrapText="1"/>
    </xf>
    <xf numFmtId="166" fontId="4" fillId="0" borderId="5" xfId="0" applyNumberFormat="1" applyFont="1" applyBorder="1"/>
    <xf numFmtId="2" fontId="4" fillId="0" borderId="5" xfId="0" applyNumberFormat="1" applyFont="1" applyBorder="1"/>
    <xf numFmtId="166" fontId="4" fillId="4" borderId="5" xfId="0" applyNumberFormat="1" applyFont="1" applyFill="1" applyBorder="1"/>
    <xf numFmtId="0" fontId="4" fillId="0" borderId="5" xfId="0" applyFont="1" applyBorder="1"/>
    <xf numFmtId="167" fontId="4" fillId="4" borderId="5" xfId="0" applyNumberFormat="1" applyFont="1" applyFill="1" applyBorder="1"/>
    <xf numFmtId="0" fontId="4" fillId="0" borderId="6" xfId="0" applyFont="1" applyFill="1" applyBorder="1"/>
    <xf numFmtId="0" fontId="4" fillId="0" borderId="7" xfId="0" applyFont="1" applyBorder="1"/>
    <xf numFmtId="166" fontId="4" fillId="0" borderId="8" xfId="0" applyNumberFormat="1" applyFont="1" applyBorder="1"/>
    <xf numFmtId="0" fontId="0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>
      <alignment horizontal="right" vertical="center"/>
    </xf>
    <xf numFmtId="164" fontId="0" fillId="0" borderId="9" xfId="3" applyNumberFormat="1" applyFont="1" applyBorder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/>
    </xf>
    <xf numFmtId="0" fontId="0" fillId="0" borderId="11" xfId="0" applyFont="1" applyBorder="1"/>
    <xf numFmtId="0" fontId="23" fillId="0" borderId="11" xfId="0" applyFont="1" applyBorder="1" applyAlignment="1">
      <alignment horizontal="justify"/>
    </xf>
    <xf numFmtId="0" fontId="23" fillId="0" borderId="12" xfId="0" applyFont="1" applyBorder="1" applyAlignment="1">
      <alignment horizontal="justify"/>
    </xf>
    <xf numFmtId="0" fontId="24" fillId="0" borderId="4" xfId="0" applyFont="1" applyBorder="1" applyAlignment="1">
      <alignment horizontal="center" vertical="center"/>
    </xf>
    <xf numFmtId="0" fontId="24" fillId="6" borderId="2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2" fontId="22" fillId="6" borderId="2" xfId="0" applyNumberFormat="1" applyFont="1" applyFill="1" applyBorder="1" applyAlignment="1">
      <alignment horizontal="right" vertical="center"/>
    </xf>
    <xf numFmtId="0" fontId="22" fillId="0" borderId="6" xfId="0" applyFont="1" applyBorder="1" applyAlignment="1">
      <alignment horizontal="center" vertical="center"/>
    </xf>
    <xf numFmtId="2" fontId="22" fillId="6" borderId="7" xfId="0" applyNumberFormat="1" applyFont="1" applyFill="1" applyBorder="1" applyAlignment="1">
      <alignment horizontal="right" vertic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Border="1"/>
    <xf numFmtId="0" fontId="4" fillId="0" borderId="0" xfId="0" applyFont="1" applyBorder="1"/>
    <xf numFmtId="9" fontId="4" fillId="0" borderId="4" xfId="2" applyNumberFormat="1" applyFont="1" applyBorder="1"/>
    <xf numFmtId="9" fontId="4" fillId="0" borderId="2" xfId="2" applyNumberFormat="1" applyFont="1" applyBorder="1" applyAlignment="1">
      <alignment horizontal="center"/>
    </xf>
    <xf numFmtId="9" fontId="4" fillId="0" borderId="5" xfId="2" applyNumberFormat="1" applyFont="1" applyBorder="1"/>
    <xf numFmtId="0" fontId="4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10" fontId="4" fillId="4" borderId="17" xfId="0" applyNumberFormat="1" applyFont="1" applyFill="1" applyBorder="1" applyAlignment="1">
      <alignment horizontal="center" vertical="center"/>
    </xf>
    <xf numFmtId="10" fontId="4" fillId="0" borderId="4" xfId="2" applyNumberFormat="1" applyFont="1" applyBorder="1" applyAlignment="1">
      <alignment horizontal="right"/>
    </xf>
    <xf numFmtId="10" fontId="4" fillId="0" borderId="2" xfId="2" applyNumberFormat="1" applyFont="1" applyBorder="1" applyAlignment="1">
      <alignment horizontal="right"/>
    </xf>
    <xf numFmtId="10" fontId="4" fillId="0" borderId="5" xfId="2" applyNumberFormat="1" applyFont="1" applyBorder="1" applyAlignment="1">
      <alignment horizontal="right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10" fontId="4" fillId="4" borderId="5" xfId="0" applyNumberFormat="1" applyFont="1" applyFill="1" applyBorder="1" applyAlignment="1">
      <alignment horizontal="center" vertical="center"/>
    </xf>
    <xf numFmtId="10" fontId="4" fillId="0" borderId="5" xfId="0" applyNumberFormat="1" applyFont="1" applyFill="1" applyBorder="1" applyAlignment="1">
      <alignment horizontal="center" vertical="center"/>
    </xf>
    <xf numFmtId="10" fontId="4" fillId="4" borderId="2" xfId="2" applyNumberFormat="1" applyFont="1" applyFill="1" applyBorder="1" applyAlignment="1">
      <alignment horizontal="center"/>
    </xf>
    <xf numFmtId="10" fontId="4" fillId="0" borderId="5" xfId="2" applyNumberFormat="1" applyFont="1" applyBorder="1"/>
    <xf numFmtId="0" fontId="4" fillId="0" borderId="4" xfId="0" applyFont="1" applyBorder="1" applyAlignment="1">
      <alignment horizontal="right"/>
    </xf>
    <xf numFmtId="0" fontId="4" fillId="4" borderId="2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left" vertical="center"/>
    </xf>
    <xf numFmtId="10" fontId="4" fillId="4" borderId="8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10" fontId="4" fillId="0" borderId="20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/>
    </xf>
    <xf numFmtId="0" fontId="3" fillId="7" borderId="24" xfId="0" applyFont="1" applyFill="1" applyBorder="1" applyAlignment="1">
      <alignment vertical="center" wrapText="1"/>
    </xf>
    <xf numFmtId="0" fontId="4" fillId="7" borderId="25" xfId="0" applyFont="1" applyFill="1" applyBorder="1" applyAlignment="1">
      <alignment vertical="center"/>
    </xf>
    <xf numFmtId="10" fontId="3" fillId="7" borderId="26" xfId="0" applyNumberFormat="1" applyFont="1" applyFill="1" applyBorder="1" applyAlignment="1">
      <alignment horizontal="center" vertical="center" wrapText="1"/>
    </xf>
    <xf numFmtId="10" fontId="4" fillId="0" borderId="6" xfId="2" applyNumberFormat="1" applyFont="1" applyBorder="1" applyAlignment="1">
      <alignment horizontal="right"/>
    </xf>
    <xf numFmtId="10" fontId="4" fillId="0" borderId="7" xfId="2" applyNumberFormat="1" applyFont="1" applyBorder="1" applyAlignment="1">
      <alignment horizontal="right"/>
    </xf>
    <xf numFmtId="10" fontId="4" fillId="0" borderId="8" xfId="2" applyNumberFormat="1" applyFont="1" applyBorder="1" applyAlignment="1">
      <alignment horizontal="right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9" xfId="0" applyBorder="1"/>
    <xf numFmtId="0" fontId="25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justify" vertical="center"/>
    </xf>
    <xf numFmtId="0" fontId="6" fillId="0" borderId="0" xfId="1" applyFont="1" applyBorder="1" applyAlignment="1" applyProtection="1">
      <alignment horizontal="left" vertical="center"/>
    </xf>
    <xf numFmtId="0" fontId="27" fillId="0" borderId="27" xfId="0" applyFont="1" applyBorder="1"/>
    <xf numFmtId="0" fontId="4" fillId="0" borderId="28" xfId="0" applyFont="1" applyBorder="1"/>
    <xf numFmtId="0" fontId="27" fillId="0" borderId="29" xfId="0" applyFont="1" applyBorder="1"/>
    <xf numFmtId="0" fontId="27" fillId="4" borderId="5" xfId="0" applyFont="1" applyFill="1" applyBorder="1"/>
    <xf numFmtId="0" fontId="27" fillId="0" borderId="4" xfId="0" applyFont="1" applyBorder="1"/>
    <xf numFmtId="0" fontId="4" fillId="0" borderId="29" xfId="0" applyFont="1" applyBorder="1"/>
    <xf numFmtId="0" fontId="4" fillId="4" borderId="30" xfId="0" applyFont="1" applyFill="1" applyBorder="1"/>
    <xf numFmtId="0" fontId="4" fillId="0" borderId="31" xfId="0" applyFont="1" applyBorder="1"/>
    <xf numFmtId="0" fontId="4" fillId="4" borderId="32" xfId="0" applyFont="1" applyFill="1" applyBorder="1"/>
    <xf numFmtId="0" fontId="4" fillId="0" borderId="14" xfId="0" applyFont="1" applyBorder="1"/>
    <xf numFmtId="0" fontId="27" fillId="0" borderId="33" xfId="0" applyFont="1" applyBorder="1"/>
    <xf numFmtId="168" fontId="27" fillId="0" borderId="30" xfId="0" applyNumberFormat="1" applyFont="1" applyBorder="1"/>
    <xf numFmtId="0" fontId="27" fillId="0" borderId="34" xfId="0" applyFont="1" applyBorder="1"/>
    <xf numFmtId="0" fontId="27" fillId="0" borderId="30" xfId="0" applyFont="1" applyBorder="1"/>
    <xf numFmtId="0" fontId="3" fillId="0" borderId="30" xfId="0" applyFont="1" applyBorder="1"/>
    <xf numFmtId="9" fontId="3" fillId="0" borderId="30" xfId="0" applyNumberFormat="1" applyFont="1" applyBorder="1"/>
    <xf numFmtId="168" fontId="3" fillId="0" borderId="30" xfId="0" applyNumberFormat="1" applyFont="1" applyBorder="1"/>
    <xf numFmtId="0" fontId="27" fillId="0" borderId="5" xfId="0" applyFont="1" applyBorder="1"/>
    <xf numFmtId="0" fontId="27" fillId="0" borderId="21" xfId="0" applyFont="1" applyBorder="1"/>
    <xf numFmtId="168" fontId="3" fillId="0" borderId="35" xfId="0" applyNumberFormat="1" applyFont="1" applyBorder="1"/>
    <xf numFmtId="0" fontId="2" fillId="0" borderId="0" xfId="0" applyFont="1" applyFill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10" fontId="22" fillId="0" borderId="5" xfId="0" applyNumberFormat="1" applyFont="1" applyBorder="1" applyAlignment="1">
      <alignment horizontal="right" vertical="center"/>
    </xf>
    <xf numFmtId="0" fontId="24" fillId="0" borderId="2" xfId="0" applyFont="1" applyBorder="1" applyAlignment="1">
      <alignment horizontal="left" vertical="center"/>
    </xf>
    <xf numFmtId="10" fontId="24" fillId="0" borderId="5" xfId="0" applyNumberFormat="1" applyFont="1" applyBorder="1" applyAlignment="1">
      <alignment horizontal="right" vertical="center"/>
    </xf>
    <xf numFmtId="0" fontId="22" fillId="7" borderId="4" xfId="0" applyFont="1" applyFill="1" applyBorder="1" applyAlignment="1">
      <alignment horizontal="left" vertical="center"/>
    </xf>
    <xf numFmtId="0" fontId="24" fillId="7" borderId="2" xfId="0" applyFont="1" applyFill="1" applyBorder="1" applyAlignment="1">
      <alignment horizontal="left" vertical="center"/>
    </xf>
    <xf numFmtId="10" fontId="24" fillId="7" borderId="5" xfId="0" applyNumberFormat="1" applyFont="1" applyFill="1" applyBorder="1" applyAlignment="1">
      <alignment horizontal="right" vertical="center"/>
    </xf>
    <xf numFmtId="0" fontId="20" fillId="0" borderId="2" xfId="0" applyFont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10" fontId="0" fillId="0" borderId="0" xfId="0" applyNumberFormat="1" applyFont="1"/>
    <xf numFmtId="9" fontId="22" fillId="0" borderId="0" xfId="2" applyNumberFormat="1" applyFont="1" applyBorder="1" applyAlignment="1">
      <alignment horizontal="right" vertical="center"/>
    </xf>
    <xf numFmtId="10" fontId="0" fillId="0" borderId="0" xfId="0" applyNumberFormat="1" applyFont="1" applyBorder="1"/>
    <xf numFmtId="0" fontId="22" fillId="0" borderId="2" xfId="0" applyFont="1" applyBorder="1" applyAlignment="1">
      <alignment horizontal="left" vertical="center" wrapText="1"/>
    </xf>
    <xf numFmtId="0" fontId="22" fillId="8" borderId="6" xfId="0" applyFont="1" applyFill="1" applyBorder="1" applyAlignment="1">
      <alignment horizontal="left" vertical="center"/>
    </xf>
    <xf numFmtId="0" fontId="24" fillId="8" borderId="7" xfId="0" applyFont="1" applyFill="1" applyBorder="1" applyAlignment="1">
      <alignment horizontal="left" vertical="center"/>
    </xf>
    <xf numFmtId="10" fontId="24" fillId="8" borderId="8" xfId="0" applyNumberFormat="1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left" vertical="center"/>
    </xf>
    <xf numFmtId="10" fontId="24" fillId="0" borderId="0" xfId="0" applyNumberFormat="1" applyFont="1" applyFill="1" applyBorder="1" applyAlignment="1">
      <alignment horizontal="right" vertical="center"/>
    </xf>
    <xf numFmtId="0" fontId="25" fillId="9" borderId="0" xfId="0" applyFont="1" applyFill="1" applyBorder="1" applyAlignment="1">
      <alignment horizontal="left" vertical="center"/>
    </xf>
    <xf numFmtId="10" fontId="22" fillId="0" borderId="0" xfId="0" applyNumberFormat="1" applyFont="1" applyFill="1" applyBorder="1" applyAlignment="1">
      <alignment horizontal="right" vertical="center"/>
    </xf>
    <xf numFmtId="0" fontId="22" fillId="9" borderId="0" xfId="0" applyFont="1" applyFill="1" applyBorder="1" applyAlignment="1">
      <alignment horizontal="left" vertical="center"/>
    </xf>
    <xf numFmtId="10" fontId="22" fillId="0" borderId="0" xfId="0" applyNumberFormat="1" applyFont="1" applyBorder="1" applyAlignment="1">
      <alignment horizontal="right" vertical="center"/>
    </xf>
    <xf numFmtId="10" fontId="24" fillId="0" borderId="0" xfId="0" applyNumberFormat="1" applyFont="1" applyBorder="1" applyAlignment="1">
      <alignment horizontal="right" vertical="center"/>
    </xf>
    <xf numFmtId="0" fontId="6" fillId="0" borderId="0" xfId="1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0" fillId="0" borderId="0" xfId="3" applyNumberFormat="1" applyFont="1" applyAlignment="1">
      <alignment vertical="center"/>
    </xf>
    <xf numFmtId="4" fontId="0" fillId="0" borderId="0" xfId="0" applyNumberFormat="1" applyBorder="1" applyAlignment="1">
      <alignment vertical="center"/>
    </xf>
    <xf numFmtId="0" fontId="0" fillId="0" borderId="0" xfId="0" applyFont="1" applyBorder="1" applyAlignment="1">
      <alignment vertical="center"/>
    </xf>
    <xf numFmtId="4" fontId="0" fillId="0" borderId="0" xfId="0" applyNumberFormat="1" applyAlignment="1">
      <alignment vertical="center"/>
    </xf>
    <xf numFmtId="164" fontId="4" fillId="0" borderId="0" xfId="3" applyNumberFormat="1" applyFont="1" applyAlignment="1">
      <alignment vertical="center"/>
    </xf>
    <xf numFmtId="0" fontId="0" fillId="0" borderId="13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4" fontId="0" fillId="0" borderId="0" xfId="3" applyNumberFormat="1" applyFont="1" applyFill="1" applyBorder="1" applyAlignment="1">
      <alignment vertical="center"/>
    </xf>
    <xf numFmtId="164" fontId="0" fillId="0" borderId="14" xfId="3" applyNumberFormat="1" applyFont="1" applyFill="1" applyBorder="1" applyAlignment="1">
      <alignment vertical="center"/>
    </xf>
    <xf numFmtId="164" fontId="1" fillId="0" borderId="36" xfId="3" applyNumberFormat="1" applyFont="1" applyBorder="1" applyAlignment="1">
      <alignment horizontal="center" vertical="center"/>
    </xf>
    <xf numFmtId="164" fontId="0" fillId="0" borderId="37" xfId="3" applyNumberFormat="1" applyFont="1" applyBorder="1" applyAlignment="1">
      <alignment vertical="center"/>
    </xf>
    <xf numFmtId="164" fontId="1" fillId="0" borderId="37" xfId="3" applyNumberFormat="1" applyFont="1" applyBorder="1" applyAlignment="1">
      <alignment vertical="center"/>
    </xf>
    <xf numFmtId="164" fontId="1" fillId="0" borderId="38" xfId="3" applyNumberFormat="1" applyFont="1" applyBorder="1" applyAlignment="1">
      <alignment vertical="center"/>
    </xf>
    <xf numFmtId="164" fontId="1" fillId="0" borderId="17" xfId="3" applyNumberFormat="1" applyFont="1" applyBorder="1" applyAlignment="1">
      <alignment horizontal="center" vertical="center"/>
    </xf>
    <xf numFmtId="164" fontId="1" fillId="0" borderId="27" xfId="3" applyNumberFormat="1" applyFont="1" applyBorder="1" applyAlignment="1">
      <alignment vertical="center"/>
    </xf>
    <xf numFmtId="164" fontId="1" fillId="0" borderId="39" xfId="0" applyNumberFormat="1" applyFont="1" applyBorder="1" applyAlignment="1">
      <alignment vertical="center"/>
    </xf>
    <xf numFmtId="164" fontId="1" fillId="0" borderId="39" xfId="3" applyNumberFormat="1" applyFont="1" applyBorder="1" applyAlignment="1">
      <alignment vertical="center"/>
    </xf>
    <xf numFmtId="169" fontId="1" fillId="0" borderId="2" xfId="0" applyNumberFormat="1" applyFont="1" applyBorder="1" applyAlignment="1">
      <alignment vertical="center"/>
    </xf>
    <xf numFmtId="10" fontId="1" fillId="0" borderId="28" xfId="2" applyNumberFormat="1" applyFont="1" applyBorder="1" applyAlignment="1">
      <alignment vertical="center"/>
    </xf>
    <xf numFmtId="164" fontId="1" fillId="0" borderId="0" xfId="3" applyNumberFormat="1" applyFont="1" applyAlignment="1">
      <alignment vertical="center"/>
    </xf>
    <xf numFmtId="164" fontId="0" fillId="0" borderId="27" xfId="3" applyNumberFormat="1" applyFont="1" applyBorder="1" applyAlignment="1">
      <alignment vertical="center"/>
    </xf>
    <xf numFmtId="164" fontId="0" fillId="0" borderId="39" xfId="0" applyNumberFormat="1" applyBorder="1" applyAlignment="1">
      <alignment vertical="center"/>
    </xf>
    <xf numFmtId="164" fontId="0" fillId="0" borderId="39" xfId="3" applyNumberFormat="1" applyFont="1" applyBorder="1" applyAlignment="1">
      <alignment vertical="center"/>
    </xf>
    <xf numFmtId="169" fontId="0" fillId="0" borderId="2" xfId="0" applyNumberFormat="1" applyBorder="1" applyAlignment="1">
      <alignment vertical="center"/>
    </xf>
    <xf numFmtId="10" fontId="0" fillId="0" borderId="28" xfId="2" applyNumberFormat="1" applyFont="1" applyBorder="1" applyAlignment="1">
      <alignment vertical="center"/>
    </xf>
    <xf numFmtId="164" fontId="1" fillId="0" borderId="27" xfId="3" applyNumberFormat="1" applyFont="1" applyBorder="1" applyAlignment="1">
      <alignment horizontal="left" vertical="center"/>
    </xf>
    <xf numFmtId="4" fontId="1" fillId="0" borderId="39" xfId="0" applyNumberFormat="1" applyFont="1" applyBorder="1" applyAlignment="1">
      <alignment horizontal="centerContinuous" vertical="center"/>
    </xf>
    <xf numFmtId="164" fontId="19" fillId="4" borderId="27" xfId="3" applyNumberFormat="1" applyFont="1" applyFill="1" applyBorder="1" applyAlignment="1">
      <alignment horizontal="left" vertical="center"/>
    </xf>
    <xf numFmtId="4" fontId="0" fillId="4" borderId="39" xfId="0" applyNumberFormat="1" applyFill="1" applyBorder="1" applyAlignment="1">
      <alignment horizontal="centerContinuous" vertical="center"/>
    </xf>
    <xf numFmtId="164" fontId="19" fillId="4" borderId="39" xfId="3" applyNumberFormat="1" applyFont="1" applyFill="1" applyBorder="1" applyAlignment="1">
      <alignment vertical="center"/>
    </xf>
    <xf numFmtId="169" fontId="0" fillId="4" borderId="2" xfId="0" applyNumberFormat="1" applyFill="1" applyBorder="1" applyAlignment="1">
      <alignment vertical="center"/>
    </xf>
    <xf numFmtId="10" fontId="19" fillId="4" borderId="28" xfId="2" applyNumberFormat="1" applyFont="1" applyFill="1" applyBorder="1" applyAlignment="1">
      <alignment vertical="center"/>
    </xf>
    <xf numFmtId="164" fontId="19" fillId="4" borderId="0" xfId="3" applyNumberFormat="1" applyFont="1" applyFill="1" applyAlignment="1">
      <alignment vertical="center"/>
    </xf>
    <xf numFmtId="169" fontId="1" fillId="0" borderId="7" xfId="0" applyNumberFormat="1" applyFont="1" applyBorder="1" applyAlignment="1">
      <alignment vertical="center"/>
    </xf>
    <xf numFmtId="164" fontId="1" fillId="0" borderId="24" xfId="3" applyNumberFormat="1" applyFont="1" applyBorder="1" applyAlignment="1">
      <alignment horizontal="left" vertical="center"/>
    </xf>
    <xf numFmtId="4" fontId="1" fillId="0" borderId="25" xfId="0" applyNumberFormat="1" applyFont="1" applyBorder="1" applyAlignment="1">
      <alignment horizontal="centerContinuous" vertical="center"/>
    </xf>
    <xf numFmtId="164" fontId="1" fillId="0" borderId="25" xfId="3" applyNumberFormat="1" applyFont="1" applyBorder="1" applyAlignment="1">
      <alignment vertical="center"/>
    </xf>
    <xf numFmtId="170" fontId="1" fillId="0" borderId="40" xfId="0" applyNumberFormat="1" applyFont="1" applyBorder="1" applyAlignment="1">
      <alignment vertical="center"/>
    </xf>
    <xf numFmtId="164" fontId="1" fillId="0" borderId="41" xfId="3" applyNumberFormat="1" applyFont="1" applyBorder="1" applyAlignment="1">
      <alignment horizontal="right" vertical="center"/>
    </xf>
    <xf numFmtId="164" fontId="0" fillId="0" borderId="36" xfId="3" applyNumberFormat="1" applyFont="1" applyBorder="1" applyAlignment="1">
      <alignment vertical="center"/>
    </xf>
    <xf numFmtId="0" fontId="0" fillId="0" borderId="37" xfId="0" applyBorder="1" applyAlignment="1">
      <alignment vertical="center"/>
    </xf>
    <xf numFmtId="1" fontId="0" fillId="0" borderId="17" xfId="3" applyNumberFormat="1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1" fontId="0" fillId="0" borderId="5" xfId="3" applyNumberFormat="1" applyFont="1" applyBorder="1" applyAlignment="1">
      <alignment horizontal="center" vertical="center"/>
    </xf>
    <xf numFmtId="164" fontId="1" fillId="0" borderId="21" xfId="3" applyNumberFormat="1" applyFont="1" applyBorder="1" applyAlignment="1">
      <alignment vertical="center"/>
    </xf>
    <xf numFmtId="4" fontId="1" fillId="0" borderId="22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1" fontId="1" fillId="0" borderId="35" xfId="3" applyNumberFormat="1" applyFont="1" applyBorder="1" applyAlignment="1">
      <alignment horizontal="center" vertical="center"/>
    </xf>
    <xf numFmtId="164" fontId="1" fillId="0" borderId="13" xfId="3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0" fillId="0" borderId="0" xfId="3" applyNumberFormat="1" applyFont="1" applyBorder="1" applyAlignment="1">
      <alignment vertical="center"/>
    </xf>
    <xf numFmtId="164" fontId="0" fillId="0" borderId="14" xfId="3" applyNumberFormat="1" applyFont="1" applyBorder="1" applyAlignment="1">
      <alignment vertical="center"/>
    </xf>
    <xf numFmtId="164" fontId="0" fillId="0" borderId="42" xfId="3" applyNumberFormat="1" applyFont="1" applyBorder="1" applyAlignment="1">
      <alignment vertical="center"/>
    </xf>
    <xf numFmtId="164" fontId="0" fillId="0" borderId="43" xfId="3" applyNumberFormat="1" applyFont="1" applyBorder="1" applyAlignment="1">
      <alignment vertical="center"/>
    </xf>
    <xf numFmtId="0" fontId="0" fillId="0" borderId="43" xfId="0" applyFont="1" applyBorder="1" applyAlignment="1">
      <alignment vertical="center"/>
    </xf>
    <xf numFmtId="1" fontId="0" fillId="0" borderId="8" xfId="3" applyNumberFormat="1" applyFont="1" applyBorder="1" applyAlignment="1">
      <alignment horizontal="center" vertical="center"/>
    </xf>
    <xf numFmtId="1" fontId="0" fillId="0" borderId="0" xfId="3" applyNumberFormat="1" applyFont="1" applyBorder="1" applyAlignment="1">
      <alignment horizontal="center" vertical="center"/>
    </xf>
    <xf numFmtId="171" fontId="0" fillId="0" borderId="0" xfId="3" applyNumberFormat="1" applyFont="1" applyBorder="1" applyAlignment="1">
      <alignment horizontal="center" vertical="center"/>
    </xf>
    <xf numFmtId="164" fontId="1" fillId="0" borderId="24" xfId="3" applyNumberFormat="1" applyFont="1" applyBorder="1" applyAlignment="1">
      <alignment vertical="center"/>
    </xf>
    <xf numFmtId="9" fontId="1" fillId="4" borderId="26" xfId="2" applyNumberFormat="1" applyFont="1" applyFill="1" applyBorder="1" applyAlignment="1">
      <alignment vertical="center"/>
    </xf>
    <xf numFmtId="164" fontId="1" fillId="0" borderId="0" xfId="3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71" fontId="1" fillId="0" borderId="0" xfId="3" applyNumberFormat="1" applyFont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164" fontId="9" fillId="2" borderId="45" xfId="3" applyNumberFormat="1" applyFont="1" applyFill="1" applyBorder="1" applyAlignment="1">
      <alignment horizontal="center" vertical="center"/>
    </xf>
    <xf numFmtId="164" fontId="9" fillId="2" borderId="46" xfId="3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19" fillId="4" borderId="1" xfId="3" applyNumberFormat="1" applyFont="1" applyFill="1" applyBorder="1" applyAlignment="1">
      <alignment horizontal="center" vertical="center"/>
    </xf>
    <xf numFmtId="164" fontId="0" fillId="0" borderId="1" xfId="3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4" borderId="2" xfId="0" applyNumberFormat="1" applyFont="1" applyFill="1" applyBorder="1" applyAlignment="1">
      <alignment horizontal="center" vertical="center"/>
    </xf>
    <xf numFmtId="164" fontId="0" fillId="0" borderId="2" xfId="3" applyNumberFormat="1" applyFont="1" applyBorder="1" applyAlignment="1">
      <alignment horizontal="center" vertical="center"/>
    </xf>
    <xf numFmtId="164" fontId="0" fillId="0" borderId="2" xfId="3" applyNumberFormat="1" applyFont="1" applyFill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3" applyNumberFormat="1" applyFont="1" applyAlignment="1">
      <alignment horizontal="center" vertical="center"/>
    </xf>
    <xf numFmtId="164" fontId="1" fillId="0" borderId="47" xfId="3" applyNumberFormat="1" applyFont="1" applyBorder="1" applyAlignment="1">
      <alignment horizontal="center" vertical="center"/>
    </xf>
    <xf numFmtId="164" fontId="19" fillId="10" borderId="2" xfId="3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64" fontId="0" fillId="0" borderId="0" xfId="3" applyNumberFormat="1" applyFont="1" applyAlignment="1">
      <alignment horizontal="right" vertical="center"/>
    </xf>
    <xf numFmtId="164" fontId="0" fillId="0" borderId="2" xfId="3" applyNumberFormat="1" applyFont="1" applyBorder="1" applyAlignment="1">
      <alignment vertical="center"/>
    </xf>
    <xf numFmtId="164" fontId="1" fillId="2" borderId="26" xfId="3" applyNumberFormat="1" applyFont="1" applyFill="1" applyBorder="1" applyAlignment="1">
      <alignment horizontal="center" vertical="center"/>
    </xf>
    <xf numFmtId="2" fontId="0" fillId="0" borderId="2" xfId="3" applyNumberFormat="1" applyFont="1" applyBorder="1" applyAlignment="1">
      <alignment horizontal="center" vertical="center"/>
    </xf>
    <xf numFmtId="1" fontId="0" fillId="4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3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164" fontId="1" fillId="0" borderId="39" xfId="3" applyNumberFormat="1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71" fontId="0" fillId="0" borderId="2" xfId="3" applyNumberFormat="1" applyFont="1" applyBorder="1" applyAlignment="1">
      <alignment horizontal="center" vertical="center"/>
    </xf>
    <xf numFmtId="0" fontId="0" fillId="4" borderId="0" xfId="0" applyFont="1" applyFill="1" applyAlignment="1">
      <alignment vertical="center"/>
    </xf>
    <xf numFmtId="171" fontId="0" fillId="0" borderId="2" xfId="3" applyNumberFormat="1" applyFont="1" applyBorder="1" applyAlignment="1">
      <alignment vertical="center"/>
    </xf>
    <xf numFmtId="164" fontId="1" fillId="2" borderId="48" xfId="3" applyNumberFormat="1" applyFont="1" applyFill="1" applyBorder="1" applyAlignment="1">
      <alignment vertical="center"/>
    </xf>
    <xf numFmtId="164" fontId="1" fillId="0" borderId="0" xfId="3" applyNumberFormat="1" applyFont="1" applyFill="1" applyBorder="1" applyAlignment="1">
      <alignment vertical="center"/>
    </xf>
    <xf numFmtId="171" fontId="0" fillId="0" borderId="2" xfId="3" applyNumberFormat="1" applyFont="1" applyFill="1" applyBorder="1" applyAlignment="1">
      <alignment vertical="center"/>
    </xf>
    <xf numFmtId="164" fontId="19" fillId="4" borderId="2" xfId="3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164" fontId="1" fillId="0" borderId="26" xfId="3" applyNumberFormat="1" applyFont="1" applyBorder="1" applyAlignment="1">
      <alignment vertical="center"/>
    </xf>
    <xf numFmtId="0" fontId="9" fillId="2" borderId="45" xfId="0" applyFont="1" applyFill="1" applyBorder="1" applyAlignment="1">
      <alignment horizontal="center" vertical="center" wrapText="1"/>
    </xf>
    <xf numFmtId="13" fontId="0" fillId="4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164" fontId="0" fillId="0" borderId="0" xfId="3" applyNumberFormat="1" applyFont="1"/>
    <xf numFmtId="1" fontId="0" fillId="0" borderId="2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0" fillId="0" borderId="25" xfId="0" applyFont="1" applyBorder="1" applyAlignment="1">
      <alignment vertical="center"/>
    </xf>
    <xf numFmtId="164" fontId="0" fillId="0" borderId="25" xfId="3" applyNumberFormat="1" applyFont="1" applyBorder="1" applyAlignment="1">
      <alignment vertical="center"/>
    </xf>
    <xf numFmtId="164" fontId="0" fillId="0" borderId="26" xfId="3" applyNumberFormat="1" applyFont="1" applyBorder="1" applyAlignment="1">
      <alignment vertical="center"/>
    </xf>
    <xf numFmtId="164" fontId="1" fillId="2" borderId="48" xfId="3" applyNumberFormat="1" applyFont="1" applyFill="1" applyBorder="1" applyAlignment="1">
      <alignment horizontal="center" vertical="center"/>
    </xf>
    <xf numFmtId="0" fontId="6" fillId="0" borderId="0" xfId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28" fillId="0" borderId="0" xfId="1" applyFont="1" applyAlignment="1" applyProtection="1">
      <alignment vertical="center"/>
    </xf>
    <xf numFmtId="164" fontId="28" fillId="0" borderId="0" xfId="1" applyNumberFormat="1" applyFont="1" applyAlignment="1" applyProtection="1">
      <alignment vertical="center"/>
    </xf>
    <xf numFmtId="0" fontId="1" fillId="0" borderId="49" xfId="0" applyFont="1" applyBorder="1" applyAlignment="1">
      <alignment vertical="center"/>
    </xf>
    <xf numFmtId="0" fontId="1" fillId="0" borderId="49" xfId="0" applyFont="1" applyBorder="1" applyAlignment="1">
      <alignment horizontal="center" vertical="center"/>
    </xf>
    <xf numFmtId="164" fontId="1" fillId="0" borderId="49" xfId="3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9" fillId="2" borderId="50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164" fontId="9" fillId="2" borderId="51" xfId="3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2" xfId="0" applyNumberFormat="1" applyFont="1" applyFill="1" applyBorder="1" applyAlignment="1">
      <alignment horizontal="center" vertical="center"/>
    </xf>
    <xf numFmtId="164" fontId="1" fillId="0" borderId="49" xfId="3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64" fontId="1" fillId="0" borderId="0" xfId="3" applyNumberFormat="1" applyFont="1" applyBorder="1" applyAlignment="1">
      <alignment horizontal="center" vertical="center"/>
    </xf>
    <xf numFmtId="3" fontId="0" fillId="0" borderId="0" xfId="0" applyNumberFormat="1" applyFont="1" applyAlignment="1">
      <alignment vertical="center"/>
    </xf>
    <xf numFmtId="3" fontId="0" fillId="4" borderId="2" xfId="0" applyNumberFormat="1" applyFont="1" applyFill="1" applyBorder="1" applyAlignment="1">
      <alignment vertical="center"/>
    </xf>
    <xf numFmtId="4" fontId="0" fillId="4" borderId="1" xfId="0" applyNumberFormat="1" applyFont="1" applyFill="1" applyBorder="1" applyAlignment="1">
      <alignment horizontal="center" vertical="center"/>
    </xf>
    <xf numFmtId="172" fontId="19" fillId="4" borderId="1" xfId="3" applyNumberFormat="1" applyFont="1" applyFill="1" applyBorder="1" applyAlignment="1">
      <alignment horizontal="center" vertical="center"/>
    </xf>
    <xf numFmtId="172" fontId="0" fillId="0" borderId="1" xfId="3" applyNumberFormat="1" applyFont="1" applyBorder="1" applyAlignment="1">
      <alignment horizontal="center" vertical="center"/>
    </xf>
    <xf numFmtId="4" fontId="0" fillId="4" borderId="2" xfId="0" applyNumberFormat="1" applyFont="1" applyFill="1" applyBorder="1" applyAlignment="1">
      <alignment horizontal="center" vertical="center"/>
    </xf>
    <xf numFmtId="164" fontId="0" fillId="0" borderId="0" xfId="3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2" fontId="0" fillId="0" borderId="2" xfId="3" applyNumberFormat="1" applyFont="1" applyBorder="1" applyAlignment="1">
      <alignment horizontal="center" vertical="center"/>
    </xf>
    <xf numFmtId="171" fontId="1" fillId="0" borderId="2" xfId="3" applyNumberFormat="1" applyFont="1" applyBorder="1" applyAlignment="1">
      <alignment horizontal="center" vertical="center"/>
    </xf>
    <xf numFmtId="172" fontId="1" fillId="0" borderId="2" xfId="3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3" fontId="0" fillId="4" borderId="2" xfId="0" applyNumberFormat="1" applyFont="1" applyFill="1" applyBorder="1" applyAlignment="1">
      <alignment horizontal="center" vertical="center"/>
    </xf>
    <xf numFmtId="164" fontId="1" fillId="0" borderId="0" xfId="3" applyNumberFormat="1" applyFont="1" applyFill="1" applyBorder="1" applyAlignment="1">
      <alignment horizontal="center" vertical="center"/>
    </xf>
    <xf numFmtId="164" fontId="0" fillId="0" borderId="0" xfId="3" applyNumberFormat="1" applyFont="1" applyFill="1" applyBorder="1" applyAlignment="1">
      <alignment horizontal="center" vertical="center"/>
    </xf>
    <xf numFmtId="43" fontId="0" fillId="0" borderId="0" xfId="0" applyNumberFormat="1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164" fontId="11" fillId="0" borderId="2" xfId="3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8" fillId="0" borderId="0" xfId="3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164" fontId="5" fillId="0" borderId="0" xfId="3" applyNumberFormat="1" applyFont="1" applyBorder="1" applyAlignment="1">
      <alignment vertical="center"/>
    </xf>
    <xf numFmtId="164" fontId="5" fillId="0" borderId="0" xfId="3" applyNumberFormat="1" applyFont="1" applyAlignment="1">
      <alignment vertical="center"/>
    </xf>
    <xf numFmtId="0" fontId="0" fillId="0" borderId="52" xfId="0" applyFont="1" applyBorder="1" applyAlignment="1">
      <alignment vertical="center"/>
    </xf>
    <xf numFmtId="164" fontId="0" fillId="0" borderId="52" xfId="3" applyNumberFormat="1" applyFont="1" applyBorder="1" applyAlignment="1">
      <alignment vertical="center"/>
    </xf>
    <xf numFmtId="164" fontId="0" fillId="0" borderId="0" xfId="3" applyNumberFormat="1" applyFont="1" applyBorder="1" applyAlignment="1">
      <alignment horizontal="center" vertical="center"/>
    </xf>
    <xf numFmtId="0" fontId="22" fillId="0" borderId="34" xfId="0" applyFont="1" applyFill="1" applyBorder="1" applyAlignment="1">
      <alignment horizontal="left" vertical="center"/>
    </xf>
    <xf numFmtId="10" fontId="19" fillId="10" borderId="2" xfId="2" applyNumberFormat="1" applyFont="1" applyFill="1" applyBorder="1" applyAlignment="1">
      <alignment horizontal="center" vertical="center"/>
    </xf>
    <xf numFmtId="164" fontId="1" fillId="0" borderId="13" xfId="3" applyNumberFormat="1" applyFont="1" applyBorder="1" applyAlignment="1">
      <alignment horizontal="left" vertical="center"/>
    </xf>
    <xf numFmtId="164" fontId="1" fillId="0" borderId="0" xfId="3" applyNumberFormat="1" applyFont="1" applyBorder="1" applyAlignment="1">
      <alignment horizontal="left" vertical="center"/>
    </xf>
    <xf numFmtId="164" fontId="3" fillId="3" borderId="48" xfId="3" applyNumberFormat="1" applyFont="1" applyFill="1" applyBorder="1" applyAlignment="1">
      <alignment horizontal="left" vertical="center"/>
    </xf>
    <xf numFmtId="0" fontId="1" fillId="3" borderId="24" xfId="0" applyFont="1" applyFill="1" applyBorder="1" applyAlignment="1">
      <alignment vertical="center"/>
    </xf>
    <xf numFmtId="0" fontId="0" fillId="3" borderId="25" xfId="0" applyFont="1" applyFill="1" applyBorder="1" applyAlignment="1">
      <alignment vertical="center"/>
    </xf>
    <xf numFmtId="164" fontId="19" fillId="3" borderId="25" xfId="3" applyNumberFormat="1" applyFont="1" applyFill="1" applyBorder="1" applyAlignment="1">
      <alignment vertical="center"/>
    </xf>
    <xf numFmtId="164" fontId="19" fillId="3" borderId="26" xfId="3" applyNumberFormat="1" applyFont="1" applyFill="1" applyBorder="1" applyAlignment="1">
      <alignment vertical="center"/>
    </xf>
    <xf numFmtId="164" fontId="1" fillId="3" borderId="48" xfId="3" applyNumberFormat="1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1" fillId="0" borderId="48" xfId="2" applyNumberFormat="1" applyFont="1" applyBorder="1" applyAlignment="1">
      <alignment vertical="center"/>
    </xf>
    <xf numFmtId="164" fontId="5" fillId="11" borderId="24" xfId="3" applyNumberFormat="1" applyFont="1" applyFill="1" applyBorder="1" applyAlignment="1">
      <alignment horizontal="center" vertical="center"/>
    </xf>
    <xf numFmtId="164" fontId="5" fillId="11" borderId="25" xfId="3" applyNumberFormat="1" applyFont="1" applyFill="1" applyBorder="1" applyAlignment="1">
      <alignment horizontal="center" vertical="center"/>
    </xf>
    <xf numFmtId="164" fontId="5" fillId="11" borderId="26" xfId="3" applyNumberFormat="1" applyFont="1" applyFill="1" applyBorder="1" applyAlignment="1">
      <alignment horizontal="center" vertical="center"/>
    </xf>
    <xf numFmtId="164" fontId="1" fillId="0" borderId="24" xfId="3" applyNumberFormat="1" applyFont="1" applyBorder="1" applyAlignment="1">
      <alignment horizontal="center" vertical="center"/>
    </xf>
    <xf numFmtId="164" fontId="1" fillId="0" borderId="25" xfId="3" applyNumberFormat="1" applyFont="1" applyBorder="1" applyAlignment="1">
      <alignment horizontal="center" vertical="center"/>
    </xf>
    <xf numFmtId="164" fontId="1" fillId="0" borderId="53" xfId="3" applyNumberFormat="1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164" fontId="0" fillId="0" borderId="0" xfId="3" applyNumberFormat="1" applyFont="1" applyBorder="1" applyAlignment="1">
      <alignment horizontal="center" vertical="center" wrapText="1"/>
    </xf>
    <xf numFmtId="164" fontId="0" fillId="0" borderId="0" xfId="3" applyNumberFormat="1" applyFont="1" applyAlignment="1">
      <alignment horizontal="center" vertical="center" wrapText="1"/>
    </xf>
    <xf numFmtId="0" fontId="2" fillId="11" borderId="18" xfId="0" applyFont="1" applyFill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3" fillId="11" borderId="54" xfId="0" applyFont="1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0" fontId="3" fillId="11" borderId="55" xfId="0" applyFont="1" applyFill="1" applyBorder="1" applyAlignment="1">
      <alignment horizontal="center" vertical="center"/>
    </xf>
    <xf numFmtId="164" fontId="1" fillId="0" borderId="27" xfId="3" applyNumberFormat="1" applyFont="1" applyBorder="1" applyAlignment="1">
      <alignment horizontal="left" vertical="center"/>
    </xf>
    <xf numFmtId="164" fontId="1" fillId="0" borderId="39" xfId="3" applyNumberFormat="1" applyFont="1" applyBorder="1" applyAlignment="1">
      <alignment horizontal="left" vertical="center"/>
    </xf>
    <xf numFmtId="164" fontId="3" fillId="3" borderId="24" xfId="3" applyNumberFormat="1" applyFont="1" applyFill="1" applyBorder="1" applyAlignment="1">
      <alignment horizontal="left" vertical="center"/>
    </xf>
    <xf numFmtId="164" fontId="1" fillId="0" borderId="24" xfId="3" applyNumberFormat="1" applyFont="1" applyBorder="1" applyAlignment="1">
      <alignment horizontal="left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0" fillId="0" borderId="0" xfId="0" applyFont="1" applyAlignment="1">
      <alignment horizontal="left" wrapText="1"/>
    </xf>
    <xf numFmtId="0" fontId="2" fillId="5" borderId="36" xfId="0" applyFont="1" applyFill="1" applyBorder="1" applyAlignment="1">
      <alignment horizontal="center"/>
    </xf>
    <xf numFmtId="0" fontId="2" fillId="5" borderId="56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9" fontId="3" fillId="0" borderId="15" xfId="2" applyNumberFormat="1" applyFont="1" applyBorder="1" applyAlignment="1">
      <alignment horizontal="center"/>
    </xf>
    <xf numFmtId="9" fontId="3" fillId="0" borderId="16" xfId="2" applyNumberFormat="1" applyFont="1" applyBorder="1" applyAlignment="1">
      <alignment horizontal="center"/>
    </xf>
    <xf numFmtId="9" fontId="3" fillId="0" borderId="17" xfId="2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</cellXfs>
  <cellStyles count="4">
    <cellStyle name="Hyperlink" xfId="1" builtinId="8"/>
    <cellStyle name="Normal" xfId="0" builtinId="0"/>
    <cellStyle name="Porcentagem" xfId="2" builtinId="5"/>
    <cellStyle name="Separador de milhares" xfId="3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1049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33350" y="742950"/>
          <a:ext cx="12858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105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5725" y="1209675"/>
          <a:ext cx="20383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genharia/SecSaude/2019%20Transporte/Planilha%20modelo%20TCE%20Coleta%20v.7_0_1%20truck%20interio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 Coleta Domiciliar"/>
      <sheetName val="2.Encargos Sociais"/>
      <sheetName val="3.CAGED"/>
      <sheetName val="4.BDI"/>
      <sheetName val="5. Depreciação"/>
      <sheetName val="6.Remuneração de capital"/>
      <sheetName val="7. Dimensionamento"/>
      <sheetName val="Plan1"/>
      <sheetName val="1. Transporte de Passageiros"/>
    </sheetNames>
    <sheetDataSet>
      <sheetData sheetId="0"/>
      <sheetData sheetId="1"/>
      <sheetData sheetId="2" refreshError="1">
        <row r="30">
          <cell r="C30">
            <v>360</v>
          </cell>
        </row>
        <row r="33">
          <cell r="C33">
            <v>30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8"/>
  <sheetViews>
    <sheetView view="pageBreakPreview" topLeftCell="A8" zoomScaleNormal="100" workbookViewId="0">
      <selection activeCell="J221" sqref="J221"/>
    </sheetView>
  </sheetViews>
  <sheetFormatPr defaultRowHeight="12.75"/>
  <cols>
    <col min="1" max="1" width="44.5703125" style="5" customWidth="1"/>
    <col min="2" max="2" width="16" style="5" customWidth="1"/>
    <col min="3" max="3" width="13.28515625" style="5" customWidth="1"/>
    <col min="4" max="4" width="14.7109375" style="149" customWidth="1"/>
    <col min="5" max="5" width="15.42578125" style="149" customWidth="1"/>
    <col min="6" max="6" width="22.85546875" style="149" customWidth="1"/>
    <col min="7" max="7" width="28.140625" style="149" customWidth="1"/>
    <col min="8" max="8" width="9.140625" style="5"/>
    <col min="9" max="9" width="14.5703125" style="5" customWidth="1"/>
    <col min="10" max="10" width="13.42578125" style="5" customWidth="1"/>
    <col min="11" max="16384" width="9.140625" style="5"/>
  </cols>
  <sheetData>
    <row r="1" spans="1:7" hidden="1">
      <c r="A1" s="9" t="s">
        <v>0</v>
      </c>
    </row>
    <row r="2" spans="1:7" hidden="1">
      <c r="A2" s="10" t="s">
        <v>1</v>
      </c>
    </row>
    <row r="3" spans="1:7" s="144" customFormat="1" ht="15.6" hidden="1" customHeight="1">
      <c r="A3" s="5" t="s">
        <v>2</v>
      </c>
      <c r="C3" s="150"/>
      <c r="D3" s="150"/>
      <c r="E3" s="150"/>
      <c r="F3" s="150"/>
      <c r="G3" s="149"/>
    </row>
    <row r="4" spans="1:7" s="144" customFormat="1" ht="15.6" hidden="1" customHeight="1">
      <c r="A4" s="10" t="s">
        <v>3</v>
      </c>
      <c r="B4" s="150"/>
      <c r="C4" s="150"/>
      <c r="D4" s="150"/>
      <c r="E4" s="150"/>
      <c r="F4" s="150"/>
      <c r="G4" s="149"/>
    </row>
    <row r="5" spans="1:7" s="144" customFormat="1" ht="15.6" hidden="1" customHeight="1">
      <c r="A5" s="151"/>
      <c r="B5" s="150"/>
      <c r="C5" s="150"/>
      <c r="D5" s="150"/>
      <c r="E5" s="150"/>
      <c r="F5" s="150"/>
      <c r="G5" s="149"/>
    </row>
    <row r="6" spans="1:7" s="144" customFormat="1" ht="15.6" hidden="1" customHeight="1">
      <c r="A6" s="151"/>
      <c r="B6" s="150"/>
      <c r="C6" s="150"/>
      <c r="D6" s="150"/>
      <c r="E6" s="150"/>
      <c r="F6" s="150"/>
      <c r="G6" s="149"/>
    </row>
    <row r="7" spans="1:7" s="144" customFormat="1" ht="16.5" hidden="1" customHeight="1">
      <c r="A7" s="5"/>
      <c r="B7" s="152"/>
      <c r="C7" s="152"/>
      <c r="D7" s="149"/>
      <c r="E7" s="149"/>
      <c r="F7" s="149"/>
      <c r="G7" s="149"/>
    </row>
    <row r="8" spans="1:7" s="145" customFormat="1" ht="18">
      <c r="A8" s="327" t="s">
        <v>320</v>
      </c>
      <c r="B8" s="328"/>
      <c r="C8" s="328"/>
      <c r="D8" s="328"/>
      <c r="E8" s="328"/>
      <c r="F8" s="329"/>
      <c r="G8" s="153"/>
    </row>
    <row r="9" spans="1:7" s="145" customFormat="1" ht="21.75" customHeight="1">
      <c r="A9" s="330" t="s">
        <v>4</v>
      </c>
      <c r="B9" s="331"/>
      <c r="C9" s="331"/>
      <c r="D9" s="331"/>
      <c r="E9" s="331"/>
      <c r="F9" s="332"/>
      <c r="G9" s="153"/>
    </row>
    <row r="10" spans="1:7" s="144" customFormat="1" ht="10.9" customHeight="1">
      <c r="A10" s="154"/>
      <c r="B10" s="155"/>
      <c r="C10" s="155"/>
      <c r="D10" s="156"/>
      <c r="E10" s="156"/>
      <c r="F10" s="157"/>
      <c r="G10" s="149"/>
    </row>
    <row r="11" spans="1:7" s="144" customFormat="1" ht="15.75" customHeight="1">
      <c r="A11" s="317" t="s">
        <v>5</v>
      </c>
      <c r="B11" s="318"/>
      <c r="C11" s="318"/>
      <c r="D11" s="318"/>
      <c r="E11" s="318"/>
      <c r="F11" s="319"/>
      <c r="G11" s="149"/>
    </row>
    <row r="12" spans="1:7" s="144" customFormat="1" ht="15.75" customHeight="1">
      <c r="A12" s="158" t="s">
        <v>6</v>
      </c>
      <c r="B12" s="159"/>
      <c r="C12" s="159"/>
      <c r="D12" s="160"/>
      <c r="E12" s="161" t="s">
        <v>7</v>
      </c>
      <c r="F12" s="162" t="s">
        <v>8</v>
      </c>
      <c r="G12" s="149"/>
    </row>
    <row r="13" spans="1:7" s="9" customFormat="1" ht="15.75" customHeight="1">
      <c r="A13" s="163" t="str">
        <f>A51</f>
        <v>1. Mão-de-obra</v>
      </c>
      <c r="B13" s="164"/>
      <c r="C13" s="165"/>
      <c r="D13" s="165"/>
      <c r="E13" s="166">
        <f>+F151</f>
        <v>3257.7968236000002</v>
      </c>
      <c r="F13" s="167">
        <f>IFERROR(E13/$E$33,0)</f>
        <v>0.2196859380348371</v>
      </c>
      <c r="G13" s="168"/>
    </row>
    <row r="14" spans="1:7" s="144" customFormat="1" ht="15.75" hidden="1" customHeight="1">
      <c r="A14" s="169" t="str">
        <f>A53</f>
        <v>1.1. Coletor Turno Dia</v>
      </c>
      <c r="B14" s="170"/>
      <c r="C14" s="171"/>
      <c r="D14" s="171"/>
      <c r="E14" s="172">
        <f>F64</f>
        <v>0</v>
      </c>
      <c r="F14" s="173">
        <f>IFERROR(E14/$E$33,0)</f>
        <v>0</v>
      </c>
      <c r="G14" s="149"/>
    </row>
    <row r="15" spans="1:7" s="144" customFormat="1" ht="15.75" hidden="1" customHeight="1">
      <c r="A15" s="169">
        <f>A66</f>
        <v>0</v>
      </c>
      <c r="B15" s="170"/>
      <c r="C15" s="171"/>
      <c r="D15" s="171"/>
      <c r="E15" s="172">
        <f>F83</f>
        <v>0</v>
      </c>
      <c r="F15" s="173">
        <f t="shared" ref="F15:F22" si="0">IFERROR(E15/$E$33,0)</f>
        <v>0</v>
      </c>
      <c r="G15" s="149"/>
    </row>
    <row r="16" spans="1:7" s="144" customFormat="1" ht="15.75" customHeight="1">
      <c r="A16" s="169" t="str">
        <f>A85</f>
        <v xml:space="preserve">1.1. Motorista </v>
      </c>
      <c r="B16" s="170"/>
      <c r="C16" s="171"/>
      <c r="D16" s="171"/>
      <c r="E16" s="172">
        <f>F95</f>
        <v>2607.7968236000002</v>
      </c>
      <c r="F16" s="173">
        <f t="shared" si="0"/>
        <v>0.17585390446902105</v>
      </c>
      <c r="G16" s="149"/>
    </row>
    <row r="17" spans="1:7" s="144" customFormat="1" ht="15.75" hidden="1" customHeight="1">
      <c r="A17" s="169" t="str">
        <f>A117</f>
        <v>1.3 Encarregado Operacional</v>
      </c>
      <c r="B17" s="170"/>
      <c r="C17" s="171"/>
      <c r="D17" s="171"/>
      <c r="E17" s="172">
        <f>F128</f>
        <v>0</v>
      </c>
      <c r="F17" s="173">
        <f t="shared" si="0"/>
        <v>0</v>
      </c>
      <c r="G17" s="149"/>
    </row>
    <row r="18" spans="1:7" s="144" customFormat="1" ht="15.75" hidden="1" customHeight="1">
      <c r="A18" s="169" t="str">
        <f>A131</f>
        <v>1.4. Vale Transporte</v>
      </c>
      <c r="B18" s="170"/>
      <c r="C18" s="171"/>
      <c r="D18" s="171"/>
      <c r="E18" s="172">
        <f>F137</f>
        <v>0</v>
      </c>
      <c r="F18" s="173">
        <f t="shared" si="0"/>
        <v>0</v>
      </c>
      <c r="G18" s="149"/>
    </row>
    <row r="19" spans="1:7" s="144" customFormat="1" ht="15.75" customHeight="1">
      <c r="A19" s="169" t="str">
        <f>A139</f>
        <v>1.2. Vale-refeição (diário)</v>
      </c>
      <c r="B19" s="170"/>
      <c r="C19" s="171"/>
      <c r="D19" s="171"/>
      <c r="E19" s="172">
        <f>F143</f>
        <v>650</v>
      </c>
      <c r="F19" s="173">
        <f t="shared" si="0"/>
        <v>4.3832033565816053E-2</v>
      </c>
      <c r="G19" s="149"/>
    </row>
    <row r="20" spans="1:7" s="144" customFormat="1" ht="15.75" hidden="1" customHeight="1">
      <c r="A20" s="169" t="str">
        <f>A145</f>
        <v>1.7. Auxílio Alimentação (mensal)</v>
      </c>
      <c r="B20" s="170"/>
      <c r="C20" s="171"/>
      <c r="D20" s="171"/>
      <c r="E20" s="172">
        <f>F149</f>
        <v>0</v>
      </c>
      <c r="F20" s="173">
        <f t="shared" si="0"/>
        <v>0</v>
      </c>
      <c r="G20" s="149"/>
    </row>
    <row r="21" spans="1:7" s="9" customFormat="1" ht="15.75" hidden="1" customHeight="1">
      <c r="A21" s="333" t="str">
        <f>A153</f>
        <v>2. Uniformes e Equipamentos de Proteção Individual</v>
      </c>
      <c r="B21" s="334"/>
      <c r="C21" s="334"/>
      <c r="D21" s="165"/>
      <c r="E21" s="166">
        <f>+F185</f>
        <v>0</v>
      </c>
      <c r="F21" s="167">
        <f t="shared" si="0"/>
        <v>0</v>
      </c>
      <c r="G21" s="168"/>
    </row>
    <row r="22" spans="1:7" s="9" customFormat="1" ht="15.75" customHeight="1">
      <c r="A22" s="174" t="str">
        <f>A187</f>
        <v>2. Veículo</v>
      </c>
      <c r="B22" s="175"/>
      <c r="C22" s="165"/>
      <c r="D22" s="165"/>
      <c r="E22" s="166">
        <f>+F246</f>
        <v>8387.0057845178562</v>
      </c>
      <c r="F22" s="167">
        <f t="shared" si="0"/>
        <v>0.56556849086720007</v>
      </c>
      <c r="G22" s="168"/>
    </row>
    <row r="23" spans="1:7" s="146" customFormat="1" ht="15.75" customHeight="1">
      <c r="A23" s="176" t="str">
        <f>A189</f>
        <v>2.1. Veículo</v>
      </c>
      <c r="B23" s="177"/>
      <c r="C23" s="178"/>
      <c r="D23" s="178"/>
      <c r="E23" s="179">
        <f>SUM(E24:E29)</f>
        <v>8387.0057845178562</v>
      </c>
      <c r="F23" s="180">
        <f t="shared" ref="F23:F32" si="1">IFERROR(E23/$E$33,0)</f>
        <v>0.56556849086720007</v>
      </c>
      <c r="G23" s="181"/>
    </row>
    <row r="24" spans="1:7" s="146" customFormat="1">
      <c r="A24" s="176" t="str">
        <f>A190</f>
        <v>2.1.1. Depreciação</v>
      </c>
      <c r="B24" s="177"/>
      <c r="C24" s="178"/>
      <c r="D24" s="178"/>
      <c r="E24" s="179">
        <f>F199</f>
        <v>1048.8729388888892</v>
      </c>
      <c r="F24" s="180">
        <f t="shared" si="1"/>
        <v>7.0729590559467564E-2</v>
      </c>
      <c r="G24" s="181"/>
    </row>
    <row r="25" spans="1:7" s="146" customFormat="1">
      <c r="A25" s="176" t="str">
        <f>A201</f>
        <v>2.1.2. Remuneração do Capital</v>
      </c>
      <c r="B25" s="177"/>
      <c r="C25" s="178"/>
      <c r="D25" s="178"/>
      <c r="E25" s="179">
        <f>F210</f>
        <v>1805.5491551527775</v>
      </c>
      <c r="F25" s="180">
        <f t="shared" si="1"/>
        <v>0.12175521718982669</v>
      </c>
      <c r="G25" s="181"/>
    </row>
    <row r="26" spans="1:7" s="146" customFormat="1">
      <c r="A26" s="176" t="str">
        <f>A212</f>
        <v>2.1.3. Impostos e Seguros</v>
      </c>
      <c r="B26" s="177"/>
      <c r="C26" s="178"/>
      <c r="D26" s="178"/>
      <c r="E26" s="179">
        <f>F218</f>
        <v>558.04583333333323</v>
      </c>
      <c r="F26" s="180">
        <f t="shared" si="1"/>
        <v>3.7631205689123773E-2</v>
      </c>
      <c r="G26" s="181"/>
    </row>
    <row r="27" spans="1:7" s="146" customFormat="1" ht="15.75" customHeight="1">
      <c r="A27" s="176" t="str">
        <f>A220</f>
        <v>2.1.4. Consumos</v>
      </c>
      <c r="B27" s="177"/>
      <c r="C27" s="178"/>
      <c r="D27" s="178"/>
      <c r="E27" s="179">
        <f>F231</f>
        <v>3983.7728571428565</v>
      </c>
      <c r="F27" s="180">
        <f t="shared" si="1"/>
        <v>0.26864133168134247</v>
      </c>
      <c r="G27" s="181"/>
    </row>
    <row r="28" spans="1:7" s="146" customFormat="1" ht="15.75" customHeight="1">
      <c r="A28" s="176" t="str">
        <f>A233</f>
        <v>2.1.5. Manutenção</v>
      </c>
      <c r="B28" s="177"/>
      <c r="C28" s="178"/>
      <c r="D28" s="178"/>
      <c r="E28" s="179">
        <f>F236</f>
        <v>579.95999999999992</v>
      </c>
      <c r="F28" s="180">
        <f t="shared" si="1"/>
        <v>3.9108963364354883E-2</v>
      </c>
      <c r="G28" s="181"/>
    </row>
    <row r="29" spans="1:7" s="146" customFormat="1" ht="15.75" customHeight="1">
      <c r="A29" s="176" t="str">
        <f>A238</f>
        <v>2.1.6. Pneus</v>
      </c>
      <c r="B29" s="177"/>
      <c r="C29" s="178"/>
      <c r="D29" s="178"/>
      <c r="E29" s="179">
        <f>F243</f>
        <v>410.80500000000001</v>
      </c>
      <c r="F29" s="180">
        <f t="shared" si="1"/>
        <v>2.7702182383084712E-2</v>
      </c>
      <c r="G29" s="181"/>
    </row>
    <row r="30" spans="1:7" s="9" customFormat="1" ht="15.75" hidden="1" customHeight="1">
      <c r="A30" s="174" t="str">
        <f>A248</f>
        <v>4. Ferramentas e Materiais de Consumo</v>
      </c>
      <c r="B30" s="175"/>
      <c r="C30" s="165"/>
      <c r="D30" s="165"/>
      <c r="E30" s="166">
        <f>+F258</f>
        <v>0</v>
      </c>
      <c r="F30" s="167">
        <f t="shared" si="1"/>
        <v>0</v>
      </c>
      <c r="G30" s="168"/>
    </row>
    <row r="31" spans="1:7" s="9" customFormat="1" ht="15.75" customHeight="1">
      <c r="A31" s="174" t="str">
        <f>A260</f>
        <v>3. Monitoramento da Frota</v>
      </c>
      <c r="B31" s="175"/>
      <c r="C31" s="165"/>
      <c r="D31" s="165"/>
      <c r="E31" s="166">
        <f>+F269</f>
        <v>128.25</v>
      </c>
      <c r="F31" s="167">
        <f t="shared" si="1"/>
        <v>8.648397392024474E-3</v>
      </c>
      <c r="G31" s="168"/>
    </row>
    <row r="32" spans="1:7" s="9" customFormat="1" ht="15.75" customHeight="1" thickBot="1">
      <c r="A32" s="174" t="str">
        <f>A273</f>
        <v>4. Benefícios e Despesas Indiretas - BDI</v>
      </c>
      <c r="B32" s="175"/>
      <c r="C32" s="165"/>
      <c r="D32" s="165"/>
      <c r="E32" s="182">
        <f>+F279</f>
        <v>3056.2844570673956</v>
      </c>
      <c r="F32" s="167">
        <f t="shared" si="1"/>
        <v>0.20609717370593841</v>
      </c>
      <c r="G32" s="168"/>
    </row>
    <row r="33" spans="1:7" s="144" customFormat="1" ht="15.75" customHeight="1" thickBot="1">
      <c r="A33" s="183" t="s">
        <v>9</v>
      </c>
      <c r="B33" s="184"/>
      <c r="C33" s="185"/>
      <c r="D33" s="185"/>
      <c r="E33" s="186">
        <f>E13+E21+E22+E30+E31+E32</f>
        <v>14829.337065185251</v>
      </c>
      <c r="F33" s="316">
        <f>F13+F21+F22+F30+F31+F32</f>
        <v>1</v>
      </c>
      <c r="G33" s="149"/>
    </row>
    <row r="34" spans="1:7" ht="15.75" thickBot="1">
      <c r="A34" s="335" t="s">
        <v>10</v>
      </c>
      <c r="B34" s="335"/>
      <c r="C34" s="335"/>
      <c r="D34" s="335"/>
      <c r="E34" s="308">
        <f>E33/B222</f>
        <v>3.0683503135082248</v>
      </c>
      <c r="F34" s="307"/>
    </row>
    <row r="35" spans="1:7" ht="13.5" hidden="1" thickBot="1">
      <c r="A35" s="336" t="s">
        <v>11</v>
      </c>
      <c r="B35" s="336"/>
      <c r="C35" s="336"/>
      <c r="D35" s="336"/>
      <c r="E35" s="183">
        <f>E34*350</f>
        <v>1073.9226097278788</v>
      </c>
      <c r="F35" s="306"/>
    </row>
    <row r="36" spans="1:7" ht="13.5" thickBot="1">
      <c r="A36" s="183"/>
      <c r="F36" s="199"/>
    </row>
    <row r="37" spans="1:7" s="144" customFormat="1" ht="15" customHeight="1" thickBot="1">
      <c r="A37" s="317" t="s">
        <v>12</v>
      </c>
      <c r="B37" s="318"/>
      <c r="C37" s="318"/>
      <c r="D37" s="318"/>
      <c r="E37" s="319"/>
      <c r="F37" s="149"/>
      <c r="G37" s="149"/>
    </row>
    <row r="38" spans="1:7" s="144" customFormat="1" ht="15" customHeight="1" thickBot="1">
      <c r="A38" s="320" t="s">
        <v>13</v>
      </c>
      <c r="B38" s="321"/>
      <c r="C38" s="321"/>
      <c r="D38" s="322"/>
      <c r="E38" s="187" t="s">
        <v>14</v>
      </c>
      <c r="F38" s="149"/>
      <c r="G38" s="149"/>
    </row>
    <row r="39" spans="1:7" s="144" customFormat="1" ht="15" hidden="1" customHeight="1">
      <c r="A39" s="188" t="str">
        <f>+A53</f>
        <v>1.1. Coletor Turno Dia</v>
      </c>
      <c r="B39" s="159"/>
      <c r="C39" s="159"/>
      <c r="D39" s="189"/>
      <c r="E39" s="190">
        <f>C63</f>
        <v>0</v>
      </c>
      <c r="F39" s="149"/>
      <c r="G39" s="149"/>
    </row>
    <row r="40" spans="1:7" s="144" customFormat="1" ht="15" hidden="1" customHeight="1">
      <c r="A40" s="169">
        <f>+A66</f>
        <v>0</v>
      </c>
      <c r="B40" s="171"/>
      <c r="C40" s="171"/>
      <c r="D40" s="191"/>
      <c r="E40" s="192">
        <f>C82</f>
        <v>0</v>
      </c>
      <c r="F40" s="149"/>
      <c r="G40" s="149"/>
    </row>
    <row r="41" spans="1:7" s="144" customFormat="1" ht="15" customHeight="1">
      <c r="A41" s="169" t="str">
        <f>+A85</f>
        <v xml:space="preserve">1.1. Motorista </v>
      </c>
      <c r="B41" s="171"/>
      <c r="C41" s="171"/>
      <c r="D41" s="191"/>
      <c r="E41" s="192">
        <f>C94</f>
        <v>1</v>
      </c>
      <c r="F41" s="149"/>
      <c r="G41" s="149"/>
    </row>
    <row r="42" spans="1:7" s="144" customFormat="1" ht="15" hidden="1" customHeight="1">
      <c r="A42" s="169" t="s">
        <v>15</v>
      </c>
      <c r="B42" s="171"/>
      <c r="C42" s="171"/>
      <c r="D42" s="191"/>
      <c r="E42" s="192"/>
      <c r="F42" s="149"/>
      <c r="G42" s="149"/>
    </row>
    <row r="43" spans="1:7" s="144" customFormat="1" ht="15" customHeight="1" thickBot="1">
      <c r="A43" s="193" t="s">
        <v>16</v>
      </c>
      <c r="B43" s="194"/>
      <c r="C43" s="194"/>
      <c r="D43" s="195"/>
      <c r="E43" s="196">
        <f>SUM(E39:E42)</f>
        <v>1</v>
      </c>
      <c r="F43" s="149"/>
      <c r="G43" s="149"/>
    </row>
    <row r="44" spans="1:7" s="144" customFormat="1" ht="15" customHeight="1" thickBot="1">
      <c r="A44" s="197"/>
      <c r="B44" s="198"/>
      <c r="C44" s="199"/>
      <c r="D44" s="199"/>
      <c r="E44" s="200"/>
      <c r="F44" s="149"/>
      <c r="G44" s="149"/>
    </row>
    <row r="45" spans="1:7" s="144" customFormat="1" ht="15" customHeight="1">
      <c r="A45" s="323" t="s">
        <v>17</v>
      </c>
      <c r="B45" s="324"/>
      <c r="C45" s="324"/>
      <c r="D45" s="324"/>
      <c r="E45" s="187" t="s">
        <v>14</v>
      </c>
      <c r="F45" s="5"/>
      <c r="G45" s="149"/>
    </row>
    <row r="46" spans="1:7" s="144" customFormat="1" ht="15" customHeight="1">
      <c r="A46" s="201">
        <v>1</v>
      </c>
      <c r="B46" s="202"/>
      <c r="C46" s="202"/>
      <c r="D46" s="203"/>
      <c r="E46" s="204">
        <v>1</v>
      </c>
      <c r="F46" s="5"/>
      <c r="G46" s="149"/>
    </row>
    <row r="47" spans="1:7" s="144" customFormat="1" ht="15" customHeight="1">
      <c r="A47" s="199"/>
      <c r="B47" s="199"/>
      <c r="C47" s="199"/>
      <c r="D47" s="151"/>
      <c r="E47" s="205"/>
      <c r="F47" s="5"/>
      <c r="G47" s="149"/>
    </row>
    <row r="48" spans="1:7" s="144" customFormat="1">
      <c r="A48" s="199"/>
      <c r="B48" s="199"/>
      <c r="C48" s="199"/>
      <c r="D48" s="151"/>
      <c r="E48" s="206"/>
      <c r="F48" s="5"/>
      <c r="G48" s="149"/>
    </row>
    <row r="49" spans="1:7" s="9" customFormat="1" ht="15.75" customHeight="1">
      <c r="A49" s="207" t="s">
        <v>18</v>
      </c>
      <c r="B49" s="208">
        <v>0.95</v>
      </c>
      <c r="C49" s="209"/>
      <c r="D49" s="210"/>
      <c r="E49" s="211"/>
      <c r="G49" s="168"/>
    </row>
    <row r="50" spans="1:7" s="144" customFormat="1" ht="15.75" customHeight="1">
      <c r="A50" s="199"/>
      <c r="B50" s="199"/>
      <c r="C50" s="199"/>
      <c r="D50" s="151"/>
      <c r="E50" s="206"/>
      <c r="F50" s="5"/>
      <c r="G50" s="149"/>
    </row>
    <row r="51" spans="1:7" ht="13.15" customHeight="1">
      <c r="A51" s="9" t="s">
        <v>19</v>
      </c>
    </row>
    <row r="52" spans="1:7" ht="11.25" customHeight="1"/>
    <row r="53" spans="1:7" ht="13.9" hidden="1" customHeight="1">
      <c r="A53" s="5" t="s">
        <v>20</v>
      </c>
    </row>
    <row r="54" spans="1:7" ht="13.9" hidden="1" customHeight="1">
      <c r="A54" s="212" t="s">
        <v>21</v>
      </c>
      <c r="B54" s="213" t="s">
        <v>22</v>
      </c>
      <c r="C54" s="213" t="s">
        <v>14</v>
      </c>
      <c r="D54" s="214" t="s">
        <v>23</v>
      </c>
      <c r="E54" s="214" t="s">
        <v>24</v>
      </c>
      <c r="F54" s="215" t="s">
        <v>25</v>
      </c>
    </row>
    <row r="55" spans="1:7" hidden="1">
      <c r="A55" s="1" t="s">
        <v>26</v>
      </c>
      <c r="B55" s="216" t="s">
        <v>27</v>
      </c>
      <c r="C55" s="216">
        <v>1</v>
      </c>
      <c r="D55" s="217">
        <v>1278.21</v>
      </c>
      <c r="E55" s="218">
        <f>C55*D55</f>
        <v>1278.21</v>
      </c>
    </row>
    <row r="56" spans="1:7" hidden="1">
      <c r="A56" s="2" t="s">
        <v>28</v>
      </c>
      <c r="B56" s="219" t="s">
        <v>29</v>
      </c>
      <c r="C56" s="220">
        <v>1</v>
      </c>
      <c r="D56" s="221">
        <f>D55/220*2</f>
        <v>11.620090909090909</v>
      </c>
      <c r="E56" s="221">
        <f>C56*D56</f>
        <v>11.620090909090909</v>
      </c>
      <c r="G56" s="149" t="s">
        <v>30</v>
      </c>
    </row>
    <row r="57" spans="1:7" hidden="1">
      <c r="A57" s="2" t="s">
        <v>31</v>
      </c>
      <c r="B57" s="219" t="s">
        <v>29</v>
      </c>
      <c r="C57" s="220">
        <v>2</v>
      </c>
      <c r="D57" s="221">
        <f>D55/220*1.5</f>
        <v>8.7150681818181823</v>
      </c>
      <c r="E57" s="221">
        <f>C57*D57</f>
        <v>17.430136363636365</v>
      </c>
      <c r="G57" s="149" t="s">
        <v>32</v>
      </c>
    </row>
    <row r="58" spans="1:7" hidden="1">
      <c r="A58" s="2" t="s">
        <v>33</v>
      </c>
      <c r="B58" s="219" t="s">
        <v>34</v>
      </c>
      <c r="D58" s="221">
        <f>63/302*(SUM(E56:E57))</f>
        <v>6.0601467489464182</v>
      </c>
      <c r="E58" s="221">
        <f>D58</f>
        <v>6.0601467489464182</v>
      </c>
      <c r="G58" s="149" t="s">
        <v>35</v>
      </c>
    </row>
    <row r="59" spans="1:7" hidden="1">
      <c r="A59" s="2" t="s">
        <v>36</v>
      </c>
      <c r="B59" s="219" t="s">
        <v>8</v>
      </c>
      <c r="C59" s="219">
        <v>40</v>
      </c>
      <c r="D59" s="222">
        <v>998</v>
      </c>
      <c r="E59" s="221">
        <f>C59*D59/100</f>
        <v>399.2</v>
      </c>
    </row>
    <row r="60" spans="1:7" hidden="1">
      <c r="A60" s="223" t="s">
        <v>37</v>
      </c>
      <c r="B60" s="224"/>
      <c r="C60" s="224"/>
      <c r="D60" s="225"/>
      <c r="E60" s="226">
        <f>SUM(E55:E59)</f>
        <v>1712.5203740216739</v>
      </c>
    </row>
    <row r="61" spans="1:7" hidden="1">
      <c r="A61" s="2" t="s">
        <v>38</v>
      </c>
      <c r="B61" s="219" t="s">
        <v>8</v>
      </c>
      <c r="C61" s="227">
        <v>74.819999999999993</v>
      </c>
      <c r="D61" s="221">
        <f>E60</f>
        <v>1712.5203740216739</v>
      </c>
      <c r="E61" s="221">
        <f>D61*C61/100</f>
        <v>1281.3077438430162</v>
      </c>
    </row>
    <row r="62" spans="1:7" hidden="1">
      <c r="A62" s="223" t="s">
        <v>39</v>
      </c>
      <c r="B62" s="224"/>
      <c r="C62" s="224"/>
      <c r="D62" s="225"/>
      <c r="E62" s="226">
        <f>E60+E61</f>
        <v>2993.8281178646903</v>
      </c>
    </row>
    <row r="63" spans="1:7" hidden="1">
      <c r="A63" s="2" t="s">
        <v>40</v>
      </c>
      <c r="B63" s="219" t="s">
        <v>41</v>
      </c>
      <c r="C63" s="228"/>
      <c r="D63" s="221">
        <f>E62</f>
        <v>2993.8281178646903</v>
      </c>
      <c r="E63" s="221">
        <f>C63*D63</f>
        <v>0</v>
      </c>
    </row>
    <row r="64" spans="1:7" ht="13.9" hidden="1" customHeight="1">
      <c r="D64" s="229" t="s">
        <v>42</v>
      </c>
      <c r="E64" s="230">
        <f>$B$49</f>
        <v>0.95</v>
      </c>
      <c r="F64" s="231">
        <f>E63*E64</f>
        <v>0</v>
      </c>
    </row>
    <row r="65" spans="1:7" ht="11.25" hidden="1" customHeight="1"/>
    <row r="66" spans="1:7" hidden="1"/>
    <row r="67" spans="1:7" hidden="1">
      <c r="A67" s="212" t="s">
        <v>21</v>
      </c>
      <c r="B67" s="213" t="s">
        <v>22</v>
      </c>
      <c r="C67" s="213" t="s">
        <v>14</v>
      </c>
      <c r="D67" s="214" t="s">
        <v>23</v>
      </c>
      <c r="E67" s="214" t="s">
        <v>24</v>
      </c>
      <c r="F67" s="215" t="s">
        <v>25</v>
      </c>
    </row>
    <row r="68" spans="1:7" hidden="1">
      <c r="A68" s="1" t="s">
        <v>26</v>
      </c>
      <c r="B68" s="216" t="s">
        <v>27</v>
      </c>
      <c r="C68" s="216">
        <v>1</v>
      </c>
      <c r="D68" s="218">
        <f>D55</f>
        <v>1278.21</v>
      </c>
      <c r="E68" s="218">
        <f>C68*D68</f>
        <v>1278.21</v>
      </c>
    </row>
    <row r="69" spans="1:7" hidden="1">
      <c r="A69" s="2" t="s">
        <v>43</v>
      </c>
      <c r="B69" s="219" t="s">
        <v>44</v>
      </c>
      <c r="C69" s="220"/>
      <c r="D69" s="221"/>
      <c r="E69" s="221"/>
    </row>
    <row r="70" spans="1:7" hidden="1">
      <c r="A70" s="2"/>
      <c r="B70" s="219" t="s">
        <v>45</v>
      </c>
      <c r="C70" s="232">
        <f>C69*8/7</f>
        <v>0</v>
      </c>
      <c r="D70" s="221">
        <f>D68/220*0.2</f>
        <v>1.162009090909091</v>
      </c>
      <c r="E70" s="221">
        <f>C69*D70</f>
        <v>0</v>
      </c>
    </row>
    <row r="71" spans="1:7" hidden="1">
      <c r="A71" s="2" t="s">
        <v>28</v>
      </c>
      <c r="B71" s="219" t="s">
        <v>29</v>
      </c>
      <c r="C71" s="220"/>
      <c r="D71" s="221">
        <f>D68/220*2</f>
        <v>11.620090909090909</v>
      </c>
      <c r="E71" s="221">
        <f>C71*D71</f>
        <v>0</v>
      </c>
      <c r="G71" s="149" t="s">
        <v>30</v>
      </c>
    </row>
    <row r="72" spans="1:7" hidden="1">
      <c r="A72" s="2" t="s">
        <v>46</v>
      </c>
      <c r="B72" s="219" t="s">
        <v>44</v>
      </c>
      <c r="C72" s="220"/>
      <c r="D72" s="221"/>
      <c r="E72" s="221"/>
      <c r="G72" s="149" t="s">
        <v>47</v>
      </c>
    </row>
    <row r="73" spans="1:7" hidden="1">
      <c r="A73" s="2"/>
      <c r="B73" s="219" t="s">
        <v>45</v>
      </c>
      <c r="C73" s="232">
        <f>C72*8/7</f>
        <v>0</v>
      </c>
      <c r="D73" s="221">
        <f>D68/220*2*1.2</f>
        <v>13.944109090909089</v>
      </c>
      <c r="E73" s="221">
        <f>C73*D73</f>
        <v>0</v>
      </c>
      <c r="G73" s="149" t="s">
        <v>47</v>
      </c>
    </row>
    <row r="74" spans="1:7" hidden="1">
      <c r="A74" s="2" t="s">
        <v>31</v>
      </c>
      <c r="B74" s="219" t="s">
        <v>29</v>
      </c>
      <c r="C74" s="220"/>
      <c r="D74" s="221">
        <f>D68/220*1.5</f>
        <v>8.7150681818181823</v>
      </c>
      <c r="E74" s="221">
        <f>C74*D74</f>
        <v>0</v>
      </c>
      <c r="G74" s="149" t="s">
        <v>32</v>
      </c>
    </row>
    <row r="75" spans="1:7" hidden="1">
      <c r="A75" s="2" t="s">
        <v>48</v>
      </c>
      <c r="B75" s="219" t="s">
        <v>44</v>
      </c>
      <c r="C75" s="220"/>
      <c r="D75" s="221"/>
      <c r="E75" s="221"/>
      <c r="G75" s="149" t="s">
        <v>49</v>
      </c>
    </row>
    <row r="76" spans="1:7" hidden="1">
      <c r="A76" s="2"/>
      <c r="B76" s="219" t="s">
        <v>45</v>
      </c>
      <c r="C76" s="221">
        <f>C75*8/7</f>
        <v>0</v>
      </c>
      <c r="D76" s="221">
        <f>D68/220*1.5*1.2</f>
        <v>10.458081818181819</v>
      </c>
      <c r="E76" s="221">
        <f>C76*D76</f>
        <v>0</v>
      </c>
      <c r="G76" s="149" t="s">
        <v>49</v>
      </c>
    </row>
    <row r="77" spans="1:7" ht="13.15" hidden="1" customHeight="1">
      <c r="A77" s="2" t="s">
        <v>33</v>
      </c>
      <c r="B77" s="219" t="s">
        <v>34</v>
      </c>
      <c r="D77" s="221">
        <f>63/302*(SUM(E71:E76))</f>
        <v>0</v>
      </c>
      <c r="E77" s="221">
        <f>D77</f>
        <v>0</v>
      </c>
      <c r="G77" s="149" t="s">
        <v>35</v>
      </c>
    </row>
    <row r="78" spans="1:7" hidden="1">
      <c r="A78" s="2" t="s">
        <v>36</v>
      </c>
      <c r="B78" s="219" t="s">
        <v>8</v>
      </c>
      <c r="C78" s="219">
        <f>+C59</f>
        <v>40</v>
      </c>
      <c r="D78" s="222">
        <f>SUM(E68:E77)</f>
        <v>1278.21</v>
      </c>
      <c r="E78" s="221">
        <f>C78*D78/100</f>
        <v>511.28399999999999</v>
      </c>
    </row>
    <row r="79" spans="1:7" hidden="1">
      <c r="A79" s="223" t="s">
        <v>37</v>
      </c>
      <c r="B79" s="224"/>
      <c r="C79" s="224"/>
      <c r="D79" s="225"/>
      <c r="E79" s="226">
        <f>SUM(E68:E78)</f>
        <v>1789.4940000000001</v>
      </c>
    </row>
    <row r="80" spans="1:7" hidden="1">
      <c r="A80" s="2" t="s">
        <v>38</v>
      </c>
      <c r="B80" s="219" t="s">
        <v>8</v>
      </c>
      <c r="C80" s="227">
        <f>'2.Encargos Sociais'!$C$34*100</f>
        <v>6.8200000000000012</v>
      </c>
      <c r="D80" s="221">
        <f>E79</f>
        <v>1789.4940000000001</v>
      </c>
      <c r="E80" s="221">
        <f>D80*C80/100</f>
        <v>122.04349080000003</v>
      </c>
    </row>
    <row r="81" spans="1:7" hidden="1">
      <c r="A81" s="223" t="s">
        <v>39</v>
      </c>
      <c r="B81" s="224"/>
      <c r="C81" s="224"/>
      <c r="D81" s="225"/>
      <c r="E81" s="226">
        <f>E79+E80</f>
        <v>1911.5374908000001</v>
      </c>
    </row>
    <row r="82" spans="1:7" hidden="1">
      <c r="A82" s="2" t="s">
        <v>40</v>
      </c>
      <c r="B82" s="219" t="s">
        <v>41</v>
      </c>
      <c r="C82" s="228">
        <v>0</v>
      </c>
      <c r="D82" s="221">
        <f>E81</f>
        <v>1911.5374908000001</v>
      </c>
      <c r="E82" s="221">
        <f>C82*D82</f>
        <v>0</v>
      </c>
    </row>
    <row r="83" spans="1:7" hidden="1">
      <c r="D83" s="229" t="s">
        <v>42</v>
      </c>
      <c r="E83" s="230">
        <f>$B$49</f>
        <v>0.95</v>
      </c>
      <c r="F83" s="231">
        <f>E82*E83</f>
        <v>0</v>
      </c>
    </row>
    <row r="84" spans="1:7" ht="11.25" hidden="1" customHeight="1"/>
    <row r="85" spans="1:7" ht="13.5" thickBot="1">
      <c r="A85" s="5" t="s">
        <v>50</v>
      </c>
    </row>
    <row r="86" spans="1:7" s="147" customFormat="1" ht="13.15" customHeight="1" thickBot="1">
      <c r="A86" s="212" t="s">
        <v>21</v>
      </c>
      <c r="B86" s="213" t="s">
        <v>22</v>
      </c>
      <c r="C86" s="213" t="s">
        <v>14</v>
      </c>
      <c r="D86" s="214" t="s">
        <v>23</v>
      </c>
      <c r="E86" s="214" t="s">
        <v>24</v>
      </c>
      <c r="F86" s="215" t="s">
        <v>25</v>
      </c>
      <c r="G86" s="149"/>
    </row>
    <row r="87" spans="1:7">
      <c r="A87" s="1" t="s">
        <v>51</v>
      </c>
      <c r="B87" s="216" t="s">
        <v>27</v>
      </c>
      <c r="C87" s="216">
        <v>1</v>
      </c>
      <c r="D87" s="217">
        <v>2726</v>
      </c>
      <c r="E87" s="218">
        <f>C87*D87</f>
        <v>2726</v>
      </c>
    </row>
    <row r="88" spans="1:7">
      <c r="A88" s="1" t="s">
        <v>52</v>
      </c>
      <c r="B88" s="216" t="s">
        <v>27</v>
      </c>
      <c r="C88" s="216">
        <v>1</v>
      </c>
      <c r="D88" s="217">
        <v>1412</v>
      </c>
      <c r="E88" s="218"/>
    </row>
    <row r="89" spans="1:7" hidden="1">
      <c r="A89" s="2" t="s">
        <v>53</v>
      </c>
      <c r="B89" s="219"/>
      <c r="C89" s="233">
        <v>0</v>
      </c>
      <c r="D89" s="221"/>
      <c r="E89" s="221"/>
    </row>
    <row r="90" spans="1:7" hidden="1">
      <c r="A90" s="2" t="s">
        <v>36</v>
      </c>
      <c r="B90" s="219" t="s">
        <v>8</v>
      </c>
      <c r="C90" s="228">
        <v>0</v>
      </c>
      <c r="D90" s="222">
        <f>IF(C89=2,SUM(E87:E88),IF(C89=1,(SUM(E87:E88))*D88/D87,0))</f>
        <v>0</v>
      </c>
      <c r="E90" s="221">
        <f>C90*D90/100</f>
        <v>0</v>
      </c>
    </row>
    <row r="91" spans="1:7" s="9" customFormat="1">
      <c r="A91" s="234" t="s">
        <v>37</v>
      </c>
      <c r="B91" s="224"/>
      <c r="C91" s="224"/>
      <c r="D91" s="225"/>
      <c r="E91" s="235">
        <f>SUM(E87:E90)</f>
        <v>2726</v>
      </c>
      <c r="F91" s="168"/>
      <c r="G91" s="168"/>
    </row>
    <row r="92" spans="1:7">
      <c r="A92" s="2" t="s">
        <v>38</v>
      </c>
      <c r="B92" s="219" t="s">
        <v>8</v>
      </c>
      <c r="C92" s="305">
        <f>'2.Encargos Sociais'!C35</f>
        <v>0.69880000000000009</v>
      </c>
      <c r="D92" s="221">
        <f>E91</f>
        <v>2726</v>
      </c>
      <c r="E92" s="221">
        <f>D92*C92/100</f>
        <v>19.049288000000001</v>
      </c>
    </row>
    <row r="93" spans="1:7" s="9" customFormat="1">
      <c r="A93" s="234" t="s">
        <v>54</v>
      </c>
      <c r="B93" s="236"/>
      <c r="C93" s="236"/>
      <c r="D93" s="237"/>
      <c r="E93" s="235">
        <f>E91+E92</f>
        <v>2745.0492880000002</v>
      </c>
      <c r="F93" s="168"/>
      <c r="G93" s="168"/>
    </row>
    <row r="94" spans="1:7">
      <c r="A94" s="2" t="s">
        <v>40</v>
      </c>
      <c r="B94" s="219" t="s">
        <v>41</v>
      </c>
      <c r="C94" s="228">
        <v>1</v>
      </c>
      <c r="D94" s="221">
        <f>E93</f>
        <v>2745.0492880000002</v>
      </c>
      <c r="E94" s="221">
        <f>C94*D94</f>
        <v>2745.0492880000002</v>
      </c>
    </row>
    <row r="95" spans="1:7">
      <c r="D95" s="229" t="s">
        <v>42</v>
      </c>
      <c r="E95" s="230">
        <f>$B$49</f>
        <v>0.95</v>
      </c>
      <c r="F95" s="231">
        <f>E94*E95</f>
        <v>2607.7968236000002</v>
      </c>
    </row>
    <row r="96" spans="1:7" ht="11.25" customHeight="1"/>
    <row r="98" spans="1:7" hidden="1">
      <c r="A98" s="212" t="s">
        <v>21</v>
      </c>
      <c r="B98" s="213" t="s">
        <v>22</v>
      </c>
      <c r="C98" s="213" t="s">
        <v>14</v>
      </c>
      <c r="D98" s="214" t="s">
        <v>23</v>
      </c>
      <c r="E98" s="214" t="s">
        <v>24</v>
      </c>
      <c r="F98" s="215" t="s">
        <v>25</v>
      </c>
    </row>
    <row r="99" spans="1:7" hidden="1">
      <c r="A99" s="1" t="s">
        <v>26</v>
      </c>
      <c r="B99" s="216" t="s">
        <v>27</v>
      </c>
      <c r="C99" s="216">
        <v>1</v>
      </c>
      <c r="D99" s="218">
        <f>D87</f>
        <v>2726</v>
      </c>
      <c r="E99" s="218">
        <f>C99*D99</f>
        <v>2726</v>
      </c>
    </row>
    <row r="100" spans="1:7" hidden="1">
      <c r="A100" s="1" t="s">
        <v>55</v>
      </c>
      <c r="B100" s="216" t="s">
        <v>27</v>
      </c>
      <c r="C100" s="216">
        <v>1</v>
      </c>
      <c r="D100" s="221">
        <f>D88</f>
        <v>1412</v>
      </c>
      <c r="E100" s="221"/>
    </row>
    <row r="101" spans="1:7" hidden="1">
      <c r="A101" s="2" t="s">
        <v>43</v>
      </c>
      <c r="B101" s="219" t="s">
        <v>44</v>
      </c>
      <c r="C101" s="220"/>
      <c r="D101" s="2"/>
      <c r="E101" s="2"/>
    </row>
    <row r="102" spans="1:7" hidden="1">
      <c r="A102" s="2"/>
      <c r="B102" s="219" t="s">
        <v>45</v>
      </c>
      <c r="C102" s="221">
        <f>C101*8/7</f>
        <v>0</v>
      </c>
      <c r="D102" s="221">
        <f>D99/220*0.2</f>
        <v>2.4781818181818185</v>
      </c>
      <c r="E102" s="221">
        <f>C101*D102</f>
        <v>0</v>
      </c>
    </row>
    <row r="103" spans="1:7" hidden="1">
      <c r="A103" s="2" t="s">
        <v>28</v>
      </c>
      <c r="B103" s="219" t="s">
        <v>29</v>
      </c>
      <c r="C103" s="220"/>
      <c r="D103" s="221">
        <f>D99/220*2</f>
        <v>24.781818181818181</v>
      </c>
      <c r="E103" s="221">
        <f>C103*D103</f>
        <v>0</v>
      </c>
      <c r="G103" s="149" t="s">
        <v>30</v>
      </c>
    </row>
    <row r="104" spans="1:7" hidden="1">
      <c r="A104" s="2" t="s">
        <v>46</v>
      </c>
      <c r="B104" s="219" t="s">
        <v>44</v>
      </c>
      <c r="C104" s="220"/>
      <c r="D104" s="221"/>
      <c r="E104" s="221"/>
      <c r="G104" s="149" t="s">
        <v>47</v>
      </c>
    </row>
    <row r="105" spans="1:7" hidden="1">
      <c r="A105" s="2"/>
      <c r="B105" s="219" t="s">
        <v>45</v>
      </c>
      <c r="C105" s="221">
        <f>C104*8/7</f>
        <v>0</v>
      </c>
      <c r="D105" s="221">
        <f>D99/220*2*1.2</f>
        <v>29.738181818181815</v>
      </c>
      <c r="E105" s="221">
        <f>C105*D105</f>
        <v>0</v>
      </c>
      <c r="G105" s="149" t="s">
        <v>47</v>
      </c>
    </row>
    <row r="106" spans="1:7" hidden="1">
      <c r="A106" s="2" t="s">
        <v>31</v>
      </c>
      <c r="B106" s="219" t="s">
        <v>29</v>
      </c>
      <c r="C106" s="220"/>
      <c r="D106" s="221">
        <f>D99/220*1.5</f>
        <v>18.586363636363636</v>
      </c>
      <c r="E106" s="221">
        <f>C106*D106</f>
        <v>0</v>
      </c>
      <c r="G106" s="149" t="s">
        <v>32</v>
      </c>
    </row>
    <row r="107" spans="1:7" hidden="1">
      <c r="A107" s="2" t="s">
        <v>48</v>
      </c>
      <c r="B107" s="219" t="s">
        <v>44</v>
      </c>
      <c r="C107" s="220"/>
      <c r="D107" s="221"/>
      <c r="E107" s="221"/>
      <c r="G107" s="149" t="s">
        <v>49</v>
      </c>
    </row>
    <row r="108" spans="1:7" hidden="1">
      <c r="A108" s="2"/>
      <c r="B108" s="219" t="s">
        <v>45</v>
      </c>
      <c r="C108" s="221">
        <f>C107*8/7</f>
        <v>0</v>
      </c>
      <c r="D108" s="221">
        <f>D99/220*1.5*1.2</f>
        <v>22.303636363636361</v>
      </c>
      <c r="E108" s="221">
        <f>C108*D108</f>
        <v>0</v>
      </c>
      <c r="G108" s="149" t="s">
        <v>49</v>
      </c>
    </row>
    <row r="109" spans="1:7" ht="13.15" hidden="1" customHeight="1">
      <c r="A109" s="2" t="s">
        <v>33</v>
      </c>
      <c r="B109" s="219" t="s">
        <v>34</v>
      </c>
      <c r="D109" s="221">
        <f>63/302*(SUM(E103:E108))</f>
        <v>0</v>
      </c>
      <c r="E109" s="221">
        <f>D109</f>
        <v>0</v>
      </c>
      <c r="G109" s="149" t="s">
        <v>35</v>
      </c>
    </row>
    <row r="110" spans="1:7" hidden="1">
      <c r="A110" s="2" t="s">
        <v>53</v>
      </c>
      <c r="B110" s="219"/>
      <c r="C110" s="233"/>
      <c r="D110" s="221"/>
      <c r="E110" s="221"/>
    </row>
    <row r="111" spans="1:7" hidden="1">
      <c r="A111" s="2" t="s">
        <v>36</v>
      </c>
      <c r="B111" s="219" t="s">
        <v>8</v>
      </c>
      <c r="C111" s="222">
        <f>+C90</f>
        <v>0</v>
      </c>
      <c r="D111" s="222">
        <f>IF(C110=2,SUM(E99:E109),IF(C110=1,SUM(E99:E109)*D100/D99,0))</f>
        <v>0</v>
      </c>
      <c r="E111" s="221">
        <f>C111*D111/100</f>
        <v>0</v>
      </c>
    </row>
    <row r="112" spans="1:7" s="9" customFormat="1" hidden="1">
      <c r="A112" s="223" t="s">
        <v>37</v>
      </c>
      <c r="B112" s="224"/>
      <c r="C112" s="224"/>
      <c r="D112" s="225"/>
      <c r="E112" s="226">
        <f>SUM(E99:E111)</f>
        <v>2726</v>
      </c>
      <c r="F112" s="168"/>
      <c r="G112" s="168"/>
    </row>
    <row r="113" spans="1:7" hidden="1">
      <c r="A113" s="2" t="s">
        <v>38</v>
      </c>
      <c r="B113" s="219" t="s">
        <v>8</v>
      </c>
      <c r="C113" s="227">
        <f>'2.Encargos Sociais'!$C$34*100</f>
        <v>6.8200000000000012</v>
      </c>
      <c r="D113" s="221">
        <f>E112</f>
        <v>2726</v>
      </c>
      <c r="E113" s="221">
        <f>D113*C113/100</f>
        <v>185.91320000000005</v>
      </c>
    </row>
    <row r="114" spans="1:7" s="9" customFormat="1" hidden="1">
      <c r="A114" s="223" t="s">
        <v>54</v>
      </c>
      <c r="B114" s="224"/>
      <c r="C114" s="224"/>
      <c r="D114" s="225"/>
      <c r="E114" s="226">
        <f>E112+E113</f>
        <v>2911.9132</v>
      </c>
      <c r="F114" s="168"/>
      <c r="G114" s="168"/>
    </row>
    <row r="115" spans="1:7" hidden="1">
      <c r="A115" s="2" t="s">
        <v>40</v>
      </c>
      <c r="B115" s="219" t="s">
        <v>41</v>
      </c>
      <c r="C115" s="228"/>
      <c r="D115" s="221">
        <f>E114</f>
        <v>2911.9132</v>
      </c>
      <c r="E115" s="221">
        <f>C115*D115</f>
        <v>0</v>
      </c>
    </row>
    <row r="116" spans="1:7" hidden="1">
      <c r="D116" s="229" t="s">
        <v>42</v>
      </c>
      <c r="E116" s="230">
        <f>$B$49</f>
        <v>0.95</v>
      </c>
      <c r="F116" s="231">
        <f>E115*E116</f>
        <v>0</v>
      </c>
    </row>
    <row r="117" spans="1:7" hidden="1">
      <c r="A117" s="5" t="s">
        <v>56</v>
      </c>
    </row>
    <row r="118" spans="1:7" s="147" customFormat="1" ht="13.15" hidden="1" customHeight="1">
      <c r="A118" s="212" t="s">
        <v>21</v>
      </c>
      <c r="B118" s="213" t="s">
        <v>22</v>
      </c>
      <c r="C118" s="213" t="s">
        <v>14</v>
      </c>
      <c r="D118" s="214" t="s">
        <v>23</v>
      </c>
      <c r="E118" s="214" t="s">
        <v>24</v>
      </c>
      <c r="F118" s="215" t="s">
        <v>25</v>
      </c>
      <c r="G118" s="149"/>
    </row>
    <row r="119" spans="1:7" hidden="1">
      <c r="A119" s="1" t="s">
        <v>26</v>
      </c>
      <c r="B119" s="216" t="s">
        <v>27</v>
      </c>
      <c r="C119" s="216">
        <v>1</v>
      </c>
      <c r="D119" s="217">
        <v>2500</v>
      </c>
      <c r="E119" s="218">
        <f>C119*D119</f>
        <v>2500</v>
      </c>
    </row>
    <row r="120" spans="1:7" hidden="1">
      <c r="A120" s="2" t="s">
        <v>28</v>
      </c>
      <c r="B120" s="219" t="s">
        <v>29</v>
      </c>
      <c r="C120" s="220">
        <v>1</v>
      </c>
      <c r="D120" s="221">
        <f>D119/220*2</f>
        <v>22.727272727272727</v>
      </c>
      <c r="E120" s="221">
        <f>C120*D120</f>
        <v>22.727272727272727</v>
      </c>
    </row>
    <row r="121" spans="1:7" hidden="1">
      <c r="A121" s="2" t="s">
        <v>31</v>
      </c>
      <c r="B121" s="219" t="s">
        <v>29</v>
      </c>
      <c r="C121" s="220">
        <v>2</v>
      </c>
      <c r="D121" s="221">
        <f>D119/220*1.5</f>
        <v>17.045454545454547</v>
      </c>
      <c r="E121" s="221">
        <f>C121*D121</f>
        <v>34.090909090909093</v>
      </c>
    </row>
    <row r="122" spans="1:7" hidden="1">
      <c r="A122" s="2" t="s">
        <v>33</v>
      </c>
      <c r="B122" s="219" t="s">
        <v>34</v>
      </c>
      <c r="D122" s="221">
        <f>63/302*(SUM(E120:E121))</f>
        <v>11.852799518362433</v>
      </c>
      <c r="E122" s="221">
        <f>D122</f>
        <v>11.852799518362433</v>
      </c>
    </row>
    <row r="123" spans="1:7" s="9" customFormat="1" hidden="1">
      <c r="A123" s="2" t="s">
        <v>36</v>
      </c>
      <c r="B123" s="219" t="s">
        <v>8</v>
      </c>
      <c r="C123" s="219">
        <v>40</v>
      </c>
      <c r="D123" s="222">
        <v>998</v>
      </c>
      <c r="E123" s="221">
        <f>C123*D123/100</f>
        <v>399.2</v>
      </c>
      <c r="F123" s="149"/>
      <c r="G123" s="168"/>
    </row>
    <row r="124" spans="1:7" hidden="1">
      <c r="A124" s="223" t="s">
        <v>37</v>
      </c>
      <c r="B124" s="224"/>
      <c r="C124" s="224"/>
      <c r="D124" s="225"/>
      <c r="E124" s="226">
        <f>SUM(E119:E123)</f>
        <v>2967.870981336544</v>
      </c>
    </row>
    <row r="125" spans="1:7" s="9" customFormat="1" hidden="1">
      <c r="A125" s="2" t="s">
        <v>38</v>
      </c>
      <c r="B125" s="219" t="s">
        <v>8</v>
      </c>
      <c r="C125" s="227">
        <v>74.819999999999993</v>
      </c>
      <c r="D125" s="221">
        <f>E124</f>
        <v>2967.870981336544</v>
      </c>
      <c r="E125" s="221">
        <f>D125*C125/100</f>
        <v>2220.561068236002</v>
      </c>
      <c r="F125" s="149"/>
      <c r="G125" s="168"/>
    </row>
    <row r="126" spans="1:7" hidden="1">
      <c r="A126" s="223" t="s">
        <v>39</v>
      </c>
      <c r="B126" s="224"/>
      <c r="C126" s="224"/>
      <c r="D126" s="225"/>
      <c r="E126" s="226">
        <f>E124+E125</f>
        <v>5188.432049572546</v>
      </c>
    </row>
    <row r="127" spans="1:7" hidden="1">
      <c r="A127" s="2" t="s">
        <v>40</v>
      </c>
      <c r="B127" s="219" t="s">
        <v>41</v>
      </c>
      <c r="C127" s="228"/>
      <c r="D127" s="221">
        <f>E126</f>
        <v>5188.432049572546</v>
      </c>
      <c r="E127" s="221">
        <f>C127*D127</f>
        <v>0</v>
      </c>
    </row>
    <row r="128" spans="1:7" ht="11.25" hidden="1" customHeight="1">
      <c r="D128" s="229" t="s">
        <v>42</v>
      </c>
      <c r="E128" s="230">
        <v>1</v>
      </c>
      <c r="F128" s="231">
        <f>E127*E128</f>
        <v>0</v>
      </c>
    </row>
    <row r="129" spans="1:7" hidden="1"/>
    <row r="130" spans="1:7" ht="11.25" hidden="1" customHeight="1">
      <c r="G130" s="5"/>
    </row>
    <row r="131" spans="1:7" hidden="1">
      <c r="A131" s="5" t="s">
        <v>57</v>
      </c>
      <c r="B131" s="238"/>
      <c r="D131" s="5"/>
      <c r="E131" s="5"/>
      <c r="G131" s="5"/>
    </row>
    <row r="132" spans="1:7" hidden="1">
      <c r="A132" s="212" t="s">
        <v>21</v>
      </c>
      <c r="B132" s="213" t="s">
        <v>22</v>
      </c>
      <c r="C132" s="213" t="s">
        <v>14</v>
      </c>
      <c r="D132" s="214" t="s">
        <v>23</v>
      </c>
      <c r="E132" s="214" t="s">
        <v>24</v>
      </c>
      <c r="F132" s="215" t="s">
        <v>25</v>
      </c>
      <c r="G132" s="5"/>
    </row>
    <row r="133" spans="1:7" hidden="1">
      <c r="A133" s="2" t="s">
        <v>58</v>
      </c>
      <c r="B133" s="219" t="s">
        <v>34</v>
      </c>
      <c r="C133" s="239">
        <v>1</v>
      </c>
      <c r="D133" s="181"/>
      <c r="E133" s="221"/>
      <c r="G133" s="5"/>
    </row>
    <row r="134" spans="1:7" hidden="1">
      <c r="A134" s="2" t="s">
        <v>59</v>
      </c>
      <c r="B134" s="219" t="s">
        <v>60</v>
      </c>
      <c r="C134" s="240"/>
      <c r="D134" s="221"/>
      <c r="E134" s="221"/>
      <c r="G134" s="5"/>
    </row>
    <row r="135" spans="1:7" hidden="1">
      <c r="A135" s="2" t="s">
        <v>61</v>
      </c>
      <c r="B135" s="219" t="s">
        <v>62</v>
      </c>
      <c r="C135" s="241">
        <f>$C$134*2*(C63+C82)</f>
        <v>0</v>
      </c>
      <c r="D135" s="218" t="str">
        <f>IFERROR((($C$134*2*$D$133)-(E55*0.06))/($C$134*2),"-")</f>
        <v>-</v>
      </c>
      <c r="E135" s="221" t="str">
        <f>IFERROR(C135*D135,"-")</f>
        <v>-</v>
      </c>
      <c r="G135" s="5"/>
    </row>
    <row r="136" spans="1:7" hidden="1">
      <c r="A136" s="1" t="s">
        <v>63</v>
      </c>
      <c r="B136" s="216" t="s">
        <v>62</v>
      </c>
      <c r="C136" s="241">
        <f>$C$134*2*(C94+C127)</f>
        <v>0</v>
      </c>
      <c r="D136" s="218" t="str">
        <f>IFERROR((($C$134*2*$D$133)-(E87*0.06))/($C$134*2),"-")</f>
        <v>-</v>
      </c>
      <c r="E136" s="218" t="str">
        <f>IFERROR(C136*D136,"-")</f>
        <v>-</v>
      </c>
      <c r="G136" s="5"/>
    </row>
    <row r="137" spans="1:7" hidden="1">
      <c r="F137" s="242">
        <f>SUM(E135:E136)</f>
        <v>0</v>
      </c>
      <c r="G137" s="5"/>
    </row>
    <row r="138" spans="1:7" ht="11.25" hidden="1" customHeight="1">
      <c r="G138" s="5"/>
    </row>
    <row r="139" spans="1:7" ht="13.5" thickBot="1">
      <c r="A139" s="5" t="s">
        <v>64</v>
      </c>
      <c r="F139" s="243"/>
      <c r="G139" s="5"/>
    </row>
    <row r="140" spans="1:7" ht="13.5" thickBot="1">
      <c r="A140" s="212" t="s">
        <v>21</v>
      </c>
      <c r="B140" s="213" t="s">
        <v>22</v>
      </c>
      <c r="C140" s="213" t="s">
        <v>14</v>
      </c>
      <c r="D140" s="214" t="s">
        <v>23</v>
      </c>
      <c r="E140" s="214" t="s">
        <v>24</v>
      </c>
      <c r="F140" s="215" t="s">
        <v>25</v>
      </c>
      <c r="G140" s="5"/>
    </row>
    <row r="141" spans="1:7" hidden="1">
      <c r="A141" s="2" t="str">
        <f>+A135</f>
        <v>Coletor</v>
      </c>
      <c r="B141" s="219" t="s">
        <v>65</v>
      </c>
      <c r="C141" s="244">
        <f>C134*(E39+E40)</f>
        <v>0</v>
      </c>
      <c r="D141" s="245">
        <v>16.73</v>
      </c>
      <c r="E141" s="230">
        <f>C141*D141</f>
        <v>0</v>
      </c>
      <c r="F141" s="243"/>
      <c r="G141" s="5"/>
    </row>
    <row r="142" spans="1:7" ht="13.5" thickBot="1">
      <c r="A142" s="2" t="s">
        <v>66</v>
      </c>
      <c r="B142" s="219" t="s">
        <v>65</v>
      </c>
      <c r="C142" s="244">
        <v>25</v>
      </c>
      <c r="D142" s="245">
        <v>26</v>
      </c>
      <c r="E142" s="230">
        <f>C142*D142</f>
        <v>650</v>
      </c>
      <c r="F142" s="243"/>
      <c r="G142" s="5"/>
    </row>
    <row r="143" spans="1:7" ht="13.5" thickBot="1">
      <c r="F143" s="242">
        <f>SUM(E141:E142)</f>
        <v>650</v>
      </c>
      <c r="G143" s="5"/>
    </row>
    <row r="144" spans="1:7" ht="13.5" thickBot="1">
      <c r="G144" s="5"/>
    </row>
    <row r="145" spans="1:7" hidden="1">
      <c r="A145" s="5" t="s">
        <v>67</v>
      </c>
      <c r="F145" s="243"/>
      <c r="G145" s="5"/>
    </row>
    <row r="146" spans="1:7" hidden="1">
      <c r="A146" s="212" t="s">
        <v>21</v>
      </c>
      <c r="B146" s="213" t="s">
        <v>22</v>
      </c>
      <c r="C146" s="213" t="s">
        <v>14</v>
      </c>
      <c r="D146" s="214" t="s">
        <v>23</v>
      </c>
      <c r="E146" s="214" t="s">
        <v>24</v>
      </c>
      <c r="F146" s="215" t="s">
        <v>25</v>
      </c>
      <c r="G146" s="5"/>
    </row>
    <row r="147" spans="1:7" hidden="1">
      <c r="A147" s="2" t="str">
        <f>+A141</f>
        <v>Coletor</v>
      </c>
      <c r="B147" s="219" t="s">
        <v>65</v>
      </c>
      <c r="C147" s="244">
        <f>E39+E40</f>
        <v>0</v>
      </c>
      <c r="D147" s="245"/>
      <c r="E147" s="230">
        <f>C147*D147</f>
        <v>0</v>
      </c>
      <c r="F147" s="243"/>
      <c r="G147" s="5"/>
    </row>
    <row r="148" spans="1:7" hidden="1">
      <c r="A148" s="2" t="s">
        <v>63</v>
      </c>
      <c r="B148" s="219" t="s">
        <v>65</v>
      </c>
      <c r="C148" s="244">
        <v>3</v>
      </c>
      <c r="D148" s="245"/>
      <c r="E148" s="230">
        <f>C148*D148</f>
        <v>0</v>
      </c>
      <c r="F148" s="243"/>
      <c r="G148" s="5"/>
    </row>
    <row r="149" spans="1:7" hidden="1">
      <c r="D149" s="229" t="s">
        <v>42</v>
      </c>
      <c r="E149" s="230">
        <f>$B$49</f>
        <v>0.95</v>
      </c>
      <c r="F149" s="242">
        <f>SUM(E147:E148)*E149</f>
        <v>0</v>
      </c>
      <c r="G149" s="5"/>
    </row>
    <row r="150" spans="1:7" hidden="1">
      <c r="G150" s="5"/>
    </row>
    <row r="151" spans="1:7" ht="13.5" thickBot="1">
      <c r="A151" s="246" t="s">
        <v>68</v>
      </c>
      <c r="B151" s="247"/>
      <c r="C151" s="247"/>
      <c r="D151" s="185"/>
      <c r="E151" s="248"/>
      <c r="F151" s="242">
        <f>F149+F143+F137+F116+F95+F83+F64+F128</f>
        <v>3257.7968236000002</v>
      </c>
      <c r="G151" s="5"/>
    </row>
    <row r="153" spans="1:7" hidden="1">
      <c r="A153" s="9" t="s">
        <v>69</v>
      </c>
      <c r="G153" s="5"/>
    </row>
    <row r="154" spans="1:7" ht="11.25" hidden="1" customHeight="1">
      <c r="G154" s="5"/>
    </row>
    <row r="155" spans="1:7" ht="13.9" hidden="1" customHeight="1">
      <c r="A155" s="5" t="s">
        <v>70</v>
      </c>
      <c r="G155" s="5"/>
    </row>
    <row r="156" spans="1:7" ht="11.25" hidden="1" customHeight="1">
      <c r="G156" s="5"/>
    </row>
    <row r="157" spans="1:7" ht="27.75" hidden="1" customHeight="1">
      <c r="A157" s="212" t="s">
        <v>21</v>
      </c>
      <c r="B157" s="213" t="s">
        <v>22</v>
      </c>
      <c r="C157" s="249" t="s">
        <v>71</v>
      </c>
      <c r="D157" s="214" t="s">
        <v>23</v>
      </c>
      <c r="E157" s="214" t="s">
        <v>24</v>
      </c>
      <c r="F157" s="215" t="s">
        <v>25</v>
      </c>
      <c r="G157" s="5"/>
    </row>
    <row r="158" spans="1:7" hidden="1">
      <c r="A158" s="1" t="s">
        <v>72</v>
      </c>
      <c r="B158" s="216" t="s">
        <v>65</v>
      </c>
      <c r="C158" s="250"/>
      <c r="D158" s="217">
        <v>47.38</v>
      </c>
      <c r="E158" s="218">
        <f>IFERROR(D158/C158,0)</f>
        <v>0</v>
      </c>
      <c r="G158" s="5"/>
    </row>
    <row r="159" spans="1:7" ht="13.15" hidden="1" customHeight="1">
      <c r="A159" s="2" t="s">
        <v>73</v>
      </c>
      <c r="B159" s="219" t="s">
        <v>65</v>
      </c>
      <c r="C159" s="250"/>
      <c r="D159" s="217">
        <v>45</v>
      </c>
      <c r="E159" s="218">
        <f t="shared" ref="E159:E167" si="2">IFERROR(D159/C159,0)</f>
        <v>0</v>
      </c>
      <c r="G159" s="5"/>
    </row>
    <row r="160" spans="1:7" hidden="1">
      <c r="A160" s="2" t="s">
        <v>74</v>
      </c>
      <c r="B160" s="219" t="s">
        <v>65</v>
      </c>
      <c r="C160" s="250"/>
      <c r="D160" s="217">
        <v>30</v>
      </c>
      <c r="E160" s="218">
        <f t="shared" si="2"/>
        <v>0</v>
      </c>
      <c r="G160" s="5"/>
    </row>
    <row r="161" spans="1:7" ht="13.15" hidden="1" customHeight="1">
      <c r="A161" s="2" t="s">
        <v>75</v>
      </c>
      <c r="B161" s="219" t="s">
        <v>65</v>
      </c>
      <c r="C161" s="250"/>
      <c r="D161" s="217">
        <v>17</v>
      </c>
      <c r="E161" s="218">
        <f t="shared" si="2"/>
        <v>0</v>
      </c>
      <c r="G161" s="5"/>
    </row>
    <row r="162" spans="1:7" ht="13.9" hidden="1" customHeight="1">
      <c r="A162" s="2" t="s">
        <v>76</v>
      </c>
      <c r="B162" s="219" t="s">
        <v>77</v>
      </c>
      <c r="C162" s="250"/>
      <c r="D162" s="217">
        <v>58.9</v>
      </c>
      <c r="E162" s="218">
        <f t="shared" si="2"/>
        <v>0</v>
      </c>
      <c r="G162" s="5"/>
    </row>
    <row r="163" spans="1:7" ht="13.15" hidden="1" customHeight="1">
      <c r="A163" s="2" t="s">
        <v>78</v>
      </c>
      <c r="B163" s="219" t="s">
        <v>77</v>
      </c>
      <c r="C163" s="250"/>
      <c r="D163" s="217">
        <v>7.8</v>
      </c>
      <c r="E163" s="218">
        <f t="shared" si="2"/>
        <v>0</v>
      </c>
    </row>
    <row r="164" spans="1:7" hidden="1">
      <c r="A164" s="2" t="s">
        <v>79</v>
      </c>
      <c r="B164" s="219" t="s">
        <v>65</v>
      </c>
      <c r="C164" s="250"/>
      <c r="D164" s="217">
        <v>37.9</v>
      </c>
      <c r="E164" s="218">
        <f t="shared" si="2"/>
        <v>0</v>
      </c>
    </row>
    <row r="165" spans="1:7" s="8" customFormat="1" hidden="1">
      <c r="A165" s="3" t="s">
        <v>80</v>
      </c>
      <c r="B165" s="251" t="s">
        <v>65</v>
      </c>
      <c r="C165" s="250"/>
      <c r="D165" s="217">
        <v>26.45</v>
      </c>
      <c r="E165" s="218">
        <f t="shared" si="2"/>
        <v>0</v>
      </c>
      <c r="F165" s="252"/>
      <c r="G165" s="252"/>
    </row>
    <row r="166" spans="1:7" hidden="1">
      <c r="A166" s="2" t="s">
        <v>81</v>
      </c>
      <c r="B166" s="219" t="s">
        <v>77</v>
      </c>
      <c r="C166" s="250"/>
      <c r="D166" s="217">
        <v>18.989999999999998</v>
      </c>
      <c r="E166" s="218">
        <f t="shared" si="2"/>
        <v>0</v>
      </c>
    </row>
    <row r="167" spans="1:7" hidden="1">
      <c r="A167" s="2" t="s">
        <v>82</v>
      </c>
      <c r="B167" s="219" t="s">
        <v>83</v>
      </c>
      <c r="C167" s="250"/>
      <c r="D167" s="217">
        <v>16</v>
      </c>
      <c r="E167" s="218">
        <f t="shared" si="2"/>
        <v>0</v>
      </c>
    </row>
    <row r="168" spans="1:7" hidden="1">
      <c r="A168" s="2" t="s">
        <v>84</v>
      </c>
      <c r="B168" s="219" t="s">
        <v>85</v>
      </c>
      <c r="C168" s="253">
        <v>1</v>
      </c>
      <c r="D168" s="217"/>
      <c r="E168" s="221">
        <f>C168*D168</f>
        <v>0</v>
      </c>
    </row>
    <row r="169" spans="1:7" hidden="1">
      <c r="A169" s="2" t="s">
        <v>40</v>
      </c>
      <c r="B169" s="219" t="s">
        <v>41</v>
      </c>
      <c r="C169" s="254">
        <f>E39+E40</f>
        <v>0</v>
      </c>
      <c r="D169" s="221">
        <f>+SUM(E158:E168)</f>
        <v>0</v>
      </c>
      <c r="E169" s="221">
        <f>C169*D169</f>
        <v>0</v>
      </c>
    </row>
    <row r="170" spans="1:7" hidden="1">
      <c r="D170" s="229" t="s">
        <v>42</v>
      </c>
      <c r="E170" s="230">
        <f>$B$49</f>
        <v>0.95</v>
      </c>
      <c r="F170" s="231">
        <f>E169*E170</f>
        <v>0</v>
      </c>
    </row>
    <row r="171" spans="1:7" ht="11.25" hidden="1" customHeight="1"/>
    <row r="172" spans="1:7" ht="13.9" hidden="1" customHeight="1">
      <c r="A172" s="5" t="s">
        <v>86</v>
      </c>
    </row>
    <row r="173" spans="1:7" ht="11.25" hidden="1" customHeight="1"/>
    <row r="174" spans="1:7" ht="24" hidden="1">
      <c r="A174" s="212" t="s">
        <v>21</v>
      </c>
      <c r="B174" s="213" t="s">
        <v>22</v>
      </c>
      <c r="C174" s="249" t="s">
        <v>71</v>
      </c>
      <c r="D174" s="214" t="s">
        <v>23</v>
      </c>
      <c r="E174" s="214" t="s">
        <v>24</v>
      </c>
      <c r="F174" s="215" t="s">
        <v>25</v>
      </c>
    </row>
    <row r="175" spans="1:7" hidden="1">
      <c r="A175" s="1" t="s">
        <v>72</v>
      </c>
      <c r="B175" s="216" t="s">
        <v>65</v>
      </c>
      <c r="C175" s="250"/>
      <c r="D175" s="218">
        <f>+D158</f>
        <v>47.38</v>
      </c>
      <c r="E175" s="218">
        <f t="shared" ref="E175:E180" si="3">IFERROR(D175/C175,0)</f>
        <v>0</v>
      </c>
    </row>
    <row r="176" spans="1:7" hidden="1">
      <c r="A176" s="2" t="s">
        <v>73</v>
      </c>
      <c r="B176" s="219" t="s">
        <v>65</v>
      </c>
      <c r="C176" s="250"/>
      <c r="D176" s="221">
        <f>+D159</f>
        <v>45</v>
      </c>
      <c r="E176" s="218">
        <f t="shared" si="3"/>
        <v>0</v>
      </c>
    </row>
    <row r="177" spans="1:7" hidden="1">
      <c r="A177" s="2" t="s">
        <v>74</v>
      </c>
      <c r="B177" s="219" t="s">
        <v>65</v>
      </c>
      <c r="C177" s="250"/>
      <c r="D177" s="221">
        <f>+D160</f>
        <v>30</v>
      </c>
      <c r="E177" s="218">
        <f t="shared" si="3"/>
        <v>0</v>
      </c>
    </row>
    <row r="178" spans="1:7" hidden="1">
      <c r="A178" s="2" t="s">
        <v>76</v>
      </c>
      <c r="B178" s="219" t="s">
        <v>77</v>
      </c>
      <c r="C178" s="250"/>
      <c r="D178" s="221">
        <f>+D162</f>
        <v>58.9</v>
      </c>
      <c r="E178" s="218">
        <f t="shared" si="3"/>
        <v>0</v>
      </c>
    </row>
    <row r="179" spans="1:7" hidden="1">
      <c r="A179" s="2" t="s">
        <v>79</v>
      </c>
      <c r="B179" s="219" t="s">
        <v>65</v>
      </c>
      <c r="C179" s="250"/>
      <c r="D179" s="221">
        <f>+D164</f>
        <v>37.9</v>
      </c>
      <c r="E179" s="218">
        <f t="shared" si="3"/>
        <v>0</v>
      </c>
      <c r="G179" s="5"/>
    </row>
    <row r="180" spans="1:7" hidden="1">
      <c r="A180" s="2" t="s">
        <v>82</v>
      </c>
      <c r="B180" s="219" t="s">
        <v>83</v>
      </c>
      <c r="C180" s="250"/>
      <c r="D180" s="221">
        <f>+D167</f>
        <v>16</v>
      </c>
      <c r="E180" s="218">
        <f t="shared" si="3"/>
        <v>0</v>
      </c>
      <c r="G180" s="5"/>
    </row>
    <row r="181" spans="1:7" hidden="1">
      <c r="A181" s="2" t="s">
        <v>84</v>
      </c>
      <c r="B181" s="219" t="s">
        <v>85</v>
      </c>
      <c r="C181" s="253">
        <v>1</v>
      </c>
      <c r="D181" s="217"/>
      <c r="E181" s="221">
        <f>C181*D181</f>
        <v>0</v>
      </c>
      <c r="G181" s="5"/>
    </row>
    <row r="182" spans="1:7" hidden="1">
      <c r="A182" s="2" t="s">
        <v>40</v>
      </c>
      <c r="B182" s="219" t="s">
        <v>41</v>
      </c>
      <c r="C182" s="254">
        <f>E41+E42</f>
        <v>1</v>
      </c>
      <c r="D182" s="221">
        <f>+SUM(E175:E181)</f>
        <v>0</v>
      </c>
      <c r="E182" s="221">
        <f>C182*D182</f>
        <v>0</v>
      </c>
      <c r="G182" s="5"/>
    </row>
    <row r="183" spans="1:7" hidden="1">
      <c r="D183" s="229" t="s">
        <v>42</v>
      </c>
      <c r="E183" s="230">
        <f>$B$49</f>
        <v>0.95</v>
      </c>
      <c r="F183" s="231">
        <f>E182*E183</f>
        <v>0</v>
      </c>
      <c r="G183" s="5"/>
    </row>
    <row r="184" spans="1:7" ht="11.25" hidden="1" customHeight="1">
      <c r="G184" s="5"/>
    </row>
    <row r="185" spans="1:7" hidden="1">
      <c r="A185" s="246" t="s">
        <v>87</v>
      </c>
      <c r="B185" s="255"/>
      <c r="C185" s="255"/>
      <c r="D185" s="256"/>
      <c r="E185" s="257"/>
      <c r="F185" s="258">
        <f>+F170+F183</f>
        <v>0</v>
      </c>
      <c r="G185" s="5"/>
    </row>
    <row r="186" spans="1:7" ht="11.25" hidden="1" customHeight="1">
      <c r="G186" s="5"/>
    </row>
    <row r="187" spans="1:7">
      <c r="A187" s="9" t="s">
        <v>88</v>
      </c>
      <c r="G187" s="5"/>
    </row>
    <row r="188" spans="1:7" ht="11.25" hidden="1" customHeight="1">
      <c r="B188" s="259"/>
      <c r="G188" s="5"/>
    </row>
    <row r="189" spans="1:7">
      <c r="A189" s="5" t="s">
        <v>89</v>
      </c>
      <c r="G189" s="5"/>
    </row>
    <row r="190" spans="1:7" ht="13.5" thickBot="1">
      <c r="A190" s="5" t="s">
        <v>90</v>
      </c>
      <c r="G190" s="5"/>
    </row>
    <row r="191" spans="1:7">
      <c r="A191" s="212" t="s">
        <v>21</v>
      </c>
      <c r="B191" s="213" t="s">
        <v>22</v>
      </c>
      <c r="C191" s="213" t="s">
        <v>14</v>
      </c>
      <c r="D191" s="214" t="s">
        <v>23</v>
      </c>
      <c r="E191" s="214" t="s">
        <v>24</v>
      </c>
      <c r="F191" s="215" t="s">
        <v>25</v>
      </c>
      <c r="G191" s="5"/>
    </row>
    <row r="192" spans="1:7">
      <c r="A192" s="1" t="s">
        <v>91</v>
      </c>
      <c r="B192" s="216" t="s">
        <v>65</v>
      </c>
      <c r="C192" s="260">
        <v>1</v>
      </c>
      <c r="D192" s="217">
        <v>304900</v>
      </c>
      <c r="E192" s="218">
        <f>C192*D192</f>
        <v>304900</v>
      </c>
      <c r="G192" s="261"/>
    </row>
    <row r="193" spans="1:10">
      <c r="A193" s="2" t="s">
        <v>92</v>
      </c>
      <c r="B193" s="219" t="s">
        <v>93</v>
      </c>
      <c r="C193" s="228">
        <v>15</v>
      </c>
      <c r="D193" s="222"/>
      <c r="E193" s="221"/>
      <c r="G193" s="261"/>
    </row>
    <row r="194" spans="1:10">
      <c r="A194" s="2" t="s">
        <v>94</v>
      </c>
      <c r="B194" s="219" t="s">
        <v>93</v>
      </c>
      <c r="C194" s="228">
        <v>0</v>
      </c>
      <c r="D194" s="221"/>
      <c r="E194" s="221"/>
      <c r="F194" s="37"/>
      <c r="G194" s="262"/>
      <c r="I194" s="291"/>
      <c r="J194" s="291"/>
    </row>
    <row r="195" spans="1:10">
      <c r="A195" s="2" t="s">
        <v>95</v>
      </c>
      <c r="B195" s="219" t="s">
        <v>8</v>
      </c>
      <c r="C195" s="227">
        <v>65.180000000000007</v>
      </c>
      <c r="D195" s="221">
        <f>E192</f>
        <v>304900</v>
      </c>
      <c r="E195" s="221">
        <f>C195*D195/100</f>
        <v>198733.82000000004</v>
      </c>
      <c r="G195" s="262"/>
    </row>
    <row r="196" spans="1:10">
      <c r="A196" s="263" t="s">
        <v>96</v>
      </c>
      <c r="B196" s="264" t="s">
        <v>27</v>
      </c>
      <c r="C196" s="264">
        <f>C193*12</f>
        <v>180</v>
      </c>
      <c r="D196" s="265">
        <f>IF(C194&lt;=C193,E195,0)</f>
        <v>198733.82000000004</v>
      </c>
      <c r="E196" s="265">
        <f>IFERROR(D196/C196,0)</f>
        <v>1104.076777777778</v>
      </c>
    </row>
    <row r="197" spans="1:10">
      <c r="A197" s="223" t="s">
        <v>97</v>
      </c>
      <c r="B197" s="224"/>
      <c r="C197" s="224"/>
      <c r="D197" s="225"/>
      <c r="E197" s="226">
        <f>E196</f>
        <v>1104.076777777778</v>
      </c>
    </row>
    <row r="198" spans="1:10">
      <c r="A198" s="234" t="s">
        <v>98</v>
      </c>
      <c r="B198" s="266" t="s">
        <v>65</v>
      </c>
      <c r="C198" s="228">
        <v>1</v>
      </c>
      <c r="D198" s="235">
        <f>E197</f>
        <v>1104.076777777778</v>
      </c>
      <c r="E198" s="226">
        <f>C198*D198</f>
        <v>1104.076777777778</v>
      </c>
    </row>
    <row r="199" spans="1:10">
      <c r="A199" s="267"/>
      <c r="B199" s="267"/>
      <c r="C199" s="267"/>
      <c r="D199" s="229" t="s">
        <v>42</v>
      </c>
      <c r="E199" s="230">
        <f>$B$49</f>
        <v>0.95</v>
      </c>
      <c r="F199" s="258">
        <f>E198*E199</f>
        <v>1048.8729388888892</v>
      </c>
    </row>
    <row r="201" spans="1:10">
      <c r="A201" s="5" t="s">
        <v>99</v>
      </c>
    </row>
    <row r="202" spans="1:10">
      <c r="A202" s="268" t="s">
        <v>21</v>
      </c>
      <c r="B202" s="269" t="s">
        <v>22</v>
      </c>
      <c r="C202" s="269" t="s">
        <v>14</v>
      </c>
      <c r="D202" s="214" t="s">
        <v>23</v>
      </c>
      <c r="E202" s="270" t="s">
        <v>24</v>
      </c>
      <c r="F202" s="215" t="s">
        <v>25</v>
      </c>
      <c r="I202" s="291"/>
      <c r="J202" s="291"/>
    </row>
    <row r="203" spans="1:10">
      <c r="A203" s="2" t="s">
        <v>100</v>
      </c>
      <c r="B203" s="219" t="s">
        <v>65</v>
      </c>
      <c r="C203" s="260">
        <v>1</v>
      </c>
      <c r="D203" s="221">
        <f>D192</f>
        <v>304900</v>
      </c>
      <c r="E203" s="221">
        <f>C203*D203</f>
        <v>304900</v>
      </c>
      <c r="F203" s="37"/>
      <c r="I203" s="291"/>
      <c r="J203" s="291"/>
    </row>
    <row r="204" spans="1:10">
      <c r="A204" s="271" t="s">
        <v>101</v>
      </c>
      <c r="B204" s="219" t="s">
        <v>8</v>
      </c>
      <c r="C204" s="228">
        <v>10.75</v>
      </c>
      <c r="D204" s="221"/>
      <c r="E204" s="221"/>
      <c r="F204" s="37"/>
      <c r="I204" s="291"/>
      <c r="J204" s="291"/>
    </row>
    <row r="205" spans="1:10">
      <c r="A205" s="2" t="s">
        <v>102</v>
      </c>
      <c r="B205" s="219" t="s">
        <v>34</v>
      </c>
      <c r="C205" s="272">
        <f>IFERROR(IF(C194&lt;=C193,E192-(C195/(100*C193)*C194)*E192,E192-E195),0)</f>
        <v>304900</v>
      </c>
      <c r="D205" s="221"/>
      <c r="E205" s="221"/>
      <c r="F205" s="37"/>
      <c r="I205" s="291"/>
      <c r="J205" s="291"/>
    </row>
    <row r="206" spans="1:10">
      <c r="A206" s="2" t="s">
        <v>103</v>
      </c>
      <c r="B206" s="219" t="s">
        <v>34</v>
      </c>
      <c r="C206" s="222">
        <f>IFERROR(IF(C194&gt;=C193,C205,((((C205)-(E192-E195))*(((C193-C194)+1)/(2*(C193-C194))))+(E192-E195))),0)</f>
        <v>212157.55066666665</v>
      </c>
      <c r="D206" s="221"/>
      <c r="E206" s="221"/>
      <c r="F206" s="37"/>
      <c r="I206" s="291"/>
      <c r="J206" s="291"/>
    </row>
    <row r="207" spans="1:10">
      <c r="A207" s="263" t="s">
        <v>104</v>
      </c>
      <c r="B207" s="264" t="s">
        <v>34</v>
      </c>
      <c r="C207" s="264"/>
      <c r="D207" s="273">
        <f>C204*C206/12/100</f>
        <v>1900.5780580555554</v>
      </c>
      <c r="E207" s="265">
        <f>D207</f>
        <v>1900.5780580555554</v>
      </c>
      <c r="F207" s="37"/>
      <c r="I207" s="291"/>
      <c r="J207" s="291"/>
    </row>
    <row r="208" spans="1:10">
      <c r="A208" s="223" t="s">
        <v>97</v>
      </c>
      <c r="B208" s="224"/>
      <c r="C208" s="224"/>
      <c r="D208" s="225"/>
      <c r="E208" s="226">
        <f>E207</f>
        <v>1900.5780580555554</v>
      </c>
      <c r="F208" s="37"/>
      <c r="I208" s="291"/>
      <c r="J208" s="291"/>
    </row>
    <row r="209" spans="1:10">
      <c r="A209" s="234" t="s">
        <v>98</v>
      </c>
      <c r="B209" s="266" t="s">
        <v>65</v>
      </c>
      <c r="C209" s="274">
        <f>C198</f>
        <v>1</v>
      </c>
      <c r="D209" s="235">
        <f>E208</f>
        <v>1900.5780580555554</v>
      </c>
      <c r="E209" s="226">
        <f>C209*D209</f>
        <v>1900.5780580555554</v>
      </c>
      <c r="F209" s="37"/>
      <c r="I209" s="291"/>
      <c r="J209" s="291"/>
    </row>
    <row r="210" spans="1:10">
      <c r="C210" s="32"/>
      <c r="D210" s="229" t="s">
        <v>42</v>
      </c>
      <c r="E210" s="230">
        <f>$B$49</f>
        <v>0.95</v>
      </c>
      <c r="F210" s="258">
        <f>E209*E210</f>
        <v>1805.5491551527775</v>
      </c>
      <c r="I210" s="291"/>
      <c r="J210" s="291"/>
    </row>
    <row r="211" spans="1:10">
      <c r="I211" s="291"/>
      <c r="J211" s="291"/>
    </row>
    <row r="212" spans="1:10">
      <c r="A212" s="5" t="s">
        <v>105</v>
      </c>
      <c r="I212" s="291"/>
      <c r="J212" s="291"/>
    </row>
    <row r="213" spans="1:10">
      <c r="A213" s="212" t="s">
        <v>21</v>
      </c>
      <c r="B213" s="213" t="s">
        <v>22</v>
      </c>
      <c r="C213" s="213" t="s">
        <v>14</v>
      </c>
      <c r="D213" s="214" t="s">
        <v>23</v>
      </c>
      <c r="E213" s="214" t="s">
        <v>24</v>
      </c>
      <c r="F213" s="215" t="s">
        <v>25</v>
      </c>
      <c r="I213" s="291"/>
      <c r="J213" s="291"/>
    </row>
    <row r="214" spans="1:10">
      <c r="A214" s="1" t="s">
        <v>106</v>
      </c>
      <c r="B214" s="216" t="s">
        <v>65</v>
      </c>
      <c r="C214" s="218">
        <f>C198</f>
        <v>1</v>
      </c>
      <c r="D214" s="218">
        <f>0.01*(E192)</f>
        <v>3049</v>
      </c>
      <c r="E214" s="218">
        <f>C214*D214</f>
        <v>3049</v>
      </c>
      <c r="I214" s="291"/>
      <c r="J214" s="291"/>
    </row>
    <row r="215" spans="1:10">
      <c r="A215" s="2" t="s">
        <v>107</v>
      </c>
      <c r="B215" s="219" t="s">
        <v>65</v>
      </c>
      <c r="C215" s="218">
        <f>C198</f>
        <v>1</v>
      </c>
      <c r="D215" s="245">
        <v>1500</v>
      </c>
      <c r="E215" s="221">
        <f>C215*D215</f>
        <v>1500</v>
      </c>
      <c r="I215" s="291"/>
      <c r="J215" s="291"/>
    </row>
    <row r="216" spans="1:10">
      <c r="A216" s="2" t="s">
        <v>108</v>
      </c>
      <c r="B216" s="219" t="s">
        <v>65</v>
      </c>
      <c r="C216" s="218">
        <f>C198</f>
        <v>1</v>
      </c>
      <c r="D216" s="245">
        <v>2500</v>
      </c>
      <c r="E216" s="221">
        <f>C216*D216</f>
        <v>2500</v>
      </c>
      <c r="F216" s="275"/>
      <c r="I216" s="291"/>
      <c r="J216" s="291"/>
    </row>
    <row r="217" spans="1:10">
      <c r="A217" s="234" t="s">
        <v>109</v>
      </c>
      <c r="B217" s="266" t="s">
        <v>27</v>
      </c>
      <c r="C217" s="266">
        <v>12</v>
      </c>
      <c r="D217" s="235">
        <f>SUM(E214:E216)</f>
        <v>7049</v>
      </c>
      <c r="E217" s="235">
        <f>D217/C217</f>
        <v>587.41666666666663</v>
      </c>
      <c r="I217" s="291"/>
      <c r="J217" s="291"/>
    </row>
    <row r="218" spans="1:10" ht="13.5" thickBot="1">
      <c r="D218" s="229" t="s">
        <v>42</v>
      </c>
      <c r="E218" s="230">
        <f>$B$49</f>
        <v>0.95</v>
      </c>
      <c r="F218" s="231">
        <f>E217*E218</f>
        <v>558.04583333333323</v>
      </c>
      <c r="I218" s="291"/>
      <c r="J218" s="291"/>
    </row>
    <row r="219" spans="1:10" ht="11.25" hidden="1" customHeight="1">
      <c r="I219" s="291"/>
      <c r="J219" s="291"/>
    </row>
    <row r="220" spans="1:10">
      <c r="A220" s="5" t="s">
        <v>110</v>
      </c>
      <c r="B220" s="276"/>
      <c r="I220" s="291"/>
      <c r="J220" s="291"/>
    </row>
    <row r="221" spans="1:10">
      <c r="B221" s="276"/>
      <c r="I221" s="291"/>
      <c r="J221" s="291"/>
    </row>
    <row r="222" spans="1:10">
      <c r="A222" s="234" t="s">
        <v>111</v>
      </c>
      <c r="B222" s="277">
        <v>4833</v>
      </c>
      <c r="I222" s="291"/>
      <c r="J222" s="291"/>
    </row>
    <row r="223" spans="1:10">
      <c r="B223" s="276"/>
      <c r="I223" s="291"/>
      <c r="J223" s="291"/>
    </row>
    <row r="224" spans="1:10">
      <c r="A224" s="212" t="s">
        <v>21</v>
      </c>
      <c r="B224" s="213" t="s">
        <v>22</v>
      </c>
      <c r="C224" s="213" t="s">
        <v>112</v>
      </c>
      <c r="D224" s="214" t="s">
        <v>23</v>
      </c>
      <c r="E224" s="214" t="s">
        <v>24</v>
      </c>
      <c r="F224" s="215" t="s">
        <v>25</v>
      </c>
      <c r="I224" s="291"/>
      <c r="J224" s="291"/>
    </row>
    <row r="225" spans="1:10">
      <c r="A225" s="1" t="s">
        <v>113</v>
      </c>
      <c r="B225" s="216" t="s">
        <v>114</v>
      </c>
      <c r="C225" s="278">
        <v>7</v>
      </c>
      <c r="D225" s="279">
        <v>5.77</v>
      </c>
      <c r="E225" s="218"/>
      <c r="I225" s="291"/>
      <c r="J225" s="291"/>
    </row>
    <row r="226" spans="1:10">
      <c r="A226" s="2" t="s">
        <v>115</v>
      </c>
      <c r="B226" s="219" t="s">
        <v>116</v>
      </c>
      <c r="C226" s="239">
        <f>B222</f>
        <v>4833</v>
      </c>
      <c r="D226" s="280">
        <f>IFERROR(+D225/C225,"-")</f>
        <v>0.82428571428571418</v>
      </c>
      <c r="E226" s="221">
        <f>IFERROR(C226*D226,"-")</f>
        <v>3983.7728571428565</v>
      </c>
      <c r="I226" s="291"/>
      <c r="J226" s="291"/>
    </row>
    <row r="227" spans="1:10" hidden="1">
      <c r="A227" s="2" t="s">
        <v>117</v>
      </c>
      <c r="B227" s="219" t="s">
        <v>118</v>
      </c>
      <c r="C227" s="281"/>
      <c r="D227" s="245">
        <v>210</v>
      </c>
      <c r="E227" s="221"/>
      <c r="G227" s="282"/>
      <c r="H227" s="283"/>
      <c r="I227" s="291"/>
      <c r="J227" s="291"/>
    </row>
    <row r="228" spans="1:10" hidden="1">
      <c r="A228" s="2" t="s">
        <v>119</v>
      </c>
      <c r="B228" s="219" t="s">
        <v>116</v>
      </c>
      <c r="C228" s="239">
        <f>C226</f>
        <v>4833</v>
      </c>
      <c r="D228" s="284">
        <f>+C227*D227/10000</f>
        <v>0</v>
      </c>
      <c r="E228" s="221">
        <f>C228*D228</f>
        <v>0</v>
      </c>
      <c r="G228" s="282"/>
      <c r="H228" s="283"/>
      <c r="I228" s="291"/>
      <c r="J228" s="291"/>
    </row>
    <row r="229" spans="1:10">
      <c r="A229" s="2" t="s">
        <v>120</v>
      </c>
      <c r="B229" s="219" t="s">
        <v>121</v>
      </c>
      <c r="C229" s="239"/>
      <c r="D229" s="280"/>
      <c r="E229" s="221">
        <f>IFERROR(C229*D229,"-")</f>
        <v>0</v>
      </c>
      <c r="I229" s="291"/>
      <c r="J229" s="291"/>
    </row>
    <row r="230" spans="1:10" ht="13.5" thickBot="1">
      <c r="A230" s="234" t="s">
        <v>122</v>
      </c>
      <c r="B230" s="266" t="s">
        <v>123</v>
      </c>
      <c r="C230" s="285"/>
      <c r="D230" s="286">
        <f>IFERROR(D226+D228+#REF!+#REF!+#REF!,0)</f>
        <v>0</v>
      </c>
      <c r="E230" s="221"/>
      <c r="G230" s="282"/>
      <c r="H230" s="283"/>
      <c r="I230" s="291"/>
      <c r="J230" s="291"/>
    </row>
    <row r="231" spans="1:10">
      <c r="F231" s="258">
        <f>SUM(E225:E229)</f>
        <v>3983.7728571428565</v>
      </c>
      <c r="I231" s="291"/>
      <c r="J231" s="291"/>
    </row>
    <row r="232" spans="1:10" ht="11.25" customHeight="1">
      <c r="I232" s="291"/>
      <c r="J232" s="291"/>
    </row>
    <row r="233" spans="1:10">
      <c r="A233" s="5" t="s">
        <v>124</v>
      </c>
      <c r="I233" s="291"/>
      <c r="J233" s="291"/>
    </row>
    <row r="234" spans="1:10">
      <c r="A234" s="212" t="s">
        <v>21</v>
      </c>
      <c r="B234" s="213" t="s">
        <v>22</v>
      </c>
      <c r="C234" s="213" t="s">
        <v>14</v>
      </c>
      <c r="D234" s="214" t="s">
        <v>23</v>
      </c>
      <c r="E234" s="214" t="s">
        <v>24</v>
      </c>
      <c r="F234" s="215" t="s">
        <v>25</v>
      </c>
      <c r="I234" s="291"/>
      <c r="J234" s="291"/>
    </row>
    <row r="235" spans="1:10">
      <c r="A235" s="1" t="s">
        <v>125</v>
      </c>
      <c r="B235" s="216" t="s">
        <v>123</v>
      </c>
      <c r="C235" s="239">
        <f>C226</f>
        <v>4833</v>
      </c>
      <c r="D235" s="217">
        <v>0.12</v>
      </c>
      <c r="E235" s="218">
        <f>C235*D235</f>
        <v>579.95999999999992</v>
      </c>
      <c r="I235" s="291"/>
      <c r="J235" s="291"/>
    </row>
    <row r="236" spans="1:10">
      <c r="F236" s="258">
        <f>E235</f>
        <v>579.95999999999992</v>
      </c>
      <c r="I236" s="291"/>
      <c r="J236" s="291"/>
    </row>
    <row r="237" spans="1:10" ht="11.25" customHeight="1">
      <c r="I237" s="291"/>
      <c r="J237" s="291"/>
    </row>
    <row r="238" spans="1:10">
      <c r="A238" s="5" t="s">
        <v>126</v>
      </c>
      <c r="I238" s="291"/>
      <c r="J238" s="291"/>
    </row>
    <row r="239" spans="1:10">
      <c r="A239" s="212" t="s">
        <v>21</v>
      </c>
      <c r="B239" s="213" t="s">
        <v>22</v>
      </c>
      <c r="C239" s="213" t="s">
        <v>14</v>
      </c>
      <c r="D239" s="214" t="s">
        <v>23</v>
      </c>
      <c r="E239" s="214" t="s">
        <v>24</v>
      </c>
      <c r="F239" s="215" t="s">
        <v>25</v>
      </c>
      <c r="I239" s="291"/>
      <c r="J239" s="291"/>
    </row>
    <row r="240" spans="1:10">
      <c r="A240" s="1" t="s">
        <v>127</v>
      </c>
      <c r="B240" s="216" t="s">
        <v>65</v>
      </c>
      <c r="C240" s="287">
        <v>4</v>
      </c>
      <c r="D240" s="217">
        <v>850</v>
      </c>
      <c r="E240" s="218">
        <f>C240*D240</f>
        <v>3400</v>
      </c>
      <c r="I240" s="291"/>
      <c r="J240" s="291"/>
    </row>
    <row r="241" spans="1:10">
      <c r="A241" s="2" t="s">
        <v>128</v>
      </c>
      <c r="B241" s="219" t="s">
        <v>129</v>
      </c>
      <c r="C241" s="288">
        <v>40000</v>
      </c>
      <c r="D241" s="221">
        <f>E240</f>
        <v>3400</v>
      </c>
      <c r="E241" s="221">
        <f>IFERROR(D241/C241,"-")</f>
        <v>8.5000000000000006E-2</v>
      </c>
      <c r="I241" s="291"/>
      <c r="J241" s="291"/>
    </row>
    <row r="242" spans="1:10">
      <c r="A242" s="2" t="s">
        <v>130</v>
      </c>
      <c r="B242" s="219" t="s">
        <v>116</v>
      </c>
      <c r="C242" s="239">
        <f>B222</f>
        <v>4833</v>
      </c>
      <c r="D242" s="221">
        <f>E241</f>
        <v>8.5000000000000006E-2</v>
      </c>
      <c r="E242" s="221">
        <f>IFERROR(C242*D242,0)</f>
        <v>410.80500000000001</v>
      </c>
      <c r="I242" s="291"/>
      <c r="J242" s="291"/>
    </row>
    <row r="243" spans="1:10" ht="13.5" thickBot="1">
      <c r="F243" s="258">
        <f>E242</f>
        <v>410.80500000000001</v>
      </c>
      <c r="I243" s="291"/>
      <c r="J243" s="291"/>
    </row>
    <row r="244" spans="1:10" ht="11.25" hidden="1" customHeight="1">
      <c r="G244" s="5"/>
    </row>
    <row r="245" spans="1:10" ht="11.25" customHeight="1" thickBot="1">
      <c r="G245" s="5"/>
    </row>
    <row r="246" spans="1:10" ht="13.5" thickBot="1">
      <c r="A246" s="246" t="s">
        <v>131</v>
      </c>
      <c r="B246" s="247"/>
      <c r="C246" s="247"/>
      <c r="D246" s="185"/>
      <c r="E246" s="248"/>
      <c r="F246" s="258">
        <f>+SUM(F189:F245)</f>
        <v>8387.0057845178562</v>
      </c>
      <c r="G246" s="5"/>
    </row>
    <row r="247" spans="1:10" ht="11.25" customHeight="1">
      <c r="G247" s="5"/>
    </row>
    <row r="248" spans="1:10" hidden="1">
      <c r="A248" s="210" t="s">
        <v>132</v>
      </c>
      <c r="B248" s="210"/>
      <c r="C248" s="210"/>
      <c r="D248" s="209"/>
      <c r="E248" s="209"/>
      <c r="F248" s="289"/>
      <c r="G248" s="5"/>
    </row>
    <row r="249" spans="1:10" ht="11.25" hidden="1" customHeight="1">
      <c r="G249" s="5"/>
    </row>
    <row r="250" spans="1:10" hidden="1">
      <c r="A250" s="212" t="s">
        <v>21</v>
      </c>
      <c r="B250" s="213" t="s">
        <v>22</v>
      </c>
      <c r="C250" s="213" t="s">
        <v>14</v>
      </c>
      <c r="D250" s="214" t="s">
        <v>23</v>
      </c>
      <c r="E250" s="214" t="s">
        <v>24</v>
      </c>
      <c r="F250" s="215" t="s">
        <v>25</v>
      </c>
      <c r="G250" s="5"/>
    </row>
    <row r="251" spans="1:10" hidden="1">
      <c r="A251" s="2" t="s">
        <v>133</v>
      </c>
      <c r="B251" s="219" t="s">
        <v>65</v>
      </c>
      <c r="C251" s="250"/>
      <c r="D251" s="217">
        <v>45</v>
      </c>
      <c r="E251" s="221">
        <f>C251*D251</f>
        <v>0</v>
      </c>
      <c r="F251" s="290"/>
      <c r="G251" s="5"/>
    </row>
    <row r="252" spans="1:10" hidden="1">
      <c r="A252" s="2" t="s">
        <v>134</v>
      </c>
      <c r="B252" s="219" t="s">
        <v>65</v>
      </c>
      <c r="C252" s="250"/>
      <c r="D252" s="217">
        <v>17</v>
      </c>
      <c r="E252" s="221">
        <f>C252*D252</f>
        <v>0</v>
      </c>
      <c r="F252" s="290"/>
      <c r="G252" s="5"/>
    </row>
    <row r="253" spans="1:10" hidden="1">
      <c r="A253" s="2" t="s">
        <v>135</v>
      </c>
      <c r="B253" s="219" t="s">
        <v>65</v>
      </c>
      <c r="C253" s="250"/>
      <c r="D253" s="217">
        <v>20</v>
      </c>
      <c r="E253" s="221">
        <f>C253*D253</f>
        <v>0</v>
      </c>
      <c r="F253" s="290"/>
      <c r="G253" s="5"/>
    </row>
    <row r="254" spans="1:10" hidden="1">
      <c r="A254" s="2" t="s">
        <v>136</v>
      </c>
      <c r="B254" s="219" t="s">
        <v>137</v>
      </c>
      <c r="C254" s="250"/>
      <c r="D254" s="217"/>
      <c r="E254" s="221">
        <f>C254*D254</f>
        <v>0</v>
      </c>
      <c r="F254" s="290"/>
      <c r="G254" s="5"/>
    </row>
    <row r="255" spans="1:10" hidden="1">
      <c r="A255" s="2" t="s">
        <v>138</v>
      </c>
      <c r="B255" s="219" t="s">
        <v>137</v>
      </c>
      <c r="C255" s="250"/>
      <c r="D255" s="217"/>
      <c r="E255" s="221">
        <f>C255*D255</f>
        <v>0</v>
      </c>
      <c r="F255" s="290"/>
      <c r="G255" s="5"/>
    </row>
    <row r="256" spans="1:10" hidden="1">
      <c r="A256" s="210"/>
      <c r="B256" s="210"/>
      <c r="C256" s="210"/>
      <c r="D256" s="210"/>
      <c r="E256" s="209"/>
      <c r="F256" s="258">
        <f>SUM(E251:E255)</f>
        <v>0</v>
      </c>
      <c r="G256" s="5"/>
    </row>
    <row r="257" spans="1:7" ht="11.25" hidden="1" customHeight="1">
      <c r="G257" s="5"/>
    </row>
    <row r="258" spans="1:7" hidden="1">
      <c r="A258" s="246" t="s">
        <v>139</v>
      </c>
      <c r="B258" s="247"/>
      <c r="C258" s="247"/>
      <c r="D258" s="185"/>
      <c r="E258" s="248"/>
      <c r="F258" s="258">
        <f>+F256</f>
        <v>0</v>
      </c>
      <c r="G258" s="5"/>
    </row>
    <row r="259" spans="1:7" ht="11.25" hidden="1" customHeight="1">
      <c r="G259" s="5"/>
    </row>
    <row r="260" spans="1:7" ht="13.5" thickBot="1">
      <c r="A260" s="210" t="s">
        <v>140</v>
      </c>
      <c r="B260" s="210"/>
      <c r="C260" s="210"/>
      <c r="D260" s="209"/>
      <c r="E260" s="209"/>
      <c r="F260" s="289"/>
    </row>
    <row r="261" spans="1:7" ht="11.25" hidden="1" customHeight="1"/>
    <row r="262" spans="1:7" ht="13.5" thickBot="1">
      <c r="A262" s="212" t="s">
        <v>21</v>
      </c>
      <c r="B262" s="213" t="s">
        <v>22</v>
      </c>
      <c r="C262" s="213" t="s">
        <v>14</v>
      </c>
      <c r="D262" s="214" t="s">
        <v>23</v>
      </c>
      <c r="E262" s="214" t="s">
        <v>24</v>
      </c>
      <c r="F262" s="215" t="s">
        <v>25</v>
      </c>
    </row>
    <row r="263" spans="1:7">
      <c r="A263" s="2" t="s">
        <v>141</v>
      </c>
      <c r="B263" s="292" t="s">
        <v>137</v>
      </c>
      <c r="C263" s="254">
        <f>C198</f>
        <v>1</v>
      </c>
      <c r="D263" s="245">
        <v>180</v>
      </c>
      <c r="E263" s="221">
        <f>+D263*C263</f>
        <v>180</v>
      </c>
      <c r="F263" s="290"/>
    </row>
    <row r="264" spans="1:7">
      <c r="A264" s="2" t="s">
        <v>142</v>
      </c>
      <c r="B264" s="292" t="s">
        <v>27</v>
      </c>
      <c r="C264" s="293">
        <v>12</v>
      </c>
      <c r="D264" s="294">
        <f>SUM(E263:E263)</f>
        <v>180</v>
      </c>
      <c r="E264" s="294">
        <f>+D264/C264</f>
        <v>15</v>
      </c>
      <c r="F264" s="290"/>
    </row>
    <row r="265" spans="1:7">
      <c r="A265" s="2" t="s">
        <v>143</v>
      </c>
      <c r="B265" s="295" t="s">
        <v>144</v>
      </c>
      <c r="C265" s="254">
        <f>+C263</f>
        <v>1</v>
      </c>
      <c r="D265" s="245">
        <v>120</v>
      </c>
      <c r="E265" s="221">
        <f>C265*D265</f>
        <v>120</v>
      </c>
      <c r="F265" s="290"/>
    </row>
    <row r="266" spans="1:7">
      <c r="A266" s="2" t="s">
        <v>145</v>
      </c>
      <c r="B266" s="292" t="s">
        <v>27</v>
      </c>
      <c r="C266" s="293">
        <v>1</v>
      </c>
      <c r="D266" s="294">
        <f>+E265</f>
        <v>120</v>
      </c>
      <c r="E266" s="294">
        <f>+D266/C266</f>
        <v>120</v>
      </c>
      <c r="F266" s="290"/>
    </row>
    <row r="267" spans="1:7">
      <c r="A267" s="296"/>
      <c r="B267" s="296"/>
      <c r="C267" s="296"/>
      <c r="D267" s="229" t="s">
        <v>42</v>
      </c>
      <c r="E267" s="230">
        <f>$B$49</f>
        <v>0.95</v>
      </c>
      <c r="F267" s="258">
        <f>(E264+E266)*E267</f>
        <v>128.25</v>
      </c>
    </row>
    <row r="268" spans="1:7" s="148" customFormat="1" ht="11.25" customHeight="1">
      <c r="A268" s="5"/>
      <c r="B268" s="5"/>
      <c r="C268" s="5"/>
      <c r="D268" s="149"/>
      <c r="E268" s="149"/>
      <c r="F268" s="149"/>
      <c r="G268" s="297"/>
    </row>
    <row r="269" spans="1:7">
      <c r="A269" s="246" t="s">
        <v>146</v>
      </c>
      <c r="B269" s="247"/>
      <c r="C269" s="247"/>
      <c r="D269" s="185"/>
      <c r="E269" s="248"/>
      <c r="F269" s="258">
        <f>+F267</f>
        <v>128.25</v>
      </c>
    </row>
    <row r="270" spans="1:7" ht="11.25" customHeight="1"/>
    <row r="271" spans="1:7" ht="17.25" customHeight="1">
      <c r="A271" s="246" t="s">
        <v>147</v>
      </c>
      <c r="B271" s="255"/>
      <c r="C271" s="255"/>
      <c r="D271" s="256"/>
      <c r="E271" s="257"/>
      <c r="F271" s="242">
        <f>+F151+F185+F246+F258+F269</f>
        <v>11773.052608117856</v>
      </c>
    </row>
    <row r="272" spans="1:7" ht="11.25" customHeight="1"/>
    <row r="273" spans="1:7" ht="13.5" thickBot="1">
      <c r="A273" s="9" t="s">
        <v>148</v>
      </c>
    </row>
    <row r="274" spans="1:7" ht="11.25" hidden="1" customHeight="1"/>
    <row r="275" spans="1:7" ht="13.5" thickBot="1">
      <c r="A275" s="212" t="s">
        <v>21</v>
      </c>
      <c r="B275" s="213" t="s">
        <v>22</v>
      </c>
      <c r="C275" s="213" t="s">
        <v>14</v>
      </c>
      <c r="D275" s="214" t="s">
        <v>23</v>
      </c>
      <c r="E275" s="214" t="s">
        <v>24</v>
      </c>
      <c r="F275" s="215" t="s">
        <v>25</v>
      </c>
    </row>
    <row r="276" spans="1:7" ht="13.5" thickBot="1">
      <c r="A276" s="1" t="s">
        <v>149</v>
      </c>
      <c r="B276" s="216" t="s">
        <v>8</v>
      </c>
      <c r="C276" s="227">
        <f>'4.BDI'!C18*100</f>
        <v>25.96</v>
      </c>
      <c r="D276" s="218">
        <f>+F271</f>
        <v>11773.052608117856</v>
      </c>
      <c r="E276" s="218">
        <f>C276*D276/100</f>
        <v>3056.2844570673956</v>
      </c>
    </row>
    <row r="277" spans="1:7">
      <c r="F277" s="258">
        <f>+E276</f>
        <v>3056.2844570673956</v>
      </c>
    </row>
    <row r="278" spans="1:7" ht="11.25" customHeight="1"/>
    <row r="279" spans="1:7" ht="13.5" thickBot="1">
      <c r="A279" s="246" t="s">
        <v>150</v>
      </c>
      <c r="B279" s="255"/>
      <c r="C279" s="255"/>
      <c r="D279" s="256"/>
      <c r="E279" s="257"/>
      <c r="F279" s="242">
        <f>F277</f>
        <v>3056.2844570673956</v>
      </c>
    </row>
    <row r="280" spans="1:7" hidden="1">
      <c r="A280" s="210"/>
      <c r="B280" s="210"/>
      <c r="C280" s="210"/>
      <c r="D280" s="209"/>
      <c r="E280" s="209"/>
      <c r="F280" s="289"/>
    </row>
    <row r="281" spans="1:7" ht="11.25" customHeight="1" thickBot="1"/>
    <row r="282" spans="1:7" ht="24.75" customHeight="1" thickBot="1">
      <c r="A282" s="309" t="s">
        <v>151</v>
      </c>
      <c r="B282" s="310"/>
      <c r="C282" s="310"/>
      <c r="D282" s="311"/>
      <c r="E282" s="312"/>
      <c r="F282" s="313">
        <f>F271+F279</f>
        <v>14829.337065185251</v>
      </c>
    </row>
    <row r="283" spans="1:7" ht="12.6" hidden="1" customHeight="1">
      <c r="A283" s="298"/>
      <c r="B283" s="298"/>
      <c r="C283" s="298"/>
      <c r="D283" s="299"/>
      <c r="E283" s="299"/>
      <c r="F283" s="299"/>
    </row>
    <row r="284" spans="1:7" ht="14.25" hidden="1">
      <c r="A284" s="145"/>
      <c r="B284" s="145"/>
      <c r="C284" s="145"/>
      <c r="D284" s="153"/>
      <c r="E284" s="153"/>
    </row>
    <row r="285" spans="1:7" ht="12.6" customHeight="1">
      <c r="A285" s="210"/>
      <c r="B285" s="210"/>
      <c r="C285" s="210"/>
      <c r="D285" s="209"/>
      <c r="E285" s="209"/>
      <c r="F285" s="209"/>
    </row>
    <row r="286" spans="1:7" s="144" customFormat="1" ht="15" customHeight="1">
      <c r="A286" s="300"/>
      <c r="B286" s="149"/>
      <c r="C286" s="149"/>
      <c r="D286" s="149"/>
      <c r="E286" s="149"/>
      <c r="F286" s="229" t="s">
        <v>326</v>
      </c>
      <c r="G286" s="149"/>
    </row>
    <row r="287" spans="1:7" s="144" customFormat="1" ht="9.75" customHeight="1">
      <c r="A287" s="300"/>
      <c r="B287" s="149"/>
      <c r="C287" s="149"/>
      <c r="D287" s="149"/>
      <c r="E287" s="149"/>
      <c r="F287" s="149"/>
      <c r="G287" s="149"/>
    </row>
    <row r="288" spans="1:7" s="144" customFormat="1" ht="9.75" customHeight="1">
      <c r="A288" s="300"/>
      <c r="B288" s="149"/>
      <c r="C288" s="149"/>
      <c r="D288" s="149"/>
      <c r="E288" s="149"/>
      <c r="F288" s="149"/>
      <c r="G288" s="149"/>
    </row>
    <row r="289" spans="1:5">
      <c r="C289" s="301"/>
      <c r="D289" s="302"/>
      <c r="E289" s="302"/>
    </row>
    <row r="290" spans="1:5">
      <c r="A290" s="314" t="s">
        <v>321</v>
      </c>
      <c r="D290" s="303" t="str">
        <f>'4.BDI'!C30</f>
        <v>Celso Aloísio Forneck</v>
      </c>
    </row>
    <row r="291" spans="1:5" ht="27.95" customHeight="1">
      <c r="A291" s="315" t="s">
        <v>322</v>
      </c>
      <c r="C291" s="325" t="str">
        <f>'4.BDI'!C31</f>
        <v>Prefeito Municipal de Teutônia</v>
      </c>
      <c r="D291" s="325"/>
      <c r="E291" s="326"/>
    </row>
    <row r="292" spans="1:5" hidden="1">
      <c r="B292" s="32"/>
    </row>
    <row r="299" spans="1:5">
      <c r="B299" s="238"/>
    </row>
    <row r="300" spans="1:5">
      <c r="A300" s="238"/>
    </row>
    <row r="301" spans="1:5">
      <c r="A301" s="238"/>
    </row>
    <row r="302" spans="1:5">
      <c r="A302" s="238"/>
    </row>
    <row r="303" spans="1:5">
      <c r="A303" s="238"/>
    </row>
    <row r="304" spans="1:5">
      <c r="A304" s="238"/>
    </row>
    <row r="305" spans="1:7">
      <c r="A305" s="238"/>
    </row>
    <row r="307" spans="1:7">
      <c r="A307" s="238"/>
    </row>
    <row r="318" spans="1:7" ht="9" customHeight="1">
      <c r="D318" s="5"/>
      <c r="E318" s="5"/>
      <c r="F318" s="5"/>
      <c r="G318" s="5"/>
    </row>
  </sheetData>
  <mergeCells count="10">
    <mergeCell ref="A37:E37"/>
    <mergeCell ref="A38:D38"/>
    <mergeCell ref="A45:D45"/>
    <mergeCell ref="C291:E291"/>
    <mergeCell ref="A8:F8"/>
    <mergeCell ref="A9:F9"/>
    <mergeCell ref="A11:F11"/>
    <mergeCell ref="A21:C21"/>
    <mergeCell ref="A34:D34"/>
    <mergeCell ref="A35:D35"/>
  </mergeCells>
  <hyperlinks>
    <hyperlink ref="A201" location="AbaRemun" display="2.1.2. Remuneração do Capital"/>
    <hyperlink ref="A190" location="AbaDeprec" display="2.1.1. Depreciação"/>
  </hyperlinks>
  <pageMargins left="0.90138888888888891" right="0.51180555555555551" top="0.75138888888888888" bottom="0.75138888888888888" header="0.31041666666666667" footer="0.31041666666666667"/>
  <pageSetup paperSize="9" scale="57" fitToHeight="2" orientation="portrait" r:id="rId1"/>
  <headerFooter alignWithMargins="0">
    <oddFooter>&amp;R&amp;P de &amp;N</oddFooter>
  </headerFooter>
  <rowBreaks count="3" manualBreakCount="3">
    <brk id="36" max="5" man="1"/>
    <brk id="152" max="5" man="1"/>
    <brk id="186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6"/>
  <sheetViews>
    <sheetView view="pageBreakPreview" zoomScaleNormal="100" zoomScaleSheetLayoutView="100" workbookViewId="0">
      <selection activeCell="K40" sqref="K40"/>
    </sheetView>
  </sheetViews>
  <sheetFormatPr defaultRowHeight="12.75"/>
  <cols>
    <col min="1" max="1" width="13.5703125" style="8" customWidth="1"/>
    <col min="2" max="2" width="36.7109375" style="8" customWidth="1"/>
    <col min="3" max="3" width="14.5703125" style="8" customWidth="1"/>
    <col min="4" max="4" width="37.28515625" style="33" customWidth="1"/>
    <col min="5" max="10" width="9.140625" style="8"/>
    <col min="11" max="11" width="11" style="8" customWidth="1"/>
    <col min="12" max="16384" width="9.140625" style="8"/>
  </cols>
  <sheetData>
    <row r="1" spans="1:12">
      <c r="A1" s="9" t="s">
        <v>0</v>
      </c>
    </row>
    <row r="2" spans="1:12">
      <c r="A2" s="10" t="s">
        <v>153</v>
      </c>
    </row>
    <row r="4" spans="1:12" ht="18">
      <c r="A4" s="337" t="s">
        <v>154</v>
      </c>
      <c r="B4" s="338"/>
      <c r="C4" s="339"/>
      <c r="D4" s="117"/>
      <c r="E4" s="117"/>
      <c r="F4" s="117"/>
    </row>
    <row r="5" spans="1:12" ht="14.25">
      <c r="A5" s="118" t="s">
        <v>155</v>
      </c>
      <c r="B5" s="119" t="s">
        <v>156</v>
      </c>
      <c r="C5" s="120" t="s">
        <v>157</v>
      </c>
      <c r="D5" s="92"/>
    </row>
    <row r="6" spans="1:12" ht="14.25">
      <c r="A6" s="118" t="s">
        <v>158</v>
      </c>
      <c r="B6" s="119" t="s">
        <v>159</v>
      </c>
      <c r="C6" s="121">
        <v>0.2</v>
      </c>
      <c r="D6" s="92"/>
      <c r="F6" s="33"/>
      <c r="G6" s="33"/>
      <c r="H6" s="33"/>
      <c r="I6" s="33"/>
      <c r="J6" s="33"/>
      <c r="K6" s="33"/>
      <c r="L6" s="33"/>
    </row>
    <row r="7" spans="1:12" ht="14.25">
      <c r="A7" s="118" t="s">
        <v>160</v>
      </c>
      <c r="B7" s="119" t="s">
        <v>161</v>
      </c>
      <c r="C7" s="121">
        <v>1.4999999999999999E-2</v>
      </c>
      <c r="D7" s="92"/>
      <c r="F7" s="33"/>
      <c r="G7" s="33"/>
      <c r="H7" s="33"/>
      <c r="I7" s="33"/>
      <c r="J7" s="33"/>
      <c r="K7" s="33"/>
      <c r="L7" s="33"/>
    </row>
    <row r="8" spans="1:12" ht="14.25">
      <c r="A8" s="118" t="s">
        <v>162</v>
      </c>
      <c r="B8" s="119" t="s">
        <v>163</v>
      </c>
      <c r="C8" s="121">
        <v>0.01</v>
      </c>
      <c r="D8" s="92"/>
      <c r="F8" s="33"/>
      <c r="G8" s="33"/>
      <c r="H8" s="33"/>
      <c r="I8" s="33"/>
      <c r="J8" s="33"/>
      <c r="K8" s="33"/>
      <c r="L8" s="33"/>
    </row>
    <row r="9" spans="1:12" ht="14.25">
      <c r="A9" s="118" t="s">
        <v>164</v>
      </c>
      <c r="B9" s="119" t="s">
        <v>165</v>
      </c>
      <c r="C9" s="121">
        <v>2E-3</v>
      </c>
      <c r="D9" s="92"/>
      <c r="F9" s="33"/>
      <c r="G9" s="33"/>
      <c r="H9" s="33"/>
      <c r="I9" s="33"/>
      <c r="J9" s="33"/>
      <c r="K9" s="33"/>
      <c r="L9" s="33"/>
    </row>
    <row r="10" spans="1:12" ht="14.25">
      <c r="A10" s="118" t="s">
        <v>166</v>
      </c>
      <c r="B10" s="119" t="s">
        <v>167</v>
      </c>
      <c r="C10" s="121">
        <v>6.0000000000000001E-3</v>
      </c>
      <c r="D10" s="92"/>
      <c r="F10" s="33"/>
      <c r="G10" s="33"/>
      <c r="H10" s="33"/>
      <c r="I10" s="33"/>
      <c r="J10" s="33"/>
      <c r="K10" s="33"/>
      <c r="L10" s="33"/>
    </row>
    <row r="11" spans="1:12" ht="14.25">
      <c r="A11" s="118" t="s">
        <v>168</v>
      </c>
      <c r="B11" s="119" t="s">
        <v>169</v>
      </c>
      <c r="C11" s="121">
        <v>2.5000000000000001E-2</v>
      </c>
      <c r="D11" s="92"/>
      <c r="F11" s="33"/>
      <c r="G11" s="33"/>
      <c r="H11" s="33"/>
      <c r="I11" s="33"/>
      <c r="J11" s="33"/>
      <c r="K11" s="33"/>
      <c r="L11" s="33"/>
    </row>
    <row r="12" spans="1:12" ht="14.25">
      <c r="A12" s="118" t="s">
        <v>170</v>
      </c>
      <c r="B12" s="119" t="s">
        <v>171</v>
      </c>
      <c r="C12" s="121">
        <v>0.03</v>
      </c>
      <c r="D12" s="92"/>
      <c r="F12" s="33"/>
      <c r="G12" s="33"/>
      <c r="H12" s="33"/>
      <c r="I12" s="33"/>
      <c r="J12" s="33"/>
      <c r="K12" s="33"/>
      <c r="L12" s="33"/>
    </row>
    <row r="13" spans="1:12" ht="14.25">
      <c r="A13" s="118" t="s">
        <v>172</v>
      </c>
      <c r="B13" s="119" t="s">
        <v>173</v>
      </c>
      <c r="C13" s="121">
        <v>0.08</v>
      </c>
      <c r="D13" s="91"/>
      <c r="F13" s="33"/>
      <c r="G13" s="33"/>
      <c r="H13" s="33"/>
      <c r="I13" s="33"/>
      <c r="J13" s="33"/>
      <c r="K13" s="33"/>
      <c r="L13" s="33"/>
    </row>
    <row r="14" spans="1:12" ht="15">
      <c r="A14" s="118" t="s">
        <v>174</v>
      </c>
      <c r="B14" s="122" t="s">
        <v>175</v>
      </c>
      <c r="C14" s="123">
        <f>SUM(C6:C13)</f>
        <v>0.36800000000000005</v>
      </c>
      <c r="D14" s="91"/>
      <c r="F14" s="33"/>
      <c r="G14" s="33"/>
      <c r="H14" s="33"/>
      <c r="I14" s="33"/>
      <c r="J14" s="33"/>
      <c r="K14" s="33"/>
      <c r="L14" s="33"/>
    </row>
    <row r="15" spans="1:12" ht="15">
      <c r="A15" s="124"/>
      <c r="B15" s="125"/>
      <c r="C15" s="126"/>
      <c r="D15" s="91"/>
      <c r="F15" s="33"/>
      <c r="G15" s="33"/>
      <c r="H15" s="33"/>
      <c r="I15" s="33"/>
      <c r="J15" s="33"/>
      <c r="K15" s="33"/>
      <c r="L15" s="33"/>
    </row>
    <row r="16" spans="1:12" ht="14.25">
      <c r="A16" s="118" t="s">
        <v>176</v>
      </c>
      <c r="B16" s="127" t="s">
        <v>177</v>
      </c>
      <c r="C16" s="121">
        <v>7.9899999999999999E-2</v>
      </c>
      <c r="D16" s="91"/>
      <c r="F16" s="33"/>
      <c r="G16" s="33"/>
      <c r="H16" s="33"/>
      <c r="I16" s="33"/>
      <c r="J16" s="33"/>
      <c r="K16" s="33"/>
      <c r="L16" s="33"/>
    </row>
    <row r="17" spans="1:12" ht="14.25">
      <c r="A17" s="118" t="s">
        <v>178</v>
      </c>
      <c r="B17" s="127" t="s">
        <v>179</v>
      </c>
      <c r="C17" s="121">
        <f>ROUND('[1]3.CAGED'!C33/'[1]3.CAGED'!C30,4)</f>
        <v>8.3299999999999999E-2</v>
      </c>
      <c r="D17" s="91"/>
      <c r="F17" s="33"/>
      <c r="G17" s="33"/>
      <c r="H17" s="33"/>
      <c r="I17" s="33"/>
      <c r="J17" s="33"/>
      <c r="K17" s="33"/>
      <c r="L17" s="33"/>
    </row>
    <row r="18" spans="1:12" ht="14.25">
      <c r="A18" s="118" t="s">
        <v>180</v>
      </c>
      <c r="B18" s="127" t="s">
        <v>181</v>
      </c>
      <c r="C18" s="121">
        <v>5.0000000000000001E-4</v>
      </c>
      <c r="D18" s="91"/>
      <c r="F18" s="33"/>
      <c r="G18" s="33"/>
      <c r="H18" s="33"/>
      <c r="I18" s="33"/>
      <c r="J18" s="33"/>
      <c r="K18" s="33"/>
      <c r="L18" s="33"/>
    </row>
    <row r="19" spans="1:12" ht="14.25">
      <c r="A19" s="118" t="s">
        <v>182</v>
      </c>
      <c r="B19" s="127" t="s">
        <v>183</v>
      </c>
      <c r="C19" s="121">
        <v>5.5999999999999999E-3</v>
      </c>
      <c r="D19" s="91"/>
      <c r="F19" s="33"/>
      <c r="G19" s="33"/>
      <c r="H19" s="33"/>
      <c r="I19" s="33"/>
      <c r="J19" s="33"/>
      <c r="K19" s="33"/>
      <c r="L19" s="33"/>
    </row>
    <row r="20" spans="1:12" ht="14.25">
      <c r="A20" s="118" t="s">
        <v>184</v>
      </c>
      <c r="B20" s="127" t="s">
        <v>185</v>
      </c>
      <c r="C20" s="121">
        <v>8.0000000000000004E-4</v>
      </c>
      <c r="D20" s="91"/>
      <c r="F20" s="33"/>
      <c r="G20" s="33"/>
      <c r="H20" s="33"/>
      <c r="I20" s="33"/>
      <c r="J20" s="33"/>
      <c r="K20" s="33"/>
      <c r="L20" s="33"/>
    </row>
    <row r="21" spans="1:12" ht="14.25">
      <c r="A21" s="118" t="s">
        <v>186</v>
      </c>
      <c r="B21" s="127" t="s">
        <v>187</v>
      </c>
      <c r="C21" s="121">
        <v>6.6E-3</v>
      </c>
      <c r="D21" s="91"/>
      <c r="F21" s="33"/>
      <c r="G21" s="33"/>
      <c r="H21" s="33"/>
      <c r="I21" s="33"/>
      <c r="J21" s="33"/>
      <c r="K21" s="33"/>
      <c r="L21" s="33"/>
    </row>
    <row r="22" spans="1:12" ht="14.25">
      <c r="A22" s="118" t="s">
        <v>188</v>
      </c>
      <c r="B22" s="127" t="s">
        <v>318</v>
      </c>
      <c r="C22" s="121">
        <v>2.9999999999999997E-4</v>
      </c>
      <c r="D22" s="91"/>
      <c r="F22" s="33"/>
      <c r="G22" s="33"/>
      <c r="H22" s="33"/>
      <c r="I22" s="33"/>
      <c r="J22" s="33"/>
      <c r="K22" s="33"/>
      <c r="L22" s="33"/>
    </row>
    <row r="23" spans="1:12" ht="15">
      <c r="A23" s="118" t="s">
        <v>189</v>
      </c>
      <c r="B23" s="122" t="s">
        <v>190</v>
      </c>
      <c r="C23" s="123">
        <f>SUM(C16:C22)</f>
        <v>0.17699999999999999</v>
      </c>
      <c r="D23" s="128"/>
      <c r="F23" s="33"/>
      <c r="G23" s="33"/>
      <c r="H23" s="33"/>
      <c r="I23" s="33"/>
      <c r="J23" s="33"/>
      <c r="K23" s="33"/>
      <c r="L23" s="33"/>
    </row>
    <row r="24" spans="1:12" ht="15">
      <c r="A24" s="124"/>
      <c r="B24" s="125"/>
      <c r="C24" s="126"/>
      <c r="D24" s="128"/>
      <c r="F24" s="33"/>
      <c r="G24" s="33"/>
      <c r="H24" s="33"/>
      <c r="I24" s="33"/>
      <c r="J24" s="33"/>
      <c r="K24" s="33"/>
      <c r="L24" s="33"/>
    </row>
    <row r="25" spans="1:12" ht="14.25">
      <c r="A25" s="118" t="s">
        <v>191</v>
      </c>
      <c r="B25" s="119" t="s">
        <v>192</v>
      </c>
      <c r="C25" s="121">
        <v>3.4700000000000002E-2</v>
      </c>
      <c r="D25" s="91"/>
      <c r="E25" s="129"/>
      <c r="F25" s="33"/>
      <c r="G25" s="33"/>
      <c r="H25" s="33"/>
      <c r="I25" s="33"/>
      <c r="J25" s="33"/>
      <c r="K25" s="33"/>
      <c r="L25" s="33"/>
    </row>
    <row r="26" spans="1:12" ht="14.25">
      <c r="A26" s="118" t="s">
        <v>193</v>
      </c>
      <c r="B26" s="119" t="s">
        <v>319</v>
      </c>
      <c r="C26" s="121">
        <v>8.0000000000000004E-4</v>
      </c>
      <c r="D26" s="91"/>
      <c r="F26" s="33"/>
      <c r="G26" s="33"/>
      <c r="H26" s="130"/>
      <c r="I26" s="33"/>
      <c r="J26" s="33"/>
      <c r="K26" s="33"/>
      <c r="L26" s="33"/>
    </row>
    <row r="27" spans="1:12" ht="14.25">
      <c r="A27" s="118" t="s">
        <v>195</v>
      </c>
      <c r="B27" s="119" t="s">
        <v>194</v>
      </c>
      <c r="C27" s="121">
        <v>2.6100000000000002E-2</v>
      </c>
      <c r="D27" s="91"/>
      <c r="F27" s="33"/>
      <c r="G27" s="33"/>
      <c r="H27" s="33"/>
      <c r="I27" s="33"/>
      <c r="J27" s="33"/>
      <c r="K27" s="33"/>
      <c r="L27" s="33"/>
    </row>
    <row r="28" spans="1:12" ht="14.25">
      <c r="A28" s="118" t="s">
        <v>196</v>
      </c>
      <c r="B28" s="119" t="s">
        <v>197</v>
      </c>
      <c r="C28" s="121">
        <v>2.1100000000000001E-2</v>
      </c>
      <c r="D28" s="91"/>
      <c r="F28" s="33"/>
      <c r="G28" s="131"/>
      <c r="H28" s="33"/>
      <c r="I28" s="33"/>
      <c r="J28" s="33"/>
      <c r="K28" s="33"/>
      <c r="L28" s="33"/>
    </row>
    <row r="29" spans="1:12" ht="14.25">
      <c r="A29" s="304" t="s">
        <v>198</v>
      </c>
      <c r="B29" s="119" t="s">
        <v>199</v>
      </c>
      <c r="C29" s="121">
        <v>2.8999999999999998E-3</v>
      </c>
      <c r="D29" s="91"/>
      <c r="F29" s="33"/>
      <c r="G29" s="33"/>
      <c r="H29" s="33"/>
      <c r="I29" s="33"/>
      <c r="J29" s="33"/>
      <c r="K29" s="33"/>
      <c r="L29" s="33"/>
    </row>
    <row r="30" spans="1:12" ht="15">
      <c r="A30" s="118" t="s">
        <v>200</v>
      </c>
      <c r="B30" s="122" t="s">
        <v>201</v>
      </c>
      <c r="C30" s="123">
        <f>SUM(C25:C29)</f>
        <v>8.5599999999999996E-2</v>
      </c>
      <c r="D30" s="128"/>
      <c r="F30" s="33"/>
      <c r="G30" s="33"/>
      <c r="H30" s="33"/>
      <c r="I30" s="33"/>
      <c r="J30" s="33"/>
      <c r="K30" s="33"/>
      <c r="L30" s="33"/>
    </row>
    <row r="31" spans="1:12" ht="15">
      <c r="A31" s="124"/>
      <c r="B31" s="125"/>
      <c r="C31" s="126"/>
      <c r="D31" s="128"/>
      <c r="F31" s="33"/>
      <c r="G31" s="33"/>
      <c r="H31" s="33"/>
      <c r="I31" s="33"/>
      <c r="J31" s="33"/>
      <c r="K31" s="33"/>
      <c r="L31" s="33"/>
    </row>
    <row r="32" spans="1:12" ht="14.25">
      <c r="A32" s="118" t="s">
        <v>202</v>
      </c>
      <c r="B32" s="119" t="s">
        <v>203</v>
      </c>
      <c r="C32" s="121">
        <v>6.5100000000000005E-2</v>
      </c>
      <c r="D32" s="91"/>
      <c r="F32" s="33"/>
      <c r="G32" s="33"/>
      <c r="H32" s="33"/>
      <c r="I32" s="33"/>
      <c r="J32" s="33"/>
      <c r="K32" s="33"/>
      <c r="L32" s="33"/>
    </row>
    <row r="33" spans="1:12" ht="28.5">
      <c r="A33" s="118" t="s">
        <v>204</v>
      </c>
      <c r="B33" s="132" t="s">
        <v>205</v>
      </c>
      <c r="C33" s="121">
        <v>3.0999999999999999E-3</v>
      </c>
      <c r="D33" s="91"/>
      <c r="F33" s="33"/>
      <c r="G33" s="33"/>
      <c r="H33" s="33"/>
      <c r="I33" s="33"/>
      <c r="J33" s="33"/>
      <c r="K33" s="33"/>
      <c r="L33" s="33"/>
    </row>
    <row r="34" spans="1:12" ht="15">
      <c r="A34" s="118" t="s">
        <v>206</v>
      </c>
      <c r="B34" s="122" t="s">
        <v>207</v>
      </c>
      <c r="C34" s="123">
        <f>SUM(C32:C33)</f>
        <v>6.8200000000000011E-2</v>
      </c>
      <c r="D34" s="94"/>
      <c r="F34" s="33"/>
      <c r="G34" s="33"/>
      <c r="H34" s="33"/>
      <c r="I34" s="33"/>
      <c r="J34" s="33"/>
      <c r="K34" s="33"/>
      <c r="L34" s="33"/>
    </row>
    <row r="35" spans="1:12" ht="15">
      <c r="A35" s="133"/>
      <c r="B35" s="134" t="s">
        <v>208</v>
      </c>
      <c r="C35" s="135">
        <f>C34+C30+C23+C14</f>
        <v>0.69880000000000009</v>
      </c>
      <c r="D35" s="94"/>
      <c r="F35" s="33"/>
      <c r="G35" s="33"/>
      <c r="H35" s="33"/>
      <c r="I35" s="33"/>
      <c r="J35" s="33"/>
      <c r="K35" s="33"/>
      <c r="L35" s="33"/>
    </row>
    <row r="36" spans="1:12" ht="15">
      <c r="A36" s="91"/>
      <c r="B36" s="136"/>
      <c r="C36" s="137"/>
      <c r="D36" s="138"/>
      <c r="F36" s="33"/>
      <c r="G36" s="33"/>
      <c r="H36" s="33"/>
      <c r="I36" s="33"/>
      <c r="J36" s="33"/>
      <c r="K36" s="33"/>
      <c r="L36" s="33"/>
    </row>
    <row r="37" spans="1:12" ht="14.25">
      <c r="A37" s="91" t="str">
        <f>'1. Coleta Domiciliar'!F286</f>
        <v>Teutônia, 17 de outubro de 2024.</v>
      </c>
      <c r="B37" s="91"/>
      <c r="C37" s="139"/>
      <c r="D37" s="140"/>
      <c r="F37" s="33"/>
      <c r="G37" s="33"/>
      <c r="H37" s="33"/>
      <c r="I37" s="33"/>
      <c r="J37" s="33"/>
      <c r="K37" s="33"/>
      <c r="L37" s="33"/>
    </row>
    <row r="38" spans="1:12" ht="14.25">
      <c r="A38" s="92"/>
      <c r="B38" s="92"/>
      <c r="C38" s="141"/>
      <c r="D38" s="92"/>
      <c r="F38" s="33"/>
      <c r="G38" s="33"/>
      <c r="H38" s="33"/>
      <c r="I38" s="33"/>
      <c r="J38" s="33"/>
      <c r="K38" s="33"/>
      <c r="L38" s="33"/>
    </row>
    <row r="39" spans="1:12" ht="14.25">
      <c r="A39" s="92"/>
      <c r="B39" s="92"/>
      <c r="C39" s="141"/>
      <c r="D39" s="92"/>
      <c r="F39" s="33"/>
      <c r="G39" s="33"/>
      <c r="H39" s="33"/>
      <c r="I39" s="33"/>
      <c r="J39" s="33"/>
      <c r="K39" s="33"/>
      <c r="L39" s="33"/>
    </row>
    <row r="40" spans="1:12" ht="14.25">
      <c r="A40" s="92"/>
      <c r="B40" s="314" t="s">
        <v>321</v>
      </c>
      <c r="C40" s="141"/>
      <c r="D40" s="92"/>
      <c r="F40" s="33"/>
      <c r="G40" s="33"/>
      <c r="H40" s="33"/>
      <c r="I40" s="33"/>
      <c r="J40" s="33"/>
      <c r="K40" s="33"/>
      <c r="L40" s="33"/>
    </row>
    <row r="41" spans="1:12" ht="15">
      <c r="A41" s="92"/>
      <c r="B41" s="315" t="s">
        <v>323</v>
      </c>
      <c r="C41" s="142"/>
      <c r="D41" s="92"/>
      <c r="F41" s="33"/>
      <c r="G41" s="33"/>
      <c r="H41" s="33"/>
      <c r="I41" s="33"/>
      <c r="J41" s="33"/>
      <c r="K41" s="33"/>
      <c r="L41" s="33"/>
    </row>
    <row r="42" spans="1:12" ht="15">
      <c r="A42" s="94"/>
      <c r="B42" s="315" t="s">
        <v>324</v>
      </c>
      <c r="C42" s="142"/>
      <c r="D42" s="94"/>
      <c r="E42" s="33"/>
      <c r="F42" s="33"/>
      <c r="G42" s="33"/>
      <c r="H42" s="33"/>
      <c r="I42" s="33"/>
      <c r="J42" s="33"/>
      <c r="K42" s="33"/>
      <c r="L42" s="33"/>
    </row>
    <row r="43" spans="1:12" ht="16.5">
      <c r="A43" s="95"/>
      <c r="B43" s="33"/>
      <c r="C43" s="33"/>
      <c r="E43" s="33"/>
      <c r="F43" s="33"/>
      <c r="G43" s="33"/>
      <c r="H43" s="33"/>
      <c r="I43" s="33"/>
      <c r="J43" s="33"/>
      <c r="K43" s="33"/>
      <c r="L43" s="33"/>
    </row>
    <row r="44" spans="1:12">
      <c r="A44" s="96"/>
      <c r="B44" s="34"/>
      <c r="C44" s="34"/>
      <c r="E44" s="33"/>
      <c r="F44" s="33"/>
      <c r="G44" s="33"/>
      <c r="H44" s="33"/>
      <c r="I44" s="33"/>
      <c r="J44" s="33"/>
      <c r="K44" s="33"/>
      <c r="L44" s="33"/>
    </row>
    <row r="45" spans="1:12" ht="14.25">
      <c r="A45" s="92"/>
      <c r="B45" s="35"/>
      <c r="C45" s="34"/>
      <c r="E45" s="33"/>
      <c r="F45" s="33"/>
      <c r="G45" s="33"/>
      <c r="H45" s="33"/>
      <c r="I45" s="33"/>
      <c r="J45" s="33"/>
      <c r="K45" s="33"/>
      <c r="L45" s="33"/>
    </row>
    <row r="46" spans="1:12" ht="14.25">
      <c r="A46" s="92"/>
      <c r="B46" s="36" t="s">
        <v>325</v>
      </c>
      <c r="C46" s="92"/>
      <c r="E46" s="33"/>
      <c r="F46" s="33"/>
      <c r="G46" s="33"/>
      <c r="H46" s="33"/>
      <c r="I46" s="33"/>
      <c r="J46" s="33"/>
      <c r="K46" s="33"/>
      <c r="L46" s="33"/>
    </row>
    <row r="47" spans="1:12" ht="14.25">
      <c r="A47" s="92"/>
      <c r="B47" s="37" t="s">
        <v>212</v>
      </c>
      <c r="C47" s="34"/>
      <c r="E47" s="33"/>
      <c r="F47" s="33"/>
      <c r="G47" s="33"/>
      <c r="H47" s="33"/>
      <c r="I47" s="33"/>
      <c r="J47" s="33"/>
      <c r="K47" s="33"/>
      <c r="L47" s="33"/>
    </row>
    <row r="48" spans="1:12" ht="14.25">
      <c r="A48" s="92"/>
      <c r="B48" s="35"/>
      <c r="C48" s="92"/>
      <c r="E48" s="33"/>
      <c r="F48" s="33"/>
      <c r="G48" s="33"/>
      <c r="H48" s="33"/>
      <c r="I48" s="33"/>
      <c r="J48" s="33"/>
      <c r="K48" s="33"/>
      <c r="L48" s="33"/>
    </row>
    <row r="49" spans="1:12" ht="14.25">
      <c r="A49" s="92"/>
      <c r="B49" s="141"/>
      <c r="C49" s="34"/>
      <c r="E49" s="33"/>
      <c r="F49" s="33"/>
      <c r="G49" s="33"/>
      <c r="H49" s="33"/>
      <c r="I49" s="33"/>
      <c r="J49" s="33"/>
      <c r="K49" s="33"/>
      <c r="L49" s="33"/>
    </row>
    <row r="50" spans="1:12" ht="14.25">
      <c r="A50" s="92"/>
      <c r="B50" s="35"/>
      <c r="C50" s="92"/>
      <c r="E50" s="33"/>
      <c r="F50" s="33"/>
      <c r="G50" s="33"/>
      <c r="H50" s="33"/>
      <c r="I50" s="33"/>
      <c r="J50" s="33"/>
      <c r="K50" s="33"/>
      <c r="L50" s="33"/>
    </row>
    <row r="51" spans="1:12" ht="14.25">
      <c r="A51" s="92"/>
      <c r="B51" s="141"/>
      <c r="C51" s="34"/>
      <c r="E51" s="33"/>
      <c r="F51" s="33"/>
      <c r="G51" s="33"/>
      <c r="H51" s="33"/>
      <c r="I51" s="33"/>
      <c r="J51" s="33"/>
      <c r="K51" s="33"/>
      <c r="L51" s="33"/>
    </row>
    <row r="52" spans="1:12" ht="14.25">
      <c r="A52" s="92"/>
      <c r="B52" s="35"/>
      <c r="C52" s="92"/>
      <c r="E52" s="33"/>
      <c r="F52" s="33"/>
      <c r="G52" s="33"/>
      <c r="H52" s="33"/>
      <c r="I52" s="33"/>
      <c r="J52" s="33"/>
      <c r="K52" s="33"/>
      <c r="L52" s="33"/>
    </row>
    <row r="53" spans="1:12" ht="14.25">
      <c r="A53" s="92"/>
      <c r="B53" s="141"/>
      <c r="C53" s="34"/>
      <c r="E53" s="33"/>
      <c r="F53" s="33"/>
      <c r="G53" s="33"/>
      <c r="H53" s="33"/>
      <c r="I53" s="33"/>
      <c r="J53" s="33"/>
      <c r="K53" s="33"/>
      <c r="L53" s="33"/>
    </row>
    <row r="54" spans="1:12" ht="16.5">
      <c r="A54" s="95"/>
      <c r="B54" s="33"/>
      <c r="C54" s="33"/>
      <c r="E54" s="33"/>
      <c r="F54" s="33"/>
      <c r="G54" s="33"/>
      <c r="H54" s="33"/>
      <c r="I54" s="33"/>
      <c r="J54" s="33"/>
      <c r="K54" s="33"/>
      <c r="L54" s="33"/>
    </row>
    <row r="55" spans="1:12">
      <c r="A55" s="33"/>
      <c r="B55" s="33"/>
      <c r="C55" s="33"/>
      <c r="E55" s="33"/>
      <c r="F55" s="33"/>
      <c r="G55" s="33"/>
      <c r="H55" s="33"/>
      <c r="I55" s="33"/>
      <c r="J55" s="33"/>
      <c r="K55" s="33"/>
      <c r="L55" s="33"/>
    </row>
    <row r="56" spans="1:12">
      <c r="A56" s="33"/>
      <c r="B56" s="33"/>
      <c r="C56" s="33"/>
      <c r="E56" s="33"/>
      <c r="F56" s="33"/>
      <c r="G56" s="33"/>
      <c r="H56" s="33"/>
      <c r="I56" s="33"/>
      <c r="J56" s="33"/>
      <c r="K56" s="33"/>
      <c r="L56" s="33"/>
    </row>
    <row r="57" spans="1:12">
      <c r="A57" s="143"/>
      <c r="B57" s="33"/>
      <c r="C57" s="33"/>
      <c r="E57" s="33"/>
      <c r="F57" s="33"/>
      <c r="G57" s="33"/>
      <c r="H57" s="33"/>
      <c r="I57" s="33"/>
      <c r="J57" s="33"/>
      <c r="K57" s="33"/>
      <c r="L57" s="33"/>
    </row>
    <row r="58" spans="1:12">
      <c r="A58" s="33"/>
      <c r="B58" s="33"/>
      <c r="C58" s="33"/>
      <c r="E58" s="33"/>
    </row>
    <row r="59" spans="1:12">
      <c r="A59" s="33"/>
      <c r="B59" s="33"/>
      <c r="C59" s="33"/>
      <c r="E59" s="33"/>
    </row>
    <row r="60" spans="1:12">
      <c r="A60" s="33"/>
      <c r="B60" s="33"/>
      <c r="C60" s="33"/>
      <c r="E60" s="33"/>
    </row>
    <row r="61" spans="1:12">
      <c r="A61" s="33"/>
      <c r="B61" s="33"/>
      <c r="C61" s="33"/>
      <c r="E61" s="33"/>
    </row>
    <row r="62" spans="1:12">
      <c r="A62" s="33"/>
      <c r="B62" s="33"/>
      <c r="C62" s="33"/>
      <c r="E62" s="33"/>
    </row>
    <row r="63" spans="1:12">
      <c r="A63" s="33"/>
      <c r="B63" s="33"/>
      <c r="C63" s="33"/>
      <c r="E63" s="33"/>
    </row>
    <row r="64" spans="1:12">
      <c r="A64" s="33"/>
      <c r="B64" s="33"/>
      <c r="C64" s="33"/>
      <c r="E64" s="33"/>
    </row>
    <row r="65" spans="1:5">
      <c r="A65" s="33"/>
      <c r="B65" s="33"/>
      <c r="C65" s="33"/>
      <c r="E65" s="33"/>
    </row>
    <row r="66" spans="1:5">
      <c r="A66" s="33"/>
      <c r="B66" s="33"/>
      <c r="C66" s="33"/>
      <c r="E66" s="33"/>
    </row>
  </sheetData>
  <mergeCells count="1">
    <mergeCell ref="A4:C4"/>
  </mergeCells>
  <printOptions horizontalCentered="1"/>
  <pageMargins left="0.90138888888888891" right="0.51180555555555551" top="0.75138888888888888" bottom="0.75138888888888888" header="0.31041666666666667" footer="0.31041666666666667"/>
  <pageSetup paperSize="9" scale="87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topLeftCell="A13" workbookViewId="0">
      <selection activeCell="B25" sqref="B25"/>
    </sheetView>
  </sheetViews>
  <sheetFormatPr defaultRowHeight="12.75"/>
  <cols>
    <col min="1" max="1" width="8.5703125" style="8" customWidth="1"/>
    <col min="2" max="2" width="67.140625" style="8" customWidth="1"/>
    <col min="3" max="3" width="13.7109375" style="8" customWidth="1"/>
    <col min="4" max="4" width="10.28515625" style="8" hidden="1" customWidth="1"/>
    <col min="5" max="5" width="13.7109375" style="8" hidden="1" customWidth="1"/>
    <col min="6" max="6" width="14.42578125" style="8" hidden="1" customWidth="1"/>
    <col min="7" max="7" width="12.7109375" style="8" hidden="1" customWidth="1"/>
    <col min="8" max="8" width="4.42578125" style="8" hidden="1" customWidth="1"/>
    <col min="9" max="9" width="6.85546875" style="8" hidden="1" customWidth="1"/>
    <col min="10" max="10" width="3.28515625" style="8" hidden="1" customWidth="1"/>
    <col min="11" max="11" width="9" style="8" hidden="1" customWidth="1"/>
    <col min="12" max="16384" width="9.140625" style="8"/>
  </cols>
  <sheetData>
    <row r="1" spans="1:3">
      <c r="A1" s="7" t="s">
        <v>213</v>
      </c>
    </row>
    <row r="3" spans="1:3">
      <c r="A3" s="8" t="s">
        <v>214</v>
      </c>
    </row>
    <row r="4" spans="1:3">
      <c r="A4" s="8" t="s">
        <v>215</v>
      </c>
    </row>
    <row r="5" spans="1:3" ht="25.5" customHeight="1">
      <c r="A5" s="340" t="s">
        <v>216</v>
      </c>
      <c r="B5" s="340"/>
      <c r="C5" s="340"/>
    </row>
    <row r="6" spans="1:3">
      <c r="A6" s="8" t="s">
        <v>217</v>
      </c>
    </row>
    <row r="7" spans="1:3" ht="26.25" customHeight="1">
      <c r="A7" s="340" t="s">
        <v>218</v>
      </c>
      <c r="B7" s="340"/>
      <c r="C7" s="340"/>
    </row>
    <row r="8" spans="1:3">
      <c r="A8" s="8" t="s">
        <v>219</v>
      </c>
    </row>
    <row r="9" spans="1:3">
      <c r="A9" s="8" t="s">
        <v>220</v>
      </c>
    </row>
    <row r="11" spans="1:3" ht="18">
      <c r="B11" s="341" t="s">
        <v>221</v>
      </c>
      <c r="C11" s="342"/>
    </row>
    <row r="12" spans="1:3" ht="15">
      <c r="A12" s="33"/>
      <c r="B12" s="97" t="s">
        <v>222</v>
      </c>
      <c r="C12" s="98"/>
    </row>
    <row r="13" spans="1:3" ht="15">
      <c r="A13" s="33"/>
      <c r="B13" s="99" t="s">
        <v>223</v>
      </c>
      <c r="C13" s="100">
        <v>2486</v>
      </c>
    </row>
    <row r="14" spans="1:3" ht="15">
      <c r="A14" s="33"/>
      <c r="B14" s="101" t="s">
        <v>224</v>
      </c>
      <c r="C14" s="100">
        <v>3303</v>
      </c>
    </row>
    <row r="15" spans="1:3" ht="14.25">
      <c r="A15" s="33"/>
      <c r="B15" s="20" t="s">
        <v>225</v>
      </c>
      <c r="C15" s="19">
        <v>81</v>
      </c>
    </row>
    <row r="16" spans="1:3" ht="14.25">
      <c r="A16" s="33"/>
      <c r="B16" s="20" t="s">
        <v>226</v>
      </c>
      <c r="C16" s="19">
        <v>2336</v>
      </c>
    </row>
    <row r="17" spans="1:7" ht="14.25">
      <c r="A17" s="33"/>
      <c r="B17" s="20" t="s">
        <v>227</v>
      </c>
      <c r="C17" s="19">
        <v>342</v>
      </c>
    </row>
    <row r="18" spans="1:7" ht="14.25">
      <c r="A18" s="33"/>
      <c r="B18" s="20" t="s">
        <v>228</v>
      </c>
      <c r="C18" s="19">
        <v>18</v>
      </c>
    </row>
    <row r="19" spans="1:7" ht="14.25">
      <c r="A19" s="33"/>
      <c r="B19" s="20" t="s">
        <v>229</v>
      </c>
      <c r="C19" s="19">
        <v>500</v>
      </c>
    </row>
    <row r="20" spans="1:7" ht="14.25">
      <c r="A20" s="33"/>
      <c r="B20" s="20" t="s">
        <v>230</v>
      </c>
      <c r="C20" s="19">
        <v>1</v>
      </c>
    </row>
    <row r="21" spans="1:7" ht="14.25">
      <c r="A21" s="33"/>
      <c r="B21" s="20" t="s">
        <v>231</v>
      </c>
      <c r="C21" s="19">
        <v>25</v>
      </c>
    </row>
    <row r="22" spans="1:7" ht="14.25">
      <c r="A22" s="33"/>
      <c r="B22" s="102" t="s">
        <v>232</v>
      </c>
      <c r="C22" s="103">
        <v>0</v>
      </c>
    </row>
    <row r="23" spans="1:7" ht="15">
      <c r="A23" s="33" t="s">
        <v>233</v>
      </c>
      <c r="B23" s="97" t="s">
        <v>234</v>
      </c>
      <c r="C23" s="98"/>
    </row>
    <row r="24" spans="1:7" ht="14.25">
      <c r="A24" s="33"/>
      <c r="B24" s="104" t="s">
        <v>235</v>
      </c>
      <c r="C24" s="105">
        <v>6400</v>
      </c>
    </row>
    <row r="25" spans="1:7" ht="14.25">
      <c r="A25" s="33"/>
      <c r="B25" s="20" t="s">
        <v>236</v>
      </c>
      <c r="C25" s="19">
        <v>5583</v>
      </c>
    </row>
    <row r="26" spans="1:7" ht="14.25">
      <c r="B26" s="20" t="s">
        <v>237</v>
      </c>
      <c r="C26" s="19">
        <v>-817</v>
      </c>
    </row>
    <row r="27" spans="1:7" ht="14.25">
      <c r="B27" s="57"/>
      <c r="C27" s="106"/>
    </row>
    <row r="28" spans="1:7" ht="15">
      <c r="B28" s="107" t="s">
        <v>238</v>
      </c>
      <c r="C28" s="108">
        <f>MEDIAN(C13,C14)/MEDIAN(C24,C25)</f>
        <v>0.48310105983476592</v>
      </c>
      <c r="G28" s="8">
        <f>12/C28</f>
        <v>24.839523233719124</v>
      </c>
    </row>
    <row r="29" spans="1:7" ht="15">
      <c r="B29" s="99" t="s">
        <v>239</v>
      </c>
      <c r="C29" s="108">
        <f>C16/MEDIAN(C24,C25)</f>
        <v>0.38988567136777103</v>
      </c>
    </row>
    <row r="30" spans="1:7" ht="15">
      <c r="B30" s="109" t="s">
        <v>240</v>
      </c>
      <c r="C30" s="110">
        <v>360</v>
      </c>
    </row>
    <row r="31" spans="1:7" ht="15">
      <c r="B31" s="99" t="s">
        <v>241</v>
      </c>
      <c r="C31" s="110">
        <v>10</v>
      </c>
    </row>
    <row r="32" spans="1:7" ht="15">
      <c r="B32" s="99" t="s">
        <v>242</v>
      </c>
      <c r="C32" s="110">
        <v>30</v>
      </c>
      <c r="G32" s="8">
        <f>TRUNC(G37)</f>
        <v>0</v>
      </c>
    </row>
    <row r="33" spans="2:11" ht="15">
      <c r="B33" s="99" t="s">
        <v>243</v>
      </c>
      <c r="C33" s="110">
        <v>30</v>
      </c>
    </row>
    <row r="34" spans="2:11" s="7" customFormat="1" ht="15">
      <c r="B34" s="99" t="s">
        <v>244</v>
      </c>
      <c r="C34" s="111">
        <f>MEDIAN(C24,C25)</f>
        <v>5991.5</v>
      </c>
    </row>
    <row r="35" spans="2:11" s="7" customFormat="1" ht="15">
      <c r="B35" s="99" t="s">
        <v>173</v>
      </c>
      <c r="C35" s="112">
        <v>0.08</v>
      </c>
      <c r="K35" s="7">
        <f>IF(C39&gt;12,C39-12,C39)</f>
        <v>12.839523233719124</v>
      </c>
    </row>
    <row r="36" spans="2:11" s="7" customFormat="1" ht="15">
      <c r="B36" s="99" t="s">
        <v>245</v>
      </c>
      <c r="C36" s="112">
        <v>0.5</v>
      </c>
      <c r="K36" s="7" t="e">
        <f>IF(#REF!&gt;12,#REF!-12,#REF!)</f>
        <v>#REF!</v>
      </c>
    </row>
    <row r="37" spans="2:11" s="7" customFormat="1" ht="15">
      <c r="B37" s="99" t="s">
        <v>246</v>
      </c>
      <c r="C37" s="113">
        <f>((1/C28)-TRUNC(E37))</f>
        <v>6.9960269476593506E-2</v>
      </c>
      <c r="D37" s="7">
        <f>TRUNC(E37)</f>
        <v>2</v>
      </c>
      <c r="E37" s="7">
        <f>1/C28</f>
        <v>2.0699602694765935</v>
      </c>
      <c r="F37" s="7">
        <f>((1/C28)-TRUNC(E37))</f>
        <v>6.9960269476593506E-2</v>
      </c>
      <c r="G37" s="7">
        <f>12*F37</f>
        <v>0.83952323371912208</v>
      </c>
      <c r="K37" s="7" t="e">
        <f>IF(#REF!&gt;12,#REF!-12,#REF!)</f>
        <v>#REF!</v>
      </c>
    </row>
    <row r="38" spans="2:11" s="7" customFormat="1" ht="15">
      <c r="B38" s="97" t="s">
        <v>247</v>
      </c>
      <c r="C38" s="114">
        <f>30+D38</f>
        <v>36</v>
      </c>
      <c r="D38" s="7">
        <f>3*D37</f>
        <v>6</v>
      </c>
      <c r="G38" s="7">
        <f>G37/12*40/360</f>
        <v>7.7733632751770566E-3</v>
      </c>
      <c r="K38" s="7" t="e">
        <f>IF(#REF!&gt;12,#REF!-12,#REF!)</f>
        <v>#REF!</v>
      </c>
    </row>
    <row r="39" spans="2:11" s="7" customFormat="1" ht="15">
      <c r="B39" s="115" t="s">
        <v>248</v>
      </c>
      <c r="C39" s="116">
        <f>12/C28</f>
        <v>24.839523233719124</v>
      </c>
      <c r="K39" s="7" t="e">
        <f>IF(#REF!&gt;12,#REF!-12,#REF!)</f>
        <v>#REF!</v>
      </c>
    </row>
    <row r="40" spans="2:11">
      <c r="K40" s="8" t="e">
        <f>IF(K39&gt;12,K39-12,K39)</f>
        <v>#REF!</v>
      </c>
    </row>
    <row r="41" spans="2:11">
      <c r="K41" s="8" t="e">
        <f>IF(K40&gt;12,K40-12,K40)</f>
        <v>#REF!</v>
      </c>
    </row>
  </sheetData>
  <mergeCells count="3">
    <mergeCell ref="A5:C5"/>
    <mergeCell ref="A7:C7"/>
    <mergeCell ref="B11:C11"/>
  </mergeCells>
  <pageMargins left="0.9" right="0.51" top="0.75" bottom="0.75" header="0.31" footer="0.31"/>
  <pageSetup paperSize="9" scale="98" orientation="portrait" verticalDpi="597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I32" sqref="I32"/>
    </sheetView>
  </sheetViews>
  <sheetFormatPr defaultColWidth="9" defaultRowHeight="12.75"/>
  <cols>
    <col min="1" max="1" width="41.85546875" customWidth="1"/>
    <col min="2" max="2" width="5.5703125" customWidth="1"/>
    <col min="4" max="4" width="9.7109375" customWidth="1"/>
    <col min="5" max="5" width="8" style="49" customWidth="1"/>
    <col min="6" max="6" width="9.7109375" customWidth="1"/>
  </cols>
  <sheetData>
    <row r="1" spans="1:8" s="48" customFormat="1" ht="14.25">
      <c r="A1" s="9" t="s">
        <v>0</v>
      </c>
      <c r="B1" s="50"/>
      <c r="C1" s="50"/>
      <c r="E1" s="51"/>
    </row>
    <row r="2" spans="1:8" s="48" customFormat="1" ht="14.25">
      <c r="A2" s="10" t="s">
        <v>249</v>
      </c>
      <c r="B2" s="50"/>
      <c r="C2" s="50"/>
      <c r="E2" s="51"/>
    </row>
    <row r="3" spans="1:8" s="48" customFormat="1" ht="14.25">
      <c r="A3" s="5" t="s">
        <v>2</v>
      </c>
      <c r="B3" s="50"/>
      <c r="C3" s="50"/>
      <c r="E3" s="51"/>
    </row>
    <row r="4" spans="1:8" s="48" customFormat="1" ht="14.25">
      <c r="A4" s="10"/>
      <c r="B4" s="50"/>
      <c r="C4" s="50"/>
      <c r="E4" s="51"/>
    </row>
    <row r="5" spans="1:8" s="48" customFormat="1" ht="14.25">
      <c r="B5" s="50"/>
      <c r="C5" s="50"/>
      <c r="E5" s="51"/>
    </row>
    <row r="6" spans="1:8" ht="15.75">
      <c r="A6" s="343" t="s">
        <v>250</v>
      </c>
      <c r="B6" s="344"/>
      <c r="C6" s="344"/>
      <c r="D6" s="344"/>
      <c r="E6" s="344"/>
      <c r="F6" s="345"/>
    </row>
    <row r="7" spans="1:8" ht="15.75">
      <c r="A7" s="52"/>
      <c r="B7" s="53"/>
      <c r="C7" s="53"/>
      <c r="D7" s="53"/>
      <c r="E7" s="53"/>
      <c r="F7" s="54"/>
    </row>
    <row r="8" spans="1:8" ht="15">
      <c r="A8" s="55"/>
      <c r="B8" s="56"/>
      <c r="C8" s="56"/>
      <c r="D8" s="346" t="s">
        <v>251</v>
      </c>
      <c r="E8" s="347"/>
      <c r="F8" s="348"/>
      <c r="G8" s="48"/>
      <c r="H8" s="48"/>
    </row>
    <row r="9" spans="1:8" ht="14.25">
      <c r="A9" s="57"/>
      <c r="B9" s="58"/>
      <c r="C9" s="58"/>
      <c r="D9" s="59" t="s">
        <v>252</v>
      </c>
      <c r="E9" s="60" t="s">
        <v>253</v>
      </c>
      <c r="F9" s="61" t="s">
        <v>254</v>
      </c>
      <c r="G9" s="48"/>
      <c r="H9" s="48"/>
    </row>
    <row r="10" spans="1:8" ht="14.25">
      <c r="A10" s="62" t="s">
        <v>255</v>
      </c>
      <c r="B10" s="63" t="s">
        <v>256</v>
      </c>
      <c r="C10" s="64">
        <v>0.05</v>
      </c>
      <c r="D10" s="65">
        <v>2.9700000000000001E-2</v>
      </c>
      <c r="E10" s="66">
        <v>5.0799999999999998E-2</v>
      </c>
      <c r="F10" s="67">
        <v>6.2700000000000006E-2</v>
      </c>
      <c r="G10" s="48"/>
      <c r="H10" s="48"/>
    </row>
    <row r="11" spans="1:8" ht="14.25">
      <c r="A11" s="68" t="s">
        <v>257</v>
      </c>
      <c r="B11" s="69" t="s">
        <v>258</v>
      </c>
      <c r="C11" s="70">
        <v>1.3300000000000001E-2</v>
      </c>
      <c r="D11" s="65">
        <f>0.3%+0.56%</f>
        <v>8.6E-3</v>
      </c>
      <c r="E11" s="66">
        <f>0.48%+0.85%</f>
        <v>1.3299999999999999E-2</v>
      </c>
      <c r="F11" s="67">
        <f>0.82%+0.89%</f>
        <v>1.7099999999999997E-2</v>
      </c>
      <c r="G11" s="48"/>
      <c r="H11" s="48"/>
    </row>
    <row r="12" spans="1:8" ht="14.25">
      <c r="A12" s="68" t="s">
        <v>259</v>
      </c>
      <c r="B12" s="69" t="s">
        <v>260</v>
      </c>
      <c r="C12" s="70">
        <v>0.105</v>
      </c>
      <c r="D12" s="65">
        <v>7.7799999999999994E-2</v>
      </c>
      <c r="E12" s="66">
        <v>0.1085</v>
      </c>
      <c r="F12" s="67">
        <v>0.13550000000000001</v>
      </c>
      <c r="G12" s="48"/>
      <c r="H12" s="48"/>
    </row>
    <row r="13" spans="1:8" ht="14.25">
      <c r="A13" s="68" t="s">
        <v>261</v>
      </c>
      <c r="B13" s="69" t="s">
        <v>262</v>
      </c>
      <c r="C13" s="71">
        <f>(1+E13)^(E14/252)-1</f>
        <v>6.0961984841176875E-3</v>
      </c>
      <c r="D13" s="65" t="s">
        <v>263</v>
      </c>
      <c r="E13" s="72">
        <v>0.1075</v>
      </c>
      <c r="F13" s="73"/>
      <c r="G13" s="48"/>
      <c r="H13" s="48"/>
    </row>
    <row r="14" spans="1:8" ht="14.25">
      <c r="A14" s="68" t="s">
        <v>264</v>
      </c>
      <c r="B14" s="349" t="s">
        <v>265</v>
      </c>
      <c r="C14" s="70">
        <v>2.5000000000000001E-2</v>
      </c>
      <c r="D14" s="74" t="s">
        <v>266</v>
      </c>
      <c r="E14" s="75">
        <v>15</v>
      </c>
      <c r="F14" s="26"/>
      <c r="G14" s="48"/>
      <c r="H14" s="48"/>
    </row>
    <row r="15" spans="1:8" ht="14.25">
      <c r="A15" s="76" t="s">
        <v>267</v>
      </c>
      <c r="B15" s="350"/>
      <c r="C15" s="77">
        <v>3.6499999999999998E-2</v>
      </c>
      <c r="D15" s="20"/>
      <c r="E15" s="78"/>
      <c r="F15" s="26"/>
      <c r="G15" s="48"/>
      <c r="H15" s="48"/>
    </row>
    <row r="16" spans="1:8" ht="14.25">
      <c r="A16" s="79" t="s">
        <v>268</v>
      </c>
      <c r="B16" s="80"/>
      <c r="C16" s="81"/>
      <c r="D16" s="20"/>
      <c r="E16" s="78"/>
      <c r="F16" s="26"/>
      <c r="G16" s="48"/>
      <c r="H16" s="48"/>
    </row>
    <row r="17" spans="1:8" ht="14.25">
      <c r="A17" s="82" t="s">
        <v>269</v>
      </c>
      <c r="B17" s="83"/>
      <c r="C17" s="84"/>
      <c r="D17" s="20"/>
      <c r="E17" s="78"/>
      <c r="F17" s="26"/>
      <c r="G17" s="48"/>
      <c r="H17" s="48"/>
    </row>
    <row r="18" spans="1:8" ht="15">
      <c r="A18" s="85" t="s">
        <v>270</v>
      </c>
      <c r="B18" s="86"/>
      <c r="C18" s="87">
        <f>ROUND((((1+C10+C11)*(1+C12)*(1+C13))/(1-(C14+C15))-1),4)</f>
        <v>0.2596</v>
      </c>
      <c r="D18" s="88">
        <v>0.21429999999999999</v>
      </c>
      <c r="E18" s="89">
        <v>0.2717</v>
      </c>
      <c r="F18" s="90">
        <v>0.3362</v>
      </c>
      <c r="G18" s="48"/>
      <c r="H18" s="48"/>
    </row>
    <row r="19" spans="1:8" ht="14.25">
      <c r="A19" s="48"/>
      <c r="B19" s="48"/>
      <c r="C19" s="48"/>
      <c r="D19" s="48"/>
      <c r="E19" s="51"/>
      <c r="F19" s="48"/>
      <c r="G19" s="48"/>
      <c r="H19" s="48"/>
    </row>
    <row r="20" spans="1:8" ht="14.25">
      <c r="A20" s="48"/>
      <c r="B20" s="48"/>
      <c r="C20" s="48"/>
      <c r="D20" s="48"/>
      <c r="E20" s="51"/>
      <c r="F20" s="48"/>
      <c r="G20" s="48"/>
      <c r="H20" s="48"/>
    </row>
    <row r="21" spans="1:8" ht="14.25">
      <c r="A21" s="91" t="str">
        <f>'1. Coleta Domiciliar'!F286</f>
        <v>Teutônia, 17 de outubro de 2024.</v>
      </c>
      <c r="B21" s="91"/>
      <c r="C21" s="48"/>
      <c r="D21" s="48"/>
      <c r="E21" s="51"/>
      <c r="F21" s="48"/>
      <c r="G21" s="48"/>
      <c r="H21" s="48"/>
    </row>
    <row r="22" spans="1:8" ht="14.25">
      <c r="A22" s="92"/>
      <c r="B22" s="92"/>
      <c r="C22" s="48"/>
      <c r="D22" s="48"/>
      <c r="E22" s="51"/>
      <c r="F22" s="48"/>
      <c r="G22" s="48"/>
      <c r="H22" s="48"/>
    </row>
    <row r="23" spans="1:8" ht="14.25">
      <c r="A23" s="92"/>
      <c r="B23" s="92"/>
    </row>
    <row r="24" spans="1:8" ht="14.25">
      <c r="A24" s="92"/>
      <c r="B24" s="93"/>
      <c r="C24" s="314" t="s">
        <v>321</v>
      </c>
      <c r="D24" s="93"/>
    </row>
    <row r="25" spans="1:8" ht="14.25">
      <c r="A25" s="92"/>
      <c r="C25" s="315" t="s">
        <v>323</v>
      </c>
    </row>
    <row r="26" spans="1:8">
      <c r="A26" s="94"/>
      <c r="C26" s="315" t="s">
        <v>324</v>
      </c>
    </row>
    <row r="27" spans="1:8" ht="16.5">
      <c r="A27" s="95"/>
      <c r="C27" s="33"/>
    </row>
    <row r="28" spans="1:8">
      <c r="A28" s="96"/>
      <c r="C28" s="34"/>
    </row>
    <row r="29" spans="1:8" ht="14.25">
      <c r="A29" s="92"/>
      <c r="C29" s="35"/>
    </row>
    <row r="30" spans="1:8" ht="14.25">
      <c r="A30" s="92"/>
      <c r="B30" s="93"/>
      <c r="C30" s="36" t="s">
        <v>325</v>
      </c>
      <c r="D30" s="93"/>
    </row>
    <row r="31" spans="1:8" ht="14.25">
      <c r="A31" s="92"/>
      <c r="C31" s="37" t="s">
        <v>212</v>
      </c>
    </row>
  </sheetData>
  <mergeCells count="3">
    <mergeCell ref="A6:F6"/>
    <mergeCell ref="D8:F8"/>
    <mergeCell ref="B14:B15"/>
  </mergeCells>
  <pageMargins left="0.9" right="0.51" top="0.75" bottom="0.75" header="0.31" footer="0.31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sqref="A1:B1"/>
    </sheetView>
  </sheetViews>
  <sheetFormatPr defaultRowHeight="19.5" customHeight="1"/>
  <cols>
    <col min="1" max="1" width="24.5703125" style="8" customWidth="1"/>
    <col min="2" max="2" width="20.85546875" style="8" customWidth="1"/>
    <col min="3" max="16384" width="9.140625" style="8"/>
  </cols>
  <sheetData>
    <row r="1" spans="1:2" ht="19.5" customHeight="1">
      <c r="A1" s="351" t="s">
        <v>271</v>
      </c>
      <c r="B1" s="352"/>
    </row>
    <row r="2" spans="1:2" s="7" customFormat="1" ht="19.5" customHeight="1">
      <c r="A2" s="42" t="s">
        <v>272</v>
      </c>
      <c r="B2" s="43" t="s">
        <v>273</v>
      </c>
    </row>
    <row r="3" spans="1:2" ht="19.5" customHeight="1">
      <c r="A3" s="44">
        <v>1</v>
      </c>
      <c r="B3" s="45">
        <v>33.630000000000003</v>
      </c>
    </row>
    <row r="4" spans="1:2" ht="19.5" customHeight="1">
      <c r="A4" s="44">
        <v>2</v>
      </c>
      <c r="B4" s="45">
        <v>43.13</v>
      </c>
    </row>
    <row r="5" spans="1:2" ht="19.5" customHeight="1">
      <c r="A5" s="44">
        <v>3</v>
      </c>
      <c r="B5" s="45">
        <v>48.68</v>
      </c>
    </row>
    <row r="6" spans="1:2" ht="19.5" customHeight="1">
      <c r="A6" s="44">
        <v>4</v>
      </c>
      <c r="B6" s="45">
        <v>52.62</v>
      </c>
    </row>
    <row r="7" spans="1:2" ht="19.5" customHeight="1">
      <c r="A7" s="44">
        <v>5</v>
      </c>
      <c r="B7" s="45">
        <v>55.68</v>
      </c>
    </row>
    <row r="8" spans="1:2" ht="19.5" customHeight="1">
      <c r="A8" s="44">
        <v>6</v>
      </c>
      <c r="B8" s="45">
        <v>58.18</v>
      </c>
    </row>
    <row r="9" spans="1:2" ht="19.5" customHeight="1">
      <c r="A9" s="44">
        <v>7</v>
      </c>
      <c r="B9" s="45">
        <v>60.29</v>
      </c>
    </row>
    <row r="10" spans="1:2" ht="19.5" customHeight="1">
      <c r="A10" s="44">
        <v>8</v>
      </c>
      <c r="B10" s="45">
        <v>62.12</v>
      </c>
    </row>
    <row r="11" spans="1:2" ht="19.5" customHeight="1">
      <c r="A11" s="44">
        <v>9</v>
      </c>
      <c r="B11" s="45">
        <v>63.73</v>
      </c>
    </row>
    <row r="12" spans="1:2" ht="19.5" customHeight="1">
      <c r="A12" s="44">
        <v>10</v>
      </c>
      <c r="B12" s="45">
        <v>65.180000000000007</v>
      </c>
    </row>
    <row r="13" spans="1:2" ht="19.5" customHeight="1">
      <c r="A13" s="44">
        <v>11</v>
      </c>
      <c r="B13" s="45">
        <v>66.48</v>
      </c>
    </row>
    <row r="14" spans="1:2" ht="19.5" customHeight="1">
      <c r="A14" s="44">
        <v>12</v>
      </c>
      <c r="B14" s="45">
        <v>67.67</v>
      </c>
    </row>
    <row r="15" spans="1:2" ht="19.5" customHeight="1">
      <c r="A15" s="44">
        <v>13</v>
      </c>
      <c r="B15" s="45">
        <v>68.77</v>
      </c>
    </row>
    <row r="16" spans="1:2" ht="19.5" customHeight="1">
      <c r="A16" s="44">
        <v>14</v>
      </c>
      <c r="B16" s="45">
        <v>69.790000000000006</v>
      </c>
    </row>
    <row r="17" spans="1:2" ht="19.5" customHeight="1">
      <c r="A17" s="46">
        <v>15</v>
      </c>
      <c r="B17" s="47">
        <v>70.73</v>
      </c>
    </row>
  </sheetData>
  <mergeCells count="1">
    <mergeCell ref="A1:B1"/>
  </mergeCells>
  <pageMargins left="0.9" right="0.51" top="0.75" bottom="0.75" header="0.31" footer="0.31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2.75"/>
  <cols>
    <col min="1" max="1" width="70.42578125" style="8" customWidth="1"/>
    <col min="2" max="3" width="9.140625" style="8"/>
    <col min="4" max="4" width="12.85546875" style="8" customWidth="1"/>
    <col min="5" max="16384" width="9.140625" style="8"/>
  </cols>
  <sheetData>
    <row r="1" spans="1:4" ht="18">
      <c r="A1" s="38" t="s">
        <v>274</v>
      </c>
    </row>
    <row r="2" spans="1:4">
      <c r="A2" s="39"/>
    </row>
    <row r="3" spans="1:4">
      <c r="A3" s="39" t="s">
        <v>275</v>
      </c>
    </row>
    <row r="4" spans="1:4">
      <c r="A4" s="39"/>
    </row>
    <row r="5" spans="1:4">
      <c r="A5" s="39"/>
    </row>
    <row r="6" spans="1:4">
      <c r="A6" s="39"/>
    </row>
    <row r="7" spans="1:4">
      <c r="A7" s="39"/>
    </row>
    <row r="8" spans="1:4">
      <c r="A8" s="39"/>
    </row>
    <row r="9" spans="1:4">
      <c r="A9" s="39"/>
    </row>
    <row r="10" spans="1:4">
      <c r="A10" s="39"/>
    </row>
    <row r="11" spans="1:4">
      <c r="A11" s="39"/>
    </row>
    <row r="12" spans="1:4" ht="19.5">
      <c r="A12" s="40" t="s">
        <v>276</v>
      </c>
      <c r="D12"/>
    </row>
    <row r="13" spans="1:4" ht="15">
      <c r="A13" s="40" t="s">
        <v>277</v>
      </c>
    </row>
    <row r="14" spans="1:4" ht="15">
      <c r="A14" s="40" t="s">
        <v>278</v>
      </c>
    </row>
    <row r="15" spans="1:4" ht="19.5">
      <c r="A15" s="40" t="s">
        <v>279</v>
      </c>
    </row>
    <row r="16" spans="1:4" ht="19.5">
      <c r="A16" s="40" t="s">
        <v>280</v>
      </c>
    </row>
    <row r="17" spans="1:1" ht="15">
      <c r="A17" s="41" t="s">
        <v>281</v>
      </c>
    </row>
  </sheetData>
  <pageMargins left="0.9" right="0.51" top="0.75" bottom="0.75" header="0.31" footer="0.31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C36"/>
  <sheetViews>
    <sheetView topLeftCell="A2" workbookViewId="0">
      <selection activeCell="C21" sqref="C21"/>
    </sheetView>
  </sheetViews>
  <sheetFormatPr defaultRowHeight="12.75"/>
  <cols>
    <col min="1" max="1" width="58.28515625" style="8" customWidth="1"/>
    <col min="2" max="2" width="11.140625" style="8" customWidth="1"/>
    <col min="3" max="3" width="11.28515625" style="8" customWidth="1"/>
    <col min="4" max="16384" width="9.140625" style="8"/>
  </cols>
  <sheetData>
    <row r="1" spans="1:3">
      <c r="A1" s="9" t="s">
        <v>0</v>
      </c>
    </row>
    <row r="2" spans="1:3">
      <c r="A2" s="10" t="s">
        <v>282</v>
      </c>
    </row>
    <row r="3" spans="1:3">
      <c r="A3" s="10" t="s">
        <v>283</v>
      </c>
    </row>
    <row r="4" spans="1:3">
      <c r="A4" s="5" t="s">
        <v>284</v>
      </c>
    </row>
    <row r="6" spans="1:3" ht="18">
      <c r="A6" s="353" t="s">
        <v>285</v>
      </c>
      <c r="B6" s="354"/>
      <c r="C6" s="355"/>
    </row>
    <row r="7" spans="1:3" s="6" customFormat="1" ht="18">
      <c r="A7" s="11"/>
      <c r="B7" s="12"/>
      <c r="C7" s="13"/>
    </row>
    <row r="8" spans="1:3" s="7" customFormat="1" ht="15">
      <c r="A8" s="14" t="s">
        <v>286</v>
      </c>
      <c r="B8" s="15" t="s">
        <v>287</v>
      </c>
      <c r="C8" s="16" t="s">
        <v>157</v>
      </c>
    </row>
    <row r="9" spans="1:3" ht="14.25">
      <c r="A9" s="17" t="s">
        <v>288</v>
      </c>
      <c r="B9" s="18" t="s">
        <v>289</v>
      </c>
      <c r="C9" s="19">
        <v>30518</v>
      </c>
    </row>
    <row r="10" spans="1:3" ht="14.25">
      <c r="A10" s="20" t="s">
        <v>290</v>
      </c>
      <c r="B10" s="21" t="s">
        <v>291</v>
      </c>
      <c r="C10" s="22">
        <f>4359/12/30/C9*1000</f>
        <v>0.39676038185114793</v>
      </c>
    </row>
    <row r="11" spans="1:3" ht="14.25">
      <c r="A11" s="20" t="s">
        <v>292</v>
      </c>
      <c r="B11" s="21" t="s">
        <v>293</v>
      </c>
      <c r="C11" s="23">
        <f>C9*C10/1000</f>
        <v>12.108333333333333</v>
      </c>
    </row>
    <row r="12" spans="1:3" ht="14.25">
      <c r="A12" s="20" t="s">
        <v>294</v>
      </c>
      <c r="B12" s="21" t="s">
        <v>295</v>
      </c>
      <c r="C12" s="24">
        <f>(C11*30)</f>
        <v>363.25</v>
      </c>
    </row>
    <row r="13" spans="1:3" ht="14.25">
      <c r="A13" s="20" t="s">
        <v>296</v>
      </c>
      <c r="B13" s="21" t="s">
        <v>60</v>
      </c>
      <c r="C13" s="25">
        <v>6</v>
      </c>
    </row>
    <row r="14" spans="1:3" ht="14.25">
      <c r="A14" s="20" t="s">
        <v>297</v>
      </c>
      <c r="B14" s="21" t="s">
        <v>293</v>
      </c>
      <c r="C14" s="23">
        <f>IFERROR(C11*7/C13,0)</f>
        <v>14.126388888888888</v>
      </c>
    </row>
    <row r="15" spans="1:3" ht="14.25">
      <c r="A15" s="17" t="s">
        <v>298</v>
      </c>
      <c r="B15" s="21" t="s">
        <v>299</v>
      </c>
      <c r="C15" s="26">
        <v>500</v>
      </c>
    </row>
    <row r="16" spans="1:3" ht="14.25">
      <c r="A16" s="20" t="s">
        <v>300</v>
      </c>
      <c r="B16" s="21"/>
      <c r="C16" s="19">
        <v>1</v>
      </c>
    </row>
    <row r="17" spans="1:3" ht="14.25">
      <c r="A17" s="17" t="s">
        <v>301</v>
      </c>
      <c r="B17" s="21" t="s">
        <v>302</v>
      </c>
      <c r="C17" s="19">
        <v>12</v>
      </c>
    </row>
    <row r="18" spans="1:3" ht="14.25">
      <c r="A18" s="20" t="s">
        <v>303</v>
      </c>
      <c r="B18" s="21" t="s">
        <v>295</v>
      </c>
      <c r="C18" s="26">
        <f>IF(AND(C17&gt;=15,C16=1),5.8,C17/2)</f>
        <v>6</v>
      </c>
    </row>
    <row r="19" spans="1:3" ht="14.25">
      <c r="A19" s="17" t="s">
        <v>304</v>
      </c>
      <c r="B19" s="21"/>
      <c r="C19" s="23">
        <f>IFERROR(C14/C18,0)</f>
        <v>2.3543981481481482</v>
      </c>
    </row>
    <row r="20" spans="1:3" ht="14.25">
      <c r="A20" s="17" t="s">
        <v>305</v>
      </c>
      <c r="B20" s="21"/>
      <c r="C20" s="27">
        <v>1</v>
      </c>
    </row>
    <row r="21" spans="1:3" ht="14.25">
      <c r="A21" s="28" t="s">
        <v>306</v>
      </c>
      <c r="B21" s="29"/>
      <c r="C21" s="30">
        <f>IFERROR(C19/C20,0)</f>
        <v>2.3543981481481482</v>
      </c>
    </row>
    <row r="24" spans="1:3">
      <c r="A24" s="8" t="str">
        <f>'1. Coleta Domiciliar'!F286</f>
        <v>Teutônia, 17 de outubro de 2024.</v>
      </c>
    </row>
    <row r="29" spans="1:3">
      <c r="A29" s="31" t="s">
        <v>152</v>
      </c>
    </row>
    <row r="30" spans="1:3">
      <c r="A30" s="32" t="s">
        <v>209</v>
      </c>
    </row>
    <row r="31" spans="1:3">
      <c r="A31" s="32" t="s">
        <v>210</v>
      </c>
    </row>
    <row r="32" spans="1:3">
      <c r="A32" s="33"/>
    </row>
    <row r="33" spans="1:1">
      <c r="A33" s="34"/>
    </row>
    <row r="34" spans="1:1" ht="14.25">
      <c r="A34" s="35"/>
    </row>
    <row r="35" spans="1:1">
      <c r="A35" s="36" t="s">
        <v>211</v>
      </c>
    </row>
    <row r="36" spans="1:1">
      <c r="A36" s="37" t="s">
        <v>212</v>
      </c>
    </row>
  </sheetData>
  <mergeCells count="1">
    <mergeCell ref="A6:C6"/>
  </mergeCells>
  <pageMargins left="0.51" right="0.51" top="0.79000000000000015" bottom="0.79000000000000015" header="0.31" footer="0.31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6"/>
  <sheetViews>
    <sheetView workbookViewId="0">
      <selection activeCell="G26" sqref="G26"/>
    </sheetView>
  </sheetViews>
  <sheetFormatPr defaultColWidth="9" defaultRowHeight="12.75"/>
  <cols>
    <col min="1" max="1" width="43.42578125" customWidth="1"/>
  </cols>
  <sheetData>
    <row r="1" spans="1:1">
      <c r="A1" s="1" t="s">
        <v>72</v>
      </c>
    </row>
    <row r="2" spans="1:1">
      <c r="A2" s="2" t="s">
        <v>73</v>
      </c>
    </row>
    <row r="3" spans="1:1">
      <c r="A3" s="2" t="s">
        <v>74</v>
      </c>
    </row>
    <row r="4" spans="1:1">
      <c r="A4" s="2" t="s">
        <v>75</v>
      </c>
    </row>
    <row r="5" spans="1:1">
      <c r="A5" s="2" t="s">
        <v>76</v>
      </c>
    </row>
    <row r="6" spans="1:1">
      <c r="A6" s="2" t="s">
        <v>78</v>
      </c>
    </row>
    <row r="7" spans="1:1">
      <c r="A7" s="2" t="s">
        <v>79</v>
      </c>
    </row>
    <row r="8" spans="1:1">
      <c r="A8" s="3" t="s">
        <v>80</v>
      </c>
    </row>
    <row r="9" spans="1:1">
      <c r="A9" s="2" t="s">
        <v>81</v>
      </c>
    </row>
    <row r="10" spans="1:1">
      <c r="A10" s="2" t="s">
        <v>82</v>
      </c>
    </row>
    <row r="11" spans="1:1">
      <c r="A11" s="4"/>
    </row>
    <row r="12" spans="1:1">
      <c r="A12" s="5" t="s">
        <v>307</v>
      </c>
    </row>
    <row r="14" spans="1:1">
      <c r="A14" s="1" t="s">
        <v>308</v>
      </c>
    </row>
    <row r="15" spans="1:1">
      <c r="A15" s="2" t="s">
        <v>309</v>
      </c>
    </row>
    <row r="16" spans="1:1">
      <c r="A16" s="2" t="s">
        <v>310</v>
      </c>
    </row>
    <row r="17" spans="1:1">
      <c r="A17" s="2" t="s">
        <v>119</v>
      </c>
    </row>
    <row r="18" spans="1:1">
      <c r="A18" s="2" t="s">
        <v>311</v>
      </c>
    </row>
    <row r="19" spans="1:1">
      <c r="A19" s="2" t="s">
        <v>312</v>
      </c>
    </row>
    <row r="20" spans="1:1">
      <c r="A20" s="2" t="s">
        <v>313</v>
      </c>
    </row>
    <row r="21" spans="1:1">
      <c r="A21" s="2" t="s">
        <v>314</v>
      </c>
    </row>
    <row r="22" spans="1:1">
      <c r="A22" s="2" t="s">
        <v>315</v>
      </c>
    </row>
    <row r="23" spans="1:1">
      <c r="A23" s="2" t="s">
        <v>316</v>
      </c>
    </row>
    <row r="25" spans="1:1">
      <c r="A25" s="1" t="s">
        <v>317</v>
      </c>
    </row>
    <row r="27" spans="1:1">
      <c r="A27" s="2" t="s">
        <v>133</v>
      </c>
    </row>
    <row r="28" spans="1:1">
      <c r="A28" s="2" t="s">
        <v>134</v>
      </c>
    </row>
    <row r="29" spans="1:1">
      <c r="A29" s="2" t="s">
        <v>135</v>
      </c>
    </row>
    <row r="30" spans="1:1">
      <c r="A30" s="2" t="s">
        <v>136</v>
      </c>
    </row>
    <row r="31" spans="1:1">
      <c r="A31" s="2" t="s">
        <v>138</v>
      </c>
    </row>
    <row r="33" spans="1:1">
      <c r="A33" s="2" t="s">
        <v>141</v>
      </c>
    </row>
    <row r="34" spans="1:1">
      <c r="A34" s="2" t="s">
        <v>142</v>
      </c>
    </row>
    <row r="35" spans="1:1">
      <c r="A35" s="2" t="s">
        <v>143</v>
      </c>
    </row>
    <row r="36" spans="1:1">
      <c r="A36" s="2" t="s">
        <v>145</v>
      </c>
    </row>
  </sheetData>
  <pageMargins left="0.51" right="0.51" top="0.79000000000000015" bottom="0.79000000000000015" header="0.31" footer="0.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5</vt:i4>
      </vt:variant>
    </vt:vector>
  </HeadingPairs>
  <TitlesOfParts>
    <vt:vector size="13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Plan1</vt:lpstr>
      <vt:lpstr>AbaDeprec</vt:lpstr>
      <vt:lpstr>AbaRemun</vt:lpstr>
      <vt:lpstr>'1. Coleta Domiciliar'!Print_Area</vt:lpstr>
      <vt:lpstr>'2.Encargos Sociais'!Print_Area</vt:lpstr>
      <vt:lpstr>'1. Coleta Domiciliar'!Print_Titles</vt:lpstr>
    </vt:vector>
  </TitlesOfParts>
  <Company>dmlu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aline.casarin</cp:lastModifiedBy>
  <cp:lastPrinted>2024-10-17T12:41:31Z</cp:lastPrinted>
  <dcterms:created xsi:type="dcterms:W3CDTF">2000-12-13T10:02:00Z</dcterms:created>
  <dcterms:modified xsi:type="dcterms:W3CDTF">2024-10-17T12:49:48Z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1046-11.2.0.10382</vt:lpwstr>
  </property>
  <property fmtid="{D5CDD505-2E9C-101B-9397-08002B2CF9AE}" pid="3" name="ICV">
    <vt:lpwstr>327C35B0039D4DBA99D4DB1EADCBF028</vt:lpwstr>
  </property>
</Properties>
</file>