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00"/>
  </bookViews>
  <sheets>
    <sheet name="Planilha" sheetId="1" r:id="rId1"/>
  </sheets>
  <definedNames>
    <definedName name="_xlnm.Print_Area" localSheetId="0">Planilha!$B$1:$F$230</definedName>
    <definedName name="Z_70A25660_0865_4554_9397_819227EB43B3_.wvu.PrintArea" localSheetId="0" hidden="1">Planilha!$B$1:$F$234</definedName>
  </definedNames>
  <calcPr calcId="191029"/>
  <customWorkbookViews>
    <customWorkbookView name="Marcos Fortes - Modo de exibição pessoal" guid="{70A25660-0865-4554-9397-819227EB43B3}" personalView="1" maximized="1" xWindow="-8" yWindow="-8" windowWidth="1616" windowHeight="87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<sst xmlns="http://schemas.openxmlformats.org/spreadsheetml/2006/main" count="266" uniqueCount="188">
  <si>
    <t>PREFEITURA MUNICIPAL DE GUAÍBA</t>
  </si>
  <si>
    <t>SECRETARIA DE INFRAESTRUTURA E SERVIÇOS PÚBLICOS</t>
  </si>
  <si>
    <t>Dados da CCT</t>
  </si>
  <si>
    <t>Município/UF</t>
  </si>
  <si>
    <t>GUAÍBA/RS</t>
  </si>
  <si>
    <t>Serviço</t>
  </si>
  <si>
    <t>Construção Civil</t>
  </si>
  <si>
    <t>Categoria</t>
  </si>
  <si>
    <t>Serralheiro</t>
  </si>
  <si>
    <t>CCT nº</t>
  </si>
  <si>
    <t>RS003085/2023</t>
  </si>
  <si>
    <t>Data base</t>
  </si>
  <si>
    <t>agosto/2023</t>
  </si>
  <si>
    <t>Salário normativo</t>
  </si>
  <si>
    <t>Salário Proporcional</t>
  </si>
  <si>
    <t>Vale-alimentação</t>
  </si>
  <si>
    <t>nº</t>
  </si>
  <si>
    <t>valor</t>
  </si>
  <si>
    <t>desconto</t>
  </si>
  <si>
    <t>Vale-transporte</t>
  </si>
  <si>
    <t>Plano de benefício social familiar</t>
  </si>
  <si>
    <t>Insalubridade</t>
  </si>
  <si>
    <t>Grau</t>
  </si>
  <si>
    <t>Médio</t>
  </si>
  <si>
    <t>Máximo</t>
  </si>
  <si>
    <t>Dados p/cálculo de Aviso-Prévio</t>
  </si>
  <si>
    <t>Dias aviso ano</t>
  </si>
  <si>
    <t>Dias proporc.</t>
  </si>
  <si>
    <t>Dias aviso</t>
  </si>
  <si>
    <t>Nº meses  no emprego</t>
  </si>
  <si>
    <t>Percentuais por tipo de desligamento</t>
  </si>
  <si>
    <t>Sem justa causa indenizado</t>
  </si>
  <si>
    <t>Sem justa causa trabalhado</t>
  </si>
  <si>
    <t>Com justa causa</t>
  </si>
  <si>
    <t>Outros tipos de desligamento</t>
  </si>
  <si>
    <t>Dados para cálculo de reposição de profissional ausente</t>
  </si>
  <si>
    <t>Incidência Anual</t>
  </si>
  <si>
    <t>Duração Legal da Ausência</t>
  </si>
  <si>
    <t>40 hs</t>
  </si>
  <si>
    <t>Proporção de  Dias afetados</t>
  </si>
  <si>
    <t>Dias de Reposição</t>
  </si>
  <si>
    <t>Férias</t>
  </si>
  <si>
    <t>Ausência justificada</t>
  </si>
  <si>
    <t>Acidente trabalho</t>
  </si>
  <si>
    <t>Afastamento por doença</t>
  </si>
  <si>
    <t>Consulta médica filho</t>
  </si>
  <si>
    <t>Óbitos na família</t>
  </si>
  <si>
    <t>Casamento</t>
  </si>
  <si>
    <t>Doação de sangue</t>
  </si>
  <si>
    <t>Testemunho</t>
  </si>
  <si>
    <t>Paternidade</t>
  </si>
  <si>
    <t>Maternidade</t>
  </si>
  <si>
    <t>Consulta pré-natal</t>
  </si>
  <si>
    <t>Total</t>
  </si>
  <si>
    <t>Nº de meses de execução contratual</t>
  </si>
  <si>
    <t>Dias úteis no ano</t>
  </si>
  <si>
    <t>Média de dias mês</t>
  </si>
  <si>
    <t>PLANILHA DE CUSTOS</t>
  </si>
  <si>
    <t>MÓDULO I - COMPOSIÇÃO DA REMUNERAÇÃO</t>
  </si>
  <si>
    <t>%</t>
  </si>
  <si>
    <t>R$</t>
  </si>
  <si>
    <t>Salário-Base</t>
  </si>
  <si>
    <t>Adicional de Periculosidade</t>
  </si>
  <si>
    <t>Adicional de Insalubridade*</t>
  </si>
  <si>
    <t>Adicional Noturno</t>
  </si>
  <si>
    <t>Adicional de Hora Noturna Reduzida</t>
  </si>
  <si>
    <t>Adicional de Hora Extra no Dom e Feriado Trabalhado</t>
  </si>
  <si>
    <t>Outros (especificar): DSR</t>
  </si>
  <si>
    <t>Total do Módulo 1</t>
  </si>
  <si>
    <t>MÓDULO 2 - ENCARGOS E BENEFÍCIOS ANUAIS, MENSAIS E DIÁRIOS</t>
  </si>
  <si>
    <t>Submódulo 2.1 - 13º Salário e Adicional de Férias</t>
  </si>
  <si>
    <t>13º Salário</t>
  </si>
  <si>
    <t>Adicional de férias</t>
  </si>
  <si>
    <t>Submódulo 2.2 - Encargos Previdenciários, (FGTS) e outras contribuições</t>
  </si>
  <si>
    <t>Base de cálculo (M1+M2)</t>
  </si>
  <si>
    <t>INSS</t>
  </si>
  <si>
    <t>Salário Educação</t>
  </si>
  <si>
    <t>SAT</t>
  </si>
  <si>
    <t>SESC ou SESI</t>
  </si>
  <si>
    <t>SENAI - SENAC</t>
  </si>
  <si>
    <t>SEBRAE</t>
  </si>
  <si>
    <t>INCRA</t>
  </si>
  <si>
    <t>Subtotal -  GPS</t>
  </si>
  <si>
    <t>FGTS</t>
  </si>
  <si>
    <t>Submódulo 2.3 - Benefícios Mensais e Diários</t>
  </si>
  <si>
    <t>Transporte</t>
  </si>
  <si>
    <t>Auxílio-Refeição/Alimentação</t>
  </si>
  <si>
    <t>Plano de Benefício Social Familiar</t>
  </si>
  <si>
    <t>Seguro</t>
  </si>
  <si>
    <t>Outros (especificar)</t>
  </si>
  <si>
    <t>Resumo do Módulo 2 - Encargos e Benefícios anuais, mensais e diários</t>
  </si>
  <si>
    <t>Submódulo 2.2 - Encargos Previdenciários e FGTS</t>
  </si>
  <si>
    <t>Total do Módulo 2</t>
  </si>
  <si>
    <t>MÓDULO 3 - PROVISÃO PARA RESCISÃO</t>
  </si>
  <si>
    <t>Submódulo 3.1. Aviso Prévio Indenizado</t>
  </si>
  <si>
    <t>Aviso Prévio Indenizado</t>
  </si>
  <si>
    <t>Incidência do FGTS sobre o Aviso Prévio Indenizado</t>
  </si>
  <si>
    <t>Multa do FGTS e contribuição social sobre o Aviso Prévio Indenizado</t>
  </si>
  <si>
    <t>Subtotal do Submódulo 3.1</t>
  </si>
  <si>
    <t>Submódulo 3.2. Aviso Prévio Trabalhado</t>
  </si>
  <si>
    <t>Aviso Prévio Trabalhado</t>
  </si>
  <si>
    <t>Incidência dos encargos do submódulo 2.2 sobre o Aviso Prévio Trabalhado</t>
  </si>
  <si>
    <t>Multa do FGTS e contribuição social sobre o Aviso Prévio Trabalhado</t>
  </si>
  <si>
    <t>Subtotal do Submódulo 3.2</t>
  </si>
  <si>
    <t>Submódulo 3.3. - Demissão por Justa Causa</t>
  </si>
  <si>
    <t>Desconto do Submódulo 2.1</t>
  </si>
  <si>
    <t>Subtotal do Submódulo 3.3.</t>
  </si>
  <si>
    <t>Resumo do Módulo 3 - Provisão para rescisão</t>
  </si>
  <si>
    <t>Total do Módulo 3</t>
  </si>
  <si>
    <t>MÓDULO 4 - CUSTO DE REPOSIÇÃO DO PROFISSIONAL AUSENTE</t>
  </si>
  <si>
    <t>Submódulo 4.1 - Ausências Legais</t>
  </si>
  <si>
    <t>Custo diário</t>
  </si>
  <si>
    <t>Dias reposição</t>
  </si>
  <si>
    <t>Subtotal</t>
  </si>
  <si>
    <t>Submódulo 4.2 - Intrajornada</t>
  </si>
  <si>
    <t>Intervalo para repouso ou alimentação</t>
  </si>
  <si>
    <t>Resumo do módulo 4</t>
  </si>
  <si>
    <t>Total do Módulo 4</t>
  </si>
  <si>
    <t>MÓDULO 5 - INSUMOS DIVERSOS</t>
  </si>
  <si>
    <t>Submódulo 5.1. Uniforme e EPI's p/ Empregado</t>
  </si>
  <si>
    <t>Descrição</t>
  </si>
  <si>
    <t>Unidade</t>
  </si>
  <si>
    <t>Durabilidade (meses)</t>
  </si>
  <si>
    <t>Custo unitário</t>
  </si>
  <si>
    <t>Camiseta (2 unidades)</t>
  </si>
  <si>
    <t>unidade</t>
  </si>
  <si>
    <t>Calça (2 unidades)</t>
  </si>
  <si>
    <t>Botina bico de aço</t>
  </si>
  <si>
    <t>par</t>
  </si>
  <si>
    <t>Luva</t>
  </si>
  <si>
    <t>Óculos contra impacto</t>
  </si>
  <si>
    <t>Protetor auricular</t>
  </si>
  <si>
    <t>Abafador de ruídos</t>
  </si>
  <si>
    <t>Capa impermeável</t>
  </si>
  <si>
    <t>Protetor facial de acrílico</t>
  </si>
  <si>
    <t>Avental de raspa</t>
  </si>
  <si>
    <t>Protetor solar FPS 50</t>
  </si>
  <si>
    <t>frasco 120g</t>
  </si>
  <si>
    <t>Total Submódulo 5.1</t>
  </si>
  <si>
    <t>Submódulo 5.2. Equipamentos/ferramentas p/ Empregado</t>
  </si>
  <si>
    <t>Furadeira de impacto 1/2" -
600W</t>
  </si>
  <si>
    <t>Esmerilhadeira Angular
Elétrica, diâmetro do disco
7"(180mm)</t>
  </si>
  <si>
    <t>Lixadeira elétrica angular</t>
  </si>
  <si>
    <t>Trena</t>
  </si>
  <si>
    <t>Martelo de pedreiro - 1 corte - cabo 20 cm - 1/2 kg</t>
  </si>
  <si>
    <t>Martelo de borracha</t>
  </si>
  <si>
    <t>Nível de bolha - alumínio - 35cm</t>
  </si>
  <si>
    <t>Alicate diagonal para corte
rente 6"</t>
  </si>
  <si>
    <t>Kit Chave de Fenda e Phillips</t>
  </si>
  <si>
    <t>Régua de Alumínio - 2m</t>
  </si>
  <si>
    <t>Esquadro 90° x 30 cm (12")</t>
  </si>
  <si>
    <t>Riscador com ponta de videa</t>
  </si>
  <si>
    <t>Total Submódulo 5.3</t>
  </si>
  <si>
    <r>
      <rPr>
        <b/>
        <sz val="10"/>
        <color theme="1"/>
        <rFont val="Calibri"/>
        <charset val="134"/>
        <scheme val="minor"/>
      </rPr>
      <t>Obs.:</t>
    </r>
    <r>
      <rPr>
        <sz val="10"/>
        <color theme="1"/>
        <rFont val="Calibri"/>
        <charset val="134"/>
        <scheme val="minor"/>
      </rPr>
      <t xml:space="preserve"> Referência dos custos unitários - Módulo 5: SINAPI - Calculos e parâmetros DEZ/2023 (https://www.caixa.gov.br/Downloads/sinapi-manual-de-metodologias-e-conceitos/Livro2_SINAPI_Calculos_e_Parametros_Edicao_Digital_Vigente.pdf)</t>
    </r>
  </si>
  <si>
    <t>Resumo do Módulo 5</t>
  </si>
  <si>
    <t>Submódulo 5.1. Uniformes</t>
  </si>
  <si>
    <t>Submódulo 5.2. Equipamentos/ferramentas</t>
  </si>
  <si>
    <t>Total do Módulo 5</t>
  </si>
  <si>
    <t>TOTAL DOS MÓDULOS 1 a 5</t>
  </si>
  <si>
    <t>Módulo 1 - Composição da Remuneração</t>
  </si>
  <si>
    <t>Módulo 2 - Encargos e Benefícios Anuais, Mensais e Diários</t>
  </si>
  <si>
    <t>Módulo 3 - Provisão para Rescisão</t>
  </si>
  <si>
    <t>Módulo 4 - Reposição do Profissional Ausente</t>
  </si>
  <si>
    <t>Módulo 5 - Insumos Diversos</t>
  </si>
  <si>
    <t xml:space="preserve">Total </t>
  </si>
  <si>
    <t>MÓDULO 6 - BDI - CUSTOS INDIRETOS, LUCRO E TRIBUTOS</t>
  </si>
  <si>
    <t>Base cálculo</t>
  </si>
  <si>
    <t>Percentual</t>
  </si>
  <si>
    <t>Custos indiretos</t>
  </si>
  <si>
    <t>Lucro</t>
  </si>
  <si>
    <t>Tributos</t>
  </si>
  <si>
    <t>PIS</t>
  </si>
  <si>
    <t>COFINS</t>
  </si>
  <si>
    <t>ISS</t>
  </si>
  <si>
    <t>Total de tributos</t>
  </si>
  <si>
    <t>Total do Módulo 6</t>
  </si>
  <si>
    <t>TOTAL DOS MÓDULOS 1 A 6</t>
  </si>
  <si>
    <t xml:space="preserve">Módulo 6 - BDI </t>
  </si>
  <si>
    <t>Total empregado/mês</t>
  </si>
  <si>
    <t>N º de Empregados por Posto de Trabalho</t>
  </si>
  <si>
    <t>N º de Postos de Trabalho</t>
  </si>
  <si>
    <t>Total do Serviço/mês</t>
  </si>
  <si>
    <t>Notas:</t>
  </si>
  <si>
    <t xml:space="preserve">Convenção Coletiva da Construção Civil </t>
  </si>
  <si>
    <t>VT percentual incidente sobre o salário bruto com desconto de 3% conf. Convenção Coletiva</t>
  </si>
  <si>
    <t>Valor Referente à 7 dias de aviso prévio pago e não trabalhado pelo empregado. Partindo do pressuposto que ele ira optar por terminar seu aviso com 7 dias de antecedência a diminuir sua ch em duas horas diárias.</t>
  </si>
  <si>
    <t>Para fins de Multa do FGTS e contribuição social sobre o Aviso Prévio Trabalhado foi considerado o período de 30 dias, visto que a multa deverá ser provisionada mês a mês.</t>
  </si>
  <si>
    <t>Na demissão por justa causa o servidor perde o direito à décimo terceiro e férias proporcionais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</si>
</sst>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2">
    <numFmt numFmtId="176" formatCode="_-* #,##0.00_-;\-* #,##0.00_-;_-* &quot;-&quot;??_-;_-@_-"/>
    <numFmt numFmtId="177" formatCode="_-&quot;R$&quot;\ * #,##0.00_-;\-&quot;R$&quot;\ * #,##0.00_-;_-&quot;R$&quot;\ * &quot;-&quot;??_-;_-@_-"/>
    <numFmt numFmtId="178" formatCode="_-* #,##0_-;\-* #,##0_-;_-* &quot;-&quot;_-;_-@_-"/>
    <numFmt numFmtId="179" formatCode="_-&quot;R$&quot;\ * #,##0_-;\-&quot;R$&quot;\ * #,##0_-;_-&quot;R$&quot;\ * &quot;-&quot;_-;_-@_-"/>
    <numFmt numFmtId="180" formatCode="_-* #,##0.0000000000_-;\-* #,##0.0000000000_-;_-* &quot;-&quot;??_-;_-@_-"/>
    <numFmt numFmtId="181" formatCode="0.0000"/>
    <numFmt numFmtId="182" formatCode="#,##0.00_ ;\-#,##0.00\ "/>
    <numFmt numFmtId="183" formatCode="_-* #,##0.00_-;\-* #,##0.00_-;_-* &quot;-&quot;????????_-;_-@_-"/>
    <numFmt numFmtId="184" formatCode="_-* #,##0.0000_-;\-* #,##0.0000_-;_-* &quot;-&quot;??_-;_-@_-"/>
    <numFmt numFmtId="185" formatCode="_-* #,##0.00_-;\-* #,##0.00_-;_-* &quot;-&quot;????_-;_-@_-"/>
    <numFmt numFmtId="186" formatCode="_-* #,##0.0000_-;\-* #,##0.0000_-;_-* &quot;-&quot;????_-;_-@_-"/>
    <numFmt numFmtId="187" formatCode="0.00_ "/>
  </numFmts>
  <fonts count="32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name val="Calibri"/>
      <charset val="134"/>
      <scheme val="minor"/>
    </font>
    <font>
      <i/>
      <sz val="11"/>
      <color rgb="FFFF0000"/>
      <name val="Calibri"/>
      <charset val="134"/>
      <scheme val="minor"/>
    </font>
    <font>
      <sz val="11"/>
      <color rgb="FFFF0000"/>
      <name val="Calibri"/>
      <charset val="134"/>
      <scheme val="minor"/>
    </font>
    <font>
      <sz val="12"/>
      <color theme="1"/>
      <name val="Calibri"/>
      <charset val="134"/>
      <scheme val="minor"/>
    </font>
    <font>
      <b/>
      <sz val="11"/>
      <name val="Calibri"/>
      <charset val="134"/>
      <scheme val="minor"/>
    </font>
    <font>
      <b/>
      <sz val="11"/>
      <color rgb="FFFF0000"/>
      <name val="Calibri"/>
      <charset val="134"/>
      <scheme val="minor"/>
    </font>
    <font>
      <sz val="26"/>
      <color rgb="FFFF0000"/>
      <name val="Calibri"/>
      <charset val="134"/>
      <scheme val="minor"/>
    </font>
    <font>
      <sz val="10"/>
      <color theme="1"/>
      <name val="Calibri"/>
      <charset val="134"/>
      <scheme val="minor"/>
    </font>
    <font>
      <b/>
      <sz val="10"/>
      <color theme="1"/>
      <name val="Calibri"/>
      <charset val="134"/>
      <scheme val="minor"/>
    </font>
    <font>
      <sz val="10"/>
      <color rgb="FF000000"/>
      <name val="Calibri"/>
      <charset val="134"/>
    </font>
    <font>
      <sz val="9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"/>
        <bgColor indexed="64"/>
      </patternFill>
    </fill>
    <fill>
      <patternFill patternType="solid">
        <fgColor theme="0" tint="-0.15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/>
    <xf numFmtId="177" fontId="9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/>
    <xf numFmtId="178" fontId="9" fillId="0" borderId="0" applyFont="0" applyFill="0" applyBorder="0" applyAlignment="0" applyProtection="0">
      <alignment vertical="center"/>
    </xf>
    <xf numFmtId="179" fontId="9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7" borderId="11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8" borderId="14" applyNumberFormat="0" applyAlignment="0" applyProtection="0">
      <alignment vertical="center"/>
    </xf>
    <xf numFmtId="0" fontId="22" fillId="9" borderId="15" applyNumberFormat="0" applyAlignment="0" applyProtection="0">
      <alignment vertical="center"/>
    </xf>
    <xf numFmtId="0" fontId="23" fillId="9" borderId="14" applyNumberFormat="0" applyAlignment="0" applyProtection="0">
      <alignment vertical="center"/>
    </xf>
    <xf numFmtId="0" fontId="24" fillId="10" borderId="16" applyNumberFormat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</cellStyleXfs>
  <cellXfs count="176">
    <xf numFmtId="0" fontId="0" fillId="0" borderId="0" xfId="0"/>
    <xf numFmtId="0" fontId="1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16" fontId="0" fillId="3" borderId="1" xfId="0" applyNumberFormat="1" applyFill="1" applyBorder="1" applyAlignment="1">
      <alignment horizontal="left" vertical="center"/>
    </xf>
    <xf numFmtId="4" fontId="0" fillId="3" borderId="1" xfId="0" applyNumberFormat="1" applyFill="1" applyBorder="1" applyAlignment="1">
      <alignment horizontal="left" vertical="center"/>
    </xf>
    <xf numFmtId="2" fontId="0" fillId="2" borderId="0" xfId="0" applyNumberFormat="1" applyFill="1" applyAlignment="1">
      <alignment vertical="center"/>
    </xf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" fontId="2" fillId="4" borderId="1" xfId="0" applyNumberFormat="1" applyFont="1" applyFill="1" applyBorder="1" applyAlignment="1">
      <alignment horizontal="center" vertical="center"/>
    </xf>
    <xf numFmtId="10" fontId="0" fillId="3" borderId="1" xfId="3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justify"/>
    </xf>
    <xf numFmtId="0" fontId="3" fillId="0" borderId="0" xfId="0" applyFont="1" applyFill="1" applyAlignment="1">
      <alignment horizontal="left" vertical="justify"/>
    </xf>
    <xf numFmtId="0" fontId="0" fillId="2" borderId="1" xfId="0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9" fontId="2" fillId="5" borderId="1" xfId="3" applyFont="1" applyFill="1" applyBorder="1" applyAlignment="1">
      <alignment horizontal="center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9" fontId="0" fillId="2" borderId="1" xfId="3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0" fillId="2" borderId="1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176" fontId="0" fillId="2" borderId="0" xfId="0" applyNumberFormat="1" applyFill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10" fontId="0" fillId="2" borderId="1" xfId="0" applyNumberFormat="1" applyFill="1" applyBorder="1" applyAlignment="1">
      <alignment vertical="center"/>
    </xf>
    <xf numFmtId="180" fontId="0" fillId="2" borderId="0" xfId="0" applyNumberFormat="1" applyFill="1" applyAlignment="1">
      <alignment horizontal="left" vertical="center"/>
    </xf>
    <xf numFmtId="0" fontId="0" fillId="2" borderId="2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10" fontId="0" fillId="2" borderId="8" xfId="0" applyNumberFormat="1" applyFill="1" applyBorder="1" applyAlignment="1">
      <alignment vertical="center"/>
    </xf>
    <xf numFmtId="0" fontId="1" fillId="2" borderId="5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181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0" fontId="0" fillId="2" borderId="1" xfId="0" applyNumberFormat="1" applyFill="1" applyBorder="1" applyAlignment="1">
      <alignment horizontal="center" vertical="center" wrapText="1"/>
    </xf>
    <xf numFmtId="181" fontId="0" fillId="2" borderId="1" xfId="0" applyNumberForma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1" fillId="2" borderId="1" xfId="0" applyFont="1" applyFill="1" applyBorder="1" applyAlignment="1">
      <alignment horizontal="right" vertical="center"/>
    </xf>
    <xf numFmtId="181" fontId="1" fillId="2" borderId="1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vertical="center"/>
    </xf>
    <xf numFmtId="1" fontId="1" fillId="2" borderId="1" xfId="3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/>
    </xf>
    <xf numFmtId="1" fontId="6" fillId="0" borderId="1" xfId="3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176" fontId="0" fillId="2" borderId="1" xfId="1" applyFont="1" applyFill="1" applyBorder="1" applyAlignment="1">
      <alignment vertical="center"/>
    </xf>
    <xf numFmtId="9" fontId="0" fillId="2" borderId="1" xfId="0" applyNumberFormat="1" applyFill="1" applyBorder="1" applyAlignment="1">
      <alignment vertical="center"/>
    </xf>
    <xf numFmtId="176" fontId="0" fillId="3" borderId="1" xfId="1" applyFont="1" applyFill="1" applyBorder="1" applyAlignment="1">
      <alignment vertical="center"/>
    </xf>
    <xf numFmtId="9" fontId="2" fillId="0" borderId="1" xfId="0" applyNumberFormat="1" applyFont="1" applyFill="1" applyBorder="1" applyAlignment="1">
      <alignment vertical="center"/>
    </xf>
    <xf numFmtId="176" fontId="0" fillId="0" borderId="0" xfId="0" applyNumberFormat="1" applyFill="1" applyAlignment="1">
      <alignment vertical="center"/>
    </xf>
    <xf numFmtId="49" fontId="0" fillId="2" borderId="1" xfId="0" applyNumberFormat="1" applyFill="1" applyBorder="1" applyAlignment="1">
      <alignment horizontal="right" vertical="center"/>
    </xf>
    <xf numFmtId="58" fontId="0" fillId="2" borderId="0" xfId="0" applyNumberFormat="1" applyFill="1" applyAlignment="1">
      <alignment vertical="center"/>
    </xf>
    <xf numFmtId="0" fontId="1" fillId="2" borderId="5" xfId="0" applyFont="1" applyFill="1" applyBorder="1" applyAlignment="1">
      <alignment horizontal="right" vertical="center"/>
    </xf>
    <xf numFmtId="0" fontId="1" fillId="2" borderId="7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right" vertical="center"/>
    </xf>
    <xf numFmtId="176" fontId="1" fillId="2" borderId="1" xfId="1" applyFont="1" applyFill="1" applyBorder="1" applyAlignment="1">
      <alignment vertical="center"/>
    </xf>
    <xf numFmtId="176" fontId="0" fillId="2" borderId="0" xfId="0" applyNumberFormat="1" applyFill="1" applyAlignment="1">
      <alignment vertical="center"/>
    </xf>
    <xf numFmtId="0" fontId="1" fillId="2" borderId="7" xfId="0" applyFont="1" applyFill="1" applyBorder="1" applyAlignment="1">
      <alignment horizontal="left" vertical="center"/>
    </xf>
    <xf numFmtId="176" fontId="0" fillId="2" borderId="1" xfId="0" applyNumberFormat="1" applyFill="1" applyBorder="1" applyAlignment="1">
      <alignment vertical="center"/>
    </xf>
    <xf numFmtId="10" fontId="0" fillId="6" borderId="1" xfId="3" applyNumberFormat="1" applyFont="1" applyFill="1" applyBorder="1" applyAlignment="1" applyProtection="1">
      <alignment vertical="center"/>
      <protection locked="0"/>
    </xf>
    <xf numFmtId="182" fontId="0" fillId="2" borderId="1" xfId="1" applyNumberFormat="1" applyFont="1" applyFill="1" applyBorder="1" applyAlignment="1">
      <alignment vertical="center"/>
    </xf>
    <xf numFmtId="10" fontId="0" fillId="2" borderId="1" xfId="3" applyNumberFormat="1" applyFont="1" applyFill="1" applyBorder="1" applyAlignment="1">
      <alignment vertical="center"/>
    </xf>
    <xf numFmtId="182" fontId="1" fillId="2" borderId="1" xfId="1" applyNumberFormat="1" applyFont="1" applyFill="1" applyBorder="1" applyAlignment="1">
      <alignment vertical="center"/>
    </xf>
    <xf numFmtId="10" fontId="1" fillId="2" borderId="1" xfId="0" applyNumberFormat="1" applyFont="1" applyFill="1" applyBorder="1" applyAlignment="1">
      <alignment vertical="center"/>
    </xf>
    <xf numFmtId="0" fontId="0" fillId="2" borderId="7" xfId="0" applyFill="1" applyBorder="1" applyAlignment="1">
      <alignment horizontal="center" vertical="center"/>
    </xf>
    <xf numFmtId="182" fontId="0" fillId="2" borderId="1" xfId="1" applyNumberFormat="1" applyFont="1" applyFill="1" applyBorder="1" applyAlignment="1">
      <alignment horizontal="righ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182" fontId="2" fillId="0" borderId="1" xfId="1" applyNumberFormat="1" applyFont="1" applyFill="1" applyBorder="1" applyAlignment="1">
      <alignment horizontal="right" vertical="center"/>
    </xf>
    <xf numFmtId="182" fontId="0" fillId="3" borderId="1" xfId="1" applyNumberFormat="1" applyFont="1" applyFill="1" applyBorder="1" applyAlignment="1">
      <alignment horizontal="right" vertical="center"/>
    </xf>
    <xf numFmtId="182" fontId="1" fillId="2" borderId="1" xfId="1" applyNumberFormat="1" applyFont="1" applyFill="1" applyBorder="1" applyAlignment="1">
      <alignment horizontal="right" vertical="center"/>
    </xf>
    <xf numFmtId="182" fontId="1" fillId="2" borderId="0" xfId="1" applyNumberFormat="1" applyFont="1" applyFill="1" applyBorder="1" applyAlignment="1">
      <alignment horizontal="right" vertical="center"/>
    </xf>
    <xf numFmtId="4" fontId="0" fillId="2" borderId="1" xfId="0" applyNumberFormat="1" applyFill="1" applyBorder="1" applyAlignment="1">
      <alignment vertical="center"/>
    </xf>
    <xf numFmtId="4" fontId="1" fillId="2" borderId="1" xfId="0" applyNumberFormat="1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2" fontId="2" fillId="2" borderId="1" xfId="0" applyNumberFormat="1" applyFont="1" applyFill="1" applyBorder="1" applyAlignment="1">
      <alignment vertical="center"/>
    </xf>
    <xf numFmtId="0" fontId="2" fillId="2" borderId="5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9" fontId="2" fillId="2" borderId="1" xfId="3" applyFont="1" applyFill="1" applyBorder="1" applyAlignment="1">
      <alignment horizontal="center" vertical="center"/>
    </xf>
    <xf numFmtId="9" fontId="2" fillId="0" borderId="1" xfId="3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right" vertical="center" wrapText="1"/>
    </xf>
    <xf numFmtId="0" fontId="6" fillId="2" borderId="7" xfId="0" applyFont="1" applyFill="1" applyBorder="1" applyAlignment="1">
      <alignment horizontal="right" vertical="center" wrapText="1"/>
    </xf>
    <xf numFmtId="0" fontId="6" fillId="2" borderId="6" xfId="0" applyFont="1" applyFill="1" applyBorder="1" applyAlignment="1">
      <alignment horizontal="right" vertical="center" wrapText="1"/>
    </xf>
    <xf numFmtId="2" fontId="6" fillId="2" borderId="1" xfId="0" applyNumberFormat="1" applyFont="1" applyFill="1" applyBorder="1" applyAlignment="1">
      <alignment vertical="center"/>
    </xf>
    <xf numFmtId="183" fontId="0" fillId="2" borderId="0" xfId="0" applyNumberFormat="1" applyFill="1" applyAlignment="1">
      <alignment vertical="center"/>
    </xf>
    <xf numFmtId="0" fontId="1" fillId="2" borderId="0" xfId="0" applyFont="1" applyFill="1" applyAlignment="1">
      <alignment horizontal="right" vertical="center" wrapText="1"/>
    </xf>
    <xf numFmtId="9" fontId="0" fillId="2" borderId="0" xfId="3" applyFont="1" applyFill="1" applyBorder="1" applyAlignment="1">
      <alignment horizontal="center" vertical="center"/>
    </xf>
    <xf numFmtId="2" fontId="1" fillId="2" borderId="0" xfId="0" applyNumberFormat="1" applyFont="1" applyFill="1" applyAlignment="1">
      <alignment vertical="center"/>
    </xf>
    <xf numFmtId="0" fontId="6" fillId="2" borderId="5" xfId="0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left" vertical="center"/>
    </xf>
    <xf numFmtId="10" fontId="2" fillId="2" borderId="1" xfId="0" applyNumberFormat="1" applyFont="1" applyFill="1" applyBorder="1" applyAlignment="1">
      <alignment vertical="center"/>
    </xf>
    <xf numFmtId="0" fontId="0" fillId="2" borderId="5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vertical="center"/>
    </xf>
    <xf numFmtId="0" fontId="1" fillId="2" borderId="5" xfId="0" applyFont="1" applyFill="1" applyBorder="1" applyAlignment="1">
      <alignment horizontal="right" vertical="center" wrapText="1"/>
    </xf>
    <xf numFmtId="0" fontId="1" fillId="2" borderId="7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vertical="center"/>
    </xf>
    <xf numFmtId="2" fontId="7" fillId="2" borderId="1" xfId="0" applyNumberFormat="1" applyFont="1" applyFill="1" applyBorder="1" applyAlignment="1">
      <alignment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left" vertical="center" wrapText="1"/>
    </xf>
    <xf numFmtId="0" fontId="0" fillId="2" borderId="7" xfId="0" applyFill="1" applyBorder="1" applyAlignment="1">
      <alignment horizontal="left" vertical="center" wrapText="1"/>
    </xf>
    <xf numFmtId="0" fontId="0" fillId="2" borderId="6" xfId="0" applyFill="1" applyBorder="1" applyAlignment="1">
      <alignment horizontal="left" vertical="center" wrapText="1"/>
    </xf>
    <xf numFmtId="2" fontId="1" fillId="2" borderId="1" xfId="0" applyNumberFormat="1" applyFont="1" applyFill="1" applyBorder="1" applyAlignment="1">
      <alignment vertical="center"/>
    </xf>
    <xf numFmtId="0" fontId="8" fillId="2" borderId="0" xfId="0" applyFont="1" applyFill="1" applyAlignment="1">
      <alignment vertical="center"/>
    </xf>
    <xf numFmtId="184" fontId="0" fillId="2" borderId="1" xfId="1" applyNumberFormat="1" applyFont="1" applyFill="1" applyBorder="1" applyAlignment="1">
      <alignment vertical="center"/>
    </xf>
    <xf numFmtId="4" fontId="0" fillId="2" borderId="1" xfId="1" applyNumberFormat="1" applyFont="1" applyFill="1" applyBorder="1" applyAlignment="1">
      <alignment vertical="center"/>
    </xf>
    <xf numFmtId="185" fontId="0" fillId="2" borderId="0" xfId="0" applyNumberFormat="1" applyFill="1" applyAlignment="1">
      <alignment vertical="center"/>
    </xf>
    <xf numFmtId="184" fontId="1" fillId="2" borderId="1" xfId="0" applyNumberFormat="1" applyFont="1" applyFill="1" applyBorder="1" applyAlignment="1">
      <alignment vertical="center"/>
    </xf>
    <xf numFmtId="186" fontId="0" fillId="2" borderId="0" xfId="0" applyNumberFormat="1" applyFill="1" applyAlignment="1">
      <alignment vertical="center"/>
    </xf>
    <xf numFmtId="184" fontId="1" fillId="2" borderId="0" xfId="0" applyNumberFormat="1" applyFont="1" applyFill="1" applyAlignment="1">
      <alignment vertical="center"/>
    </xf>
    <xf numFmtId="4" fontId="1" fillId="2" borderId="0" xfId="0" applyNumberFormat="1" applyFont="1" applyFill="1" applyAlignment="1">
      <alignment vertical="center"/>
    </xf>
    <xf numFmtId="0" fontId="0" fillId="3" borderId="1" xfId="0" applyFill="1" applyBorder="1" applyAlignment="1">
      <alignment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 applyProtection="1">
      <alignment horizontal="center" vertical="center" wrapText="1"/>
      <protection locked="0"/>
    </xf>
    <xf numFmtId="2" fontId="9" fillId="6" borderId="6" xfId="0" applyNumberFormat="1" applyFont="1" applyFill="1" applyBorder="1" applyAlignment="1" applyProtection="1">
      <alignment horizontal="center" vertical="center"/>
      <protection locked="0"/>
    </xf>
    <xf numFmtId="187" fontId="11" fillId="6" borderId="1" xfId="0" applyNumberFormat="1" applyFont="1" applyFill="1" applyBorder="1" applyAlignment="1" applyProtection="1">
      <alignment horizontal="center" vertical="center" wrapText="1"/>
      <protection locked="0"/>
    </xf>
    <xf numFmtId="4" fontId="9" fillId="2" borderId="1" xfId="0" applyNumberFormat="1" applyFont="1" applyFill="1" applyBorder="1" applyAlignment="1">
      <alignment vertical="center"/>
    </xf>
    <xf numFmtId="0" fontId="9" fillId="2" borderId="1" xfId="0" applyFont="1" applyFill="1" applyBorder="1" applyAlignment="1">
      <alignment horizontal="left" vertical="center"/>
    </xf>
    <xf numFmtId="0" fontId="11" fillId="6" borderId="1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right" vertical="center"/>
    </xf>
    <xf numFmtId="4" fontId="10" fillId="2" borderId="1" xfId="0" applyNumberFormat="1" applyFont="1" applyFill="1" applyBorder="1" applyAlignment="1">
      <alignment vertical="center"/>
    </xf>
    <xf numFmtId="0" fontId="10" fillId="2" borderId="0" xfId="0" applyFont="1" applyFill="1" applyAlignment="1">
      <alignment horizontal="right" vertical="center"/>
    </xf>
    <xf numFmtId="4" fontId="10" fillId="2" borderId="0" xfId="0" applyNumberFormat="1" applyFont="1" applyFill="1" applyAlignment="1">
      <alignment vertical="center"/>
    </xf>
    <xf numFmtId="0" fontId="10" fillId="2" borderId="1" xfId="0" applyFont="1" applyFill="1" applyBorder="1" applyAlignment="1">
      <alignment horizontal="left" vertical="center"/>
    </xf>
    <xf numFmtId="4" fontId="10" fillId="2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top" wrapText="1"/>
    </xf>
    <xf numFmtId="4" fontId="9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10" fillId="2" borderId="0" xfId="0" applyFont="1" applyFill="1" applyAlignment="1">
      <alignment horizontal="left" vertical="center" wrapText="1"/>
    </xf>
    <xf numFmtId="0" fontId="9" fillId="2" borderId="0" xfId="0" applyFont="1" applyFill="1" applyAlignment="1">
      <alignment horizontal="left" vertical="center" wrapText="1"/>
    </xf>
    <xf numFmtId="0" fontId="12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0" fontId="12" fillId="2" borderId="0" xfId="0" applyFont="1" applyFill="1" applyAlignment="1">
      <alignment horizontal="right" vertical="center" wrapText="1"/>
    </xf>
    <xf numFmtId="0" fontId="0" fillId="0" borderId="5" xfId="0" applyBorder="1" applyAlignment="1" applyProtection="1">
      <alignment horizontal="left" vertical="center"/>
      <protection locked="0"/>
    </xf>
    <xf numFmtId="0" fontId="0" fillId="0" borderId="6" xfId="0" applyBorder="1" applyAlignment="1" applyProtection="1">
      <alignment horizontal="left" vertical="center"/>
      <protection locked="0"/>
    </xf>
    <xf numFmtId="2" fontId="0" fillId="2" borderId="1" xfId="0" applyNumberFormat="1" applyFill="1" applyBorder="1" applyAlignment="1">
      <alignment vertical="center"/>
    </xf>
    <xf numFmtId="10" fontId="1" fillId="2" borderId="1" xfId="3" applyNumberFormat="1" applyFont="1" applyFill="1" applyBorder="1" applyAlignment="1">
      <alignment vertical="center"/>
    </xf>
    <xf numFmtId="10" fontId="1" fillId="2" borderId="6" xfId="0" applyNumberFormat="1" applyFont="1" applyFill="1" applyBorder="1" applyAlignment="1">
      <alignment vertical="center"/>
    </xf>
    <xf numFmtId="182" fontId="0" fillId="2" borderId="1" xfId="0" applyNumberFormat="1" applyFill="1" applyBorder="1" applyAlignment="1">
      <alignment vertical="center"/>
    </xf>
    <xf numFmtId="0" fontId="10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</cellXfs>
  <cellStyles count="49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</cellStyles>
  <tableStyles count="0" defaultTableStyle="TableStyleMedium9" defaultPivotStyle="PivotStyleLight16"/>
  <colors>
    <mruColors>
      <color rgb="00FFCC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259080</xdr:colOff>
      <xdr:row>1</xdr:row>
      <xdr:rowOff>66675</xdr:rowOff>
    </xdr:from>
    <xdr:to>
      <xdr:col>1</xdr:col>
      <xdr:colOff>799465</xdr:colOff>
      <xdr:row>4</xdr:row>
      <xdr:rowOff>110490</xdr:rowOff>
    </xdr:to>
    <xdr:pic>
      <xdr:nvPicPr>
        <xdr:cNvPr id="2" name="Imagem 1" descr="Resultado de imagem para brasao guaiba"/>
        <xdr:cNvPicPr/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49630" y="257175"/>
          <a:ext cx="540385" cy="61531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3:K234"/>
  <sheetViews>
    <sheetView tabSelected="1" topLeftCell="A200" workbookViewId="0">
      <selection activeCell="G19" sqref="G19"/>
    </sheetView>
  </sheetViews>
  <sheetFormatPr defaultColWidth="8.85714285714286" defaultRowHeight="15"/>
  <cols>
    <col min="1" max="1" width="8.85714285714286" style="2"/>
    <col min="2" max="2" width="22.4285714285714" style="2" customWidth="1"/>
    <col min="3" max="3" width="10.4285714285714" style="2" customWidth="1"/>
    <col min="4" max="4" width="12.8571428571429" style="2" customWidth="1"/>
    <col min="5" max="5" width="12.4285714285714" style="2" customWidth="1"/>
    <col min="6" max="6" width="18.1428571428571" style="2" customWidth="1"/>
    <col min="7" max="7" width="34.4285714285714" style="2" customWidth="1"/>
    <col min="8" max="8" width="25" style="2" customWidth="1"/>
    <col min="9" max="9" width="13.7142857142857" style="2" customWidth="1"/>
    <col min="10" max="11" width="9.57142857142857" style="2" customWidth="1"/>
    <col min="12" max="16384" width="8.85714285714286" style="2"/>
  </cols>
  <sheetData>
    <row r="3" spans="2:6">
      <c r="B3" s="3" t="s">
        <v>0</v>
      </c>
      <c r="C3" s="3"/>
      <c r="D3" s="3"/>
      <c r="E3" s="3"/>
      <c r="F3" s="3"/>
    </row>
    <row r="4" spans="2:6">
      <c r="B4" s="4" t="s">
        <v>1</v>
      </c>
      <c r="C4" s="4"/>
      <c r="D4" s="4"/>
      <c r="E4" s="4"/>
      <c r="F4" s="4"/>
    </row>
    <row r="5" spans="2:8">
      <c r="B5" s="3"/>
      <c r="C5" s="3"/>
      <c r="D5" s="3"/>
      <c r="E5" s="3"/>
      <c r="F5" s="3"/>
      <c r="G5" s="1"/>
      <c r="H5" s="1"/>
    </row>
    <row r="7" spans="2:8">
      <c r="B7" s="5" t="s">
        <v>2</v>
      </c>
      <c r="C7" s="5"/>
      <c r="D7" s="5"/>
      <c r="E7" s="5"/>
      <c r="F7" s="5"/>
      <c r="G7" s="1"/>
      <c r="H7" s="1"/>
    </row>
    <row r="8" spans="2:6">
      <c r="B8" s="6" t="s">
        <v>3</v>
      </c>
      <c r="C8" s="6"/>
      <c r="D8" s="7" t="s">
        <v>4</v>
      </c>
      <c r="E8" s="7"/>
      <c r="F8" s="7"/>
    </row>
    <row r="9" spans="2:10">
      <c r="B9" s="6" t="s">
        <v>5</v>
      </c>
      <c r="C9" s="6"/>
      <c r="D9" s="7" t="s">
        <v>6</v>
      </c>
      <c r="E9" s="7"/>
      <c r="F9" s="7"/>
      <c r="J9" s="73"/>
    </row>
    <row r="10" spans="2:6">
      <c r="B10" s="6" t="s">
        <v>7</v>
      </c>
      <c r="C10" s="6"/>
      <c r="D10" s="8" t="s">
        <v>8</v>
      </c>
      <c r="E10" s="8"/>
      <c r="F10" s="8"/>
    </row>
    <row r="11" spans="2:10">
      <c r="B11" s="6" t="s">
        <v>9</v>
      </c>
      <c r="C11" s="6"/>
      <c r="D11" s="7" t="s">
        <v>10</v>
      </c>
      <c r="E11" s="7"/>
      <c r="F11" s="7"/>
      <c r="J11" s="73"/>
    </row>
    <row r="12" spans="2:6">
      <c r="B12" s="6" t="s">
        <v>11</v>
      </c>
      <c r="C12" s="6"/>
      <c r="D12" s="9" t="s">
        <v>12</v>
      </c>
      <c r="E12" s="7"/>
      <c r="F12" s="7"/>
    </row>
    <row r="13" spans="2:6">
      <c r="B13" s="6" t="s">
        <v>13</v>
      </c>
      <c r="C13" s="6"/>
      <c r="D13" s="10">
        <v>2140.6</v>
      </c>
      <c r="E13" s="7"/>
      <c r="F13" s="7"/>
    </row>
    <row r="14" spans="2:8">
      <c r="B14" s="6" t="s">
        <v>14</v>
      </c>
      <c r="C14" s="6"/>
      <c r="D14" s="10">
        <f>D13/44*40</f>
        <v>1946</v>
      </c>
      <c r="E14" s="7"/>
      <c r="F14" s="7"/>
      <c r="H14" s="11"/>
    </row>
    <row r="15" spans="2:6">
      <c r="B15" s="12"/>
      <c r="C15" s="12"/>
      <c r="D15" s="13"/>
      <c r="E15" s="12"/>
      <c r="F15" s="12"/>
    </row>
    <row r="16" spans="2:6">
      <c r="B16" s="6" t="s">
        <v>15</v>
      </c>
      <c r="C16" s="6"/>
      <c r="D16" s="14" t="s">
        <v>16</v>
      </c>
      <c r="E16" s="14" t="s">
        <v>17</v>
      </c>
      <c r="F16" s="14" t="s">
        <v>18</v>
      </c>
    </row>
    <row r="17" spans="2:11">
      <c r="B17" s="15"/>
      <c r="C17" s="16"/>
      <c r="D17" s="17">
        <v>1</v>
      </c>
      <c r="E17" s="18">
        <v>0</v>
      </c>
      <c r="F17" s="19">
        <v>0.2</v>
      </c>
      <c r="G17" s="20"/>
      <c r="H17" s="21"/>
      <c r="I17" s="21"/>
      <c r="J17" s="21"/>
      <c r="K17" s="21"/>
    </row>
    <row r="18" spans="2:11">
      <c r="B18" s="6" t="s">
        <v>19</v>
      </c>
      <c r="C18" s="6"/>
      <c r="D18" s="14" t="s">
        <v>16</v>
      </c>
      <c r="E18" s="14" t="s">
        <v>17</v>
      </c>
      <c r="F18" s="14" t="s">
        <v>18</v>
      </c>
      <c r="G18" s="20"/>
      <c r="H18" s="21"/>
      <c r="I18" s="21"/>
      <c r="J18" s="21"/>
      <c r="K18" s="21"/>
    </row>
    <row r="19" spans="2:6">
      <c r="B19" s="22"/>
      <c r="C19" s="22"/>
      <c r="D19" s="17">
        <v>2</v>
      </c>
      <c r="E19" s="23">
        <v>4.5</v>
      </c>
      <c r="F19" s="24">
        <v>0.03</v>
      </c>
    </row>
    <row r="20" spans="2:6">
      <c r="B20" s="25" t="s">
        <v>20</v>
      </c>
      <c r="C20" s="26"/>
      <c r="D20" s="17"/>
      <c r="E20" s="17"/>
      <c r="F20" s="17"/>
    </row>
    <row r="21" spans="2:6">
      <c r="B21" s="6" t="s">
        <v>21</v>
      </c>
      <c r="C21" s="6"/>
      <c r="D21" s="22" t="s">
        <v>22</v>
      </c>
      <c r="E21" s="27" t="s">
        <v>23</v>
      </c>
      <c r="F21" s="27">
        <v>0.2</v>
      </c>
    </row>
    <row r="22" spans="2:6">
      <c r="B22" s="28"/>
      <c r="C22" s="29"/>
      <c r="D22" s="22"/>
      <c r="E22" s="27" t="s">
        <v>24</v>
      </c>
      <c r="F22" s="27">
        <v>0.4</v>
      </c>
    </row>
    <row r="23" spans="2:6">
      <c r="B23" s="30"/>
      <c r="C23" s="30"/>
      <c r="D23" s="31"/>
      <c r="E23" s="31"/>
      <c r="F23" s="31"/>
    </row>
    <row r="24" spans="2:3">
      <c r="B24" s="32"/>
      <c r="C24" s="32"/>
    </row>
    <row r="25" spans="2:8">
      <c r="B25" s="33" t="s">
        <v>25</v>
      </c>
      <c r="C25" s="34"/>
      <c r="D25" s="14" t="s">
        <v>26</v>
      </c>
      <c r="E25" s="14" t="s">
        <v>27</v>
      </c>
      <c r="F25" s="14" t="s">
        <v>28</v>
      </c>
      <c r="H25" s="32"/>
    </row>
    <row r="26" spans="2:8">
      <c r="B26" s="35" t="s">
        <v>29</v>
      </c>
      <c r="C26" s="17">
        <v>12</v>
      </c>
      <c r="D26" s="36">
        <v>30</v>
      </c>
      <c r="E26" s="22">
        <v>0</v>
      </c>
      <c r="F26" s="22">
        <f>D26+E26</f>
        <v>30</v>
      </c>
      <c r="H26" s="37"/>
    </row>
    <row r="27" spans="2:8">
      <c r="B27" s="25" t="s">
        <v>30</v>
      </c>
      <c r="C27" s="38"/>
      <c r="D27" s="26"/>
      <c r="E27" s="35"/>
      <c r="F27" s="35"/>
      <c r="H27" s="32"/>
    </row>
    <row r="28" spans="2:8">
      <c r="B28" s="35" t="s">
        <v>31</v>
      </c>
      <c r="C28" s="35"/>
      <c r="D28" s="39">
        <v>0.2405</v>
      </c>
      <c r="E28" s="35"/>
      <c r="F28" s="35"/>
      <c r="H28" s="40"/>
    </row>
    <row r="29" spans="2:8">
      <c r="B29" s="35" t="s">
        <v>32</v>
      </c>
      <c r="C29" s="35"/>
      <c r="D29" s="39">
        <v>0.2405</v>
      </c>
      <c r="E29" s="35"/>
      <c r="F29" s="35"/>
      <c r="H29" s="1"/>
    </row>
    <row r="30" spans="2:6">
      <c r="B30" s="25" t="s">
        <v>33</v>
      </c>
      <c r="C30" s="26"/>
      <c r="D30" s="39">
        <v>0.0288</v>
      </c>
      <c r="E30" s="35"/>
      <c r="F30" s="35"/>
    </row>
    <row r="31" spans="2:8">
      <c r="B31" s="35" t="s">
        <v>34</v>
      </c>
      <c r="C31" s="35"/>
      <c r="D31" s="39">
        <v>0.4902</v>
      </c>
      <c r="E31" s="35"/>
      <c r="F31" s="35"/>
      <c r="H31" s="1"/>
    </row>
    <row r="32" spans="2:6">
      <c r="B32" s="41"/>
      <c r="C32" s="42"/>
      <c r="D32" s="43"/>
      <c r="E32" s="42"/>
      <c r="F32" s="42"/>
    </row>
    <row r="33" ht="15.75" customHeight="1" spans="2:8">
      <c r="B33" s="44" t="s">
        <v>35</v>
      </c>
      <c r="C33" s="45"/>
      <c r="D33" s="45"/>
      <c r="E33" s="45"/>
      <c r="F33" s="46"/>
      <c r="H33" s="1"/>
    </row>
    <row r="34" spans="2:6">
      <c r="B34" s="47" t="s">
        <v>7</v>
      </c>
      <c r="C34" s="47" t="s">
        <v>36</v>
      </c>
      <c r="D34" s="47" t="s">
        <v>37</v>
      </c>
      <c r="E34" s="47" t="s">
        <v>38</v>
      </c>
      <c r="F34" s="47"/>
    </row>
    <row r="35" ht="43.5" customHeight="1" spans="2:6">
      <c r="B35" s="47"/>
      <c r="C35" s="47"/>
      <c r="D35" s="47"/>
      <c r="E35" s="47" t="s">
        <v>39</v>
      </c>
      <c r="F35" s="47" t="s">
        <v>40</v>
      </c>
    </row>
    <row r="36" spans="2:6">
      <c r="B36" s="48" t="s">
        <v>41</v>
      </c>
      <c r="C36" s="49">
        <v>1</v>
      </c>
      <c r="D36" s="50">
        <v>30</v>
      </c>
      <c r="E36" s="51">
        <f>$E$51/365</f>
        <v>0.693150684931507</v>
      </c>
      <c r="F36" s="52">
        <f>C36*D36*E36</f>
        <v>20.7945205479452</v>
      </c>
    </row>
    <row r="37" ht="18" customHeight="1" spans="2:6">
      <c r="B37" s="53" t="s">
        <v>42</v>
      </c>
      <c r="C37" s="49">
        <v>1</v>
      </c>
      <c r="D37" s="50">
        <v>1</v>
      </c>
      <c r="E37" s="51">
        <v>1</v>
      </c>
      <c r="F37" s="52">
        <f t="shared" ref="F37:F47" si="0">C37*D37*E37</f>
        <v>1</v>
      </c>
    </row>
    <row r="38" ht="17.25" customHeight="1" spans="2:6">
      <c r="B38" s="53" t="s">
        <v>43</v>
      </c>
      <c r="C38" s="49">
        <v>0.1642</v>
      </c>
      <c r="D38" s="50">
        <v>15</v>
      </c>
      <c r="E38" s="51">
        <f>$E$51/365</f>
        <v>0.693150684931507</v>
      </c>
      <c r="F38" s="52">
        <f t="shared" si="0"/>
        <v>1.7072301369863</v>
      </c>
    </row>
    <row r="39" ht="15.75" customHeight="1" spans="2:6">
      <c r="B39" s="53" t="s">
        <v>44</v>
      </c>
      <c r="C39" s="49">
        <v>1</v>
      </c>
      <c r="D39" s="50">
        <v>5</v>
      </c>
      <c r="E39" s="51">
        <f>$E$51/365</f>
        <v>0.693150684931507</v>
      </c>
      <c r="F39" s="52">
        <f t="shared" si="0"/>
        <v>3.46575342465753</v>
      </c>
    </row>
    <row r="40" ht="16.5" customHeight="1" spans="2:6">
      <c r="B40" s="53" t="s">
        <v>45</v>
      </c>
      <c r="C40" s="49">
        <v>0.1531</v>
      </c>
      <c r="D40" s="50">
        <v>2</v>
      </c>
      <c r="E40" s="51">
        <v>1</v>
      </c>
      <c r="F40" s="52">
        <f t="shared" si="0"/>
        <v>0.3062</v>
      </c>
    </row>
    <row r="41" ht="20.25" customHeight="1" spans="2:6">
      <c r="B41" s="53" t="s">
        <v>46</v>
      </c>
      <c r="C41" s="49">
        <v>0.0301</v>
      </c>
      <c r="D41" s="50">
        <v>2</v>
      </c>
      <c r="E41" s="51">
        <f>$E$51/365</f>
        <v>0.693150684931507</v>
      </c>
      <c r="F41" s="52">
        <f t="shared" si="0"/>
        <v>0.0417276712328767</v>
      </c>
    </row>
    <row r="42" customHeight="1" spans="2:6">
      <c r="B42" s="53" t="s">
        <v>47</v>
      </c>
      <c r="C42" s="49">
        <v>0.0163</v>
      </c>
      <c r="D42" s="50">
        <v>3</v>
      </c>
      <c r="E42" s="51">
        <v>1</v>
      </c>
      <c r="F42" s="52">
        <f t="shared" si="0"/>
        <v>0.0489</v>
      </c>
    </row>
    <row r="43" customHeight="1" spans="2:6">
      <c r="B43" s="53" t="s">
        <v>48</v>
      </c>
      <c r="C43" s="49">
        <v>0.02</v>
      </c>
      <c r="D43" s="50">
        <v>1</v>
      </c>
      <c r="E43" s="51">
        <v>1</v>
      </c>
      <c r="F43" s="52">
        <f t="shared" si="0"/>
        <v>0.02</v>
      </c>
    </row>
    <row r="44" ht="16.5" customHeight="1" spans="2:6">
      <c r="B44" s="53" t="s">
        <v>49</v>
      </c>
      <c r="C44" s="49">
        <v>0.004</v>
      </c>
      <c r="D44" s="50">
        <v>1</v>
      </c>
      <c r="E44" s="51">
        <v>1</v>
      </c>
      <c r="F44" s="52">
        <f t="shared" si="0"/>
        <v>0.004</v>
      </c>
    </row>
    <row r="45" ht="17.25" customHeight="1" spans="2:6">
      <c r="B45" s="53" t="s">
        <v>50</v>
      </c>
      <c r="C45" s="49">
        <v>0.018</v>
      </c>
      <c r="D45" s="50">
        <v>5</v>
      </c>
      <c r="E45" s="51">
        <f>$E$51/365</f>
        <v>0.693150684931507</v>
      </c>
      <c r="F45" s="52">
        <f t="shared" si="0"/>
        <v>0.0623835616438356</v>
      </c>
    </row>
    <row r="46" customHeight="1" spans="2:6">
      <c r="B46" s="53" t="s">
        <v>51</v>
      </c>
      <c r="C46" s="49">
        <v>0.0264</v>
      </c>
      <c r="D46" s="50">
        <v>180</v>
      </c>
      <c r="E46" s="51">
        <f>$E$51/365</f>
        <v>0.693150684931507</v>
      </c>
      <c r="F46" s="52">
        <f t="shared" si="0"/>
        <v>3.29385205479452</v>
      </c>
    </row>
    <row r="47" ht="14.25" customHeight="1" spans="2:6">
      <c r="B47" s="53" t="s">
        <v>52</v>
      </c>
      <c r="C47" s="49">
        <v>0.0022</v>
      </c>
      <c r="D47" s="50">
        <v>6</v>
      </c>
      <c r="E47" s="51">
        <v>1</v>
      </c>
      <c r="F47" s="52">
        <f t="shared" si="0"/>
        <v>0.0132</v>
      </c>
    </row>
    <row r="48" spans="2:6">
      <c r="B48" s="54" t="s">
        <v>53</v>
      </c>
      <c r="C48" s="54"/>
      <c r="D48" s="54"/>
      <c r="E48" s="54"/>
      <c r="F48" s="55">
        <f>SUM(F36:F47)</f>
        <v>30.7577673972603</v>
      </c>
    </row>
    <row r="49" spans="2:6">
      <c r="B49" s="56"/>
      <c r="C49" s="56"/>
      <c r="D49" s="56"/>
      <c r="E49" s="56"/>
      <c r="F49" s="1"/>
    </row>
    <row r="50" ht="15.75" spans="2:5">
      <c r="B50" s="57" t="s">
        <v>54</v>
      </c>
      <c r="C50" s="35"/>
      <c r="D50" s="35"/>
      <c r="E50" s="58">
        <v>12</v>
      </c>
    </row>
    <row r="51" ht="15.75" spans="2:7">
      <c r="B51" s="59" t="s">
        <v>55</v>
      </c>
      <c r="C51" s="59"/>
      <c r="D51" s="59"/>
      <c r="E51" s="60">
        <v>253</v>
      </c>
      <c r="F51" s="61"/>
      <c r="G51" s="62"/>
    </row>
    <row r="52" spans="2:5">
      <c r="B52" s="6" t="s">
        <v>56</v>
      </c>
      <c r="C52" s="6"/>
      <c r="D52" s="6"/>
      <c r="E52" s="60">
        <v>21</v>
      </c>
    </row>
    <row r="54" spans="2:6">
      <c r="B54" s="14" t="s">
        <v>57</v>
      </c>
      <c r="C54" s="14"/>
      <c r="D54" s="14"/>
      <c r="E54" s="14"/>
      <c r="F54" s="14"/>
    </row>
    <row r="55" spans="2:6">
      <c r="B55" s="63"/>
      <c r="C55" s="63"/>
      <c r="D55" s="63"/>
      <c r="E55" s="63"/>
      <c r="F55" s="63"/>
    </row>
    <row r="56" spans="2:6">
      <c r="B56" s="14" t="s">
        <v>58</v>
      </c>
      <c r="C56" s="14"/>
      <c r="D56" s="14"/>
      <c r="E56" s="14"/>
      <c r="F56" s="14"/>
    </row>
    <row r="57" spans="2:6">
      <c r="B57" s="64"/>
      <c r="C57" s="65"/>
      <c r="D57" s="66"/>
      <c r="E57" s="14" t="s">
        <v>59</v>
      </c>
      <c r="F57" s="14" t="s">
        <v>60</v>
      </c>
    </row>
    <row r="58" spans="2:6">
      <c r="B58" s="35" t="s">
        <v>61</v>
      </c>
      <c r="C58" s="35"/>
      <c r="D58" s="35"/>
      <c r="E58" s="35"/>
      <c r="F58" s="67">
        <f>D14</f>
        <v>1946</v>
      </c>
    </row>
    <row r="59" spans="2:6">
      <c r="B59" s="35" t="s">
        <v>62</v>
      </c>
      <c r="C59" s="35"/>
      <c r="D59" s="35"/>
      <c r="E59" s="68"/>
      <c r="F59" s="69">
        <v>0</v>
      </c>
    </row>
    <row r="60" spans="2:9">
      <c r="B60" s="35" t="s">
        <v>63</v>
      </c>
      <c r="C60" s="35"/>
      <c r="D60" s="35"/>
      <c r="E60" s="70">
        <v>0.4</v>
      </c>
      <c r="F60" s="67">
        <f>F58*E60</f>
        <v>778.4</v>
      </c>
      <c r="G60" s="61"/>
      <c r="H60" s="71"/>
      <c r="I60" s="62"/>
    </row>
    <row r="61" spans="2:6">
      <c r="B61" s="35" t="s">
        <v>64</v>
      </c>
      <c r="C61" s="35"/>
      <c r="D61" s="35"/>
      <c r="E61" s="35"/>
      <c r="F61" s="69">
        <v>0</v>
      </c>
    </row>
    <row r="62" spans="2:6">
      <c r="B62" s="35" t="s">
        <v>65</v>
      </c>
      <c r="C62" s="35"/>
      <c r="D62" s="35"/>
      <c r="E62" s="35"/>
      <c r="F62" s="69">
        <v>0</v>
      </c>
    </row>
    <row r="63" spans="2:6">
      <c r="B63" s="35" t="s">
        <v>66</v>
      </c>
      <c r="C63" s="35"/>
      <c r="D63" s="35"/>
      <c r="E63" s="35"/>
      <c r="F63" s="69">
        <f>(F58+F60)/220*E63*2</f>
        <v>0</v>
      </c>
    </row>
    <row r="64" spans="2:6">
      <c r="B64" s="35" t="s">
        <v>67</v>
      </c>
      <c r="C64" s="35"/>
      <c r="D64" s="35"/>
      <c r="E64" s="72"/>
      <c r="F64" s="69">
        <f>F63/26*4</f>
        <v>0</v>
      </c>
    </row>
    <row r="65" spans="2:8">
      <c r="B65" s="74" t="s">
        <v>68</v>
      </c>
      <c r="C65" s="75"/>
      <c r="D65" s="75"/>
      <c r="E65" s="76"/>
      <c r="F65" s="77">
        <f>SUM(F58:F64)</f>
        <v>2724.4</v>
      </c>
      <c r="H65" s="78"/>
    </row>
    <row r="67" spans="2:6">
      <c r="B67" s="64" t="s">
        <v>69</v>
      </c>
      <c r="C67" s="65"/>
      <c r="D67" s="65"/>
      <c r="E67" s="65"/>
      <c r="F67" s="66"/>
    </row>
    <row r="68" spans="2:6">
      <c r="B68" s="33" t="s">
        <v>70</v>
      </c>
      <c r="C68" s="79"/>
      <c r="D68" s="79"/>
      <c r="E68" s="79"/>
      <c r="F68" s="34"/>
    </row>
    <row r="69" spans="2:6">
      <c r="B69" s="64"/>
      <c r="C69" s="65"/>
      <c r="D69" s="66"/>
      <c r="E69" s="14" t="s">
        <v>59</v>
      </c>
      <c r="F69" s="14" t="s">
        <v>60</v>
      </c>
    </row>
    <row r="70" spans="2:6">
      <c r="B70" s="25" t="s">
        <v>71</v>
      </c>
      <c r="C70" s="38"/>
      <c r="D70" s="26"/>
      <c r="E70" s="39">
        <f>1/12</f>
        <v>0.0833333333333333</v>
      </c>
      <c r="F70" s="67">
        <f>F65*E70</f>
        <v>227.033333333333</v>
      </c>
    </row>
    <row r="71" spans="2:6">
      <c r="B71" s="25" t="s">
        <v>72</v>
      </c>
      <c r="C71" s="38"/>
      <c r="D71" s="26"/>
      <c r="E71" s="39">
        <v>0.3333</v>
      </c>
      <c r="F71" s="67">
        <f>(F65*E71)/12</f>
        <v>75.67021</v>
      </c>
    </row>
    <row r="72" spans="2:6">
      <c r="B72" s="74" t="s">
        <v>53</v>
      </c>
      <c r="C72" s="75"/>
      <c r="D72" s="75"/>
      <c r="E72" s="76"/>
      <c r="F72" s="77">
        <f>SUM(F70:F71)</f>
        <v>302.703543333333</v>
      </c>
    </row>
    <row r="74" spans="2:6">
      <c r="B74" s="33" t="s">
        <v>73</v>
      </c>
      <c r="C74" s="79"/>
      <c r="D74" s="79"/>
      <c r="E74" s="79"/>
      <c r="F74" s="34"/>
    </row>
    <row r="75" spans="2:6">
      <c r="B75" s="6" t="s">
        <v>74</v>
      </c>
      <c r="C75" s="6"/>
      <c r="D75" s="80">
        <f>F65+F72</f>
        <v>3027.10354333333</v>
      </c>
      <c r="E75" s="14" t="s">
        <v>59</v>
      </c>
      <c r="F75" s="14" t="s">
        <v>60</v>
      </c>
    </row>
    <row r="76" spans="2:6">
      <c r="B76" s="25" t="s">
        <v>75</v>
      </c>
      <c r="C76" s="38"/>
      <c r="D76" s="26"/>
      <c r="E76" s="81">
        <v>0.2</v>
      </c>
      <c r="F76" s="82">
        <f>D75*E76</f>
        <v>605.420708666667</v>
      </c>
    </row>
    <row r="77" spans="2:6">
      <c r="B77" s="25" t="s">
        <v>76</v>
      </c>
      <c r="C77" s="38"/>
      <c r="D77" s="26"/>
      <c r="E77" s="81">
        <v>0.025</v>
      </c>
      <c r="F77" s="82">
        <f>D75*E77</f>
        <v>75.6775885833333</v>
      </c>
    </row>
    <row r="78" spans="2:6">
      <c r="B78" s="25" t="s">
        <v>77</v>
      </c>
      <c r="C78" s="38"/>
      <c r="D78" s="26"/>
      <c r="E78" s="81">
        <v>0.03</v>
      </c>
      <c r="F78" s="82">
        <f>D75*E78</f>
        <v>90.8131063</v>
      </c>
    </row>
    <row r="79" spans="2:6">
      <c r="B79" s="25" t="s">
        <v>78</v>
      </c>
      <c r="C79" s="38"/>
      <c r="D79" s="26"/>
      <c r="E79" s="81">
        <v>0.015</v>
      </c>
      <c r="F79" s="82">
        <f>D75*E79</f>
        <v>45.40655315</v>
      </c>
    </row>
    <row r="80" spans="2:6">
      <c r="B80" s="25" t="s">
        <v>79</v>
      </c>
      <c r="C80" s="38"/>
      <c r="D80" s="26"/>
      <c r="E80" s="81">
        <v>0.01</v>
      </c>
      <c r="F80" s="82">
        <f>D75*E80</f>
        <v>30.2710354333333</v>
      </c>
    </row>
    <row r="81" spans="2:6">
      <c r="B81" s="25" t="s">
        <v>80</v>
      </c>
      <c r="C81" s="38"/>
      <c r="D81" s="26"/>
      <c r="E81" s="81">
        <v>0.006</v>
      </c>
      <c r="F81" s="82">
        <f>D75*E81</f>
        <v>18.16262126</v>
      </c>
    </row>
    <row r="82" spans="2:6">
      <c r="B82" s="25" t="s">
        <v>81</v>
      </c>
      <c r="C82" s="38"/>
      <c r="D82" s="26"/>
      <c r="E82" s="81">
        <v>0.002</v>
      </c>
      <c r="F82" s="82">
        <f>D75*E82</f>
        <v>6.05420708666667</v>
      </c>
    </row>
    <row r="83" spans="2:6">
      <c r="B83" s="74" t="s">
        <v>82</v>
      </c>
      <c r="C83" s="75"/>
      <c r="D83" s="76"/>
      <c r="E83" s="83"/>
      <c r="F83" s="84">
        <f>SUM(F76:F82)</f>
        <v>871.80582048</v>
      </c>
    </row>
    <row r="84" spans="2:6">
      <c r="B84" s="25" t="s">
        <v>83</v>
      </c>
      <c r="C84" s="38"/>
      <c r="D84" s="26"/>
      <c r="E84" s="83">
        <v>0.08</v>
      </c>
      <c r="F84" s="82">
        <f>D75*E84</f>
        <v>242.168283466667</v>
      </c>
    </row>
    <row r="85" spans="2:6">
      <c r="B85" s="74" t="s">
        <v>53</v>
      </c>
      <c r="C85" s="75"/>
      <c r="D85" s="76"/>
      <c r="E85" s="85">
        <f>SUM(E76:E84)</f>
        <v>0.368</v>
      </c>
      <c r="F85" s="84">
        <f>SUM(F83:F84)</f>
        <v>1113.97410394667</v>
      </c>
    </row>
    <row r="87" spans="2:6">
      <c r="B87" s="33" t="s">
        <v>84</v>
      </c>
      <c r="C87" s="79"/>
      <c r="D87" s="79"/>
      <c r="E87" s="79"/>
      <c r="F87" s="34"/>
    </row>
    <row r="88" spans="2:6">
      <c r="B88" s="28"/>
      <c r="C88" s="86"/>
      <c r="D88" s="86"/>
      <c r="E88" s="29"/>
      <c r="F88" s="14" t="s">
        <v>60</v>
      </c>
    </row>
    <row r="89" spans="2:6">
      <c r="B89" s="25" t="s">
        <v>85</v>
      </c>
      <c r="C89" s="38"/>
      <c r="D89" s="38"/>
      <c r="E89" s="26"/>
      <c r="F89" s="87">
        <f>((E19*D19)*E52)-(D14*F19)</f>
        <v>130.62</v>
      </c>
    </row>
    <row r="90" spans="2:6">
      <c r="B90" s="25" t="s">
        <v>86</v>
      </c>
      <c r="C90" s="38"/>
      <c r="D90" s="38"/>
      <c r="E90" s="26"/>
      <c r="F90" s="87">
        <f>E17-(E17*F17)</f>
        <v>0</v>
      </c>
    </row>
    <row r="91" spans="2:6">
      <c r="B91" s="25" t="s">
        <v>87</v>
      </c>
      <c r="C91" s="38"/>
      <c r="D91" s="38"/>
      <c r="E91" s="26"/>
      <c r="F91" s="87">
        <f>E20</f>
        <v>0</v>
      </c>
    </row>
    <row r="92" spans="2:8">
      <c r="B92" s="88" t="s">
        <v>88</v>
      </c>
      <c r="C92" s="89"/>
      <c r="D92" s="89"/>
      <c r="E92" s="90"/>
      <c r="F92" s="91">
        <v>0</v>
      </c>
      <c r="G92" s="61"/>
      <c r="H92" s="62"/>
    </row>
    <row r="93" spans="2:6">
      <c r="B93" s="25" t="s">
        <v>89</v>
      </c>
      <c r="C93" s="38"/>
      <c r="D93" s="38"/>
      <c r="E93" s="26"/>
      <c r="F93" s="92"/>
    </row>
    <row r="94" spans="2:6">
      <c r="B94" s="74" t="s">
        <v>53</v>
      </c>
      <c r="C94" s="75"/>
      <c r="D94" s="75"/>
      <c r="E94" s="76"/>
      <c r="F94" s="93">
        <f>SUM(F89:F93)</f>
        <v>130.62</v>
      </c>
    </row>
    <row r="95" spans="2:6">
      <c r="B95" s="56"/>
      <c r="C95" s="56"/>
      <c r="D95" s="56"/>
      <c r="E95" s="56"/>
      <c r="F95" s="94"/>
    </row>
    <row r="96" spans="2:6">
      <c r="B96" s="64" t="s">
        <v>90</v>
      </c>
      <c r="C96" s="65"/>
      <c r="D96" s="65"/>
      <c r="E96" s="65"/>
      <c r="F96" s="66"/>
    </row>
    <row r="97" spans="2:6">
      <c r="B97" s="64"/>
      <c r="C97" s="65"/>
      <c r="D97" s="65"/>
      <c r="E97" s="66"/>
      <c r="F97" s="14" t="s">
        <v>60</v>
      </c>
    </row>
    <row r="98" spans="2:6">
      <c r="B98" s="25" t="s">
        <v>70</v>
      </c>
      <c r="C98" s="38"/>
      <c r="D98" s="38"/>
      <c r="E98" s="26"/>
      <c r="F98" s="95">
        <f>F72</f>
        <v>302.703543333333</v>
      </c>
    </row>
    <row r="99" spans="2:6">
      <c r="B99" s="25" t="s">
        <v>91</v>
      </c>
      <c r="C99" s="38"/>
      <c r="D99" s="38"/>
      <c r="E99" s="26"/>
      <c r="F99" s="95">
        <f>F85</f>
        <v>1113.97410394667</v>
      </c>
    </row>
    <row r="100" spans="2:6">
      <c r="B100" s="25" t="s">
        <v>84</v>
      </c>
      <c r="C100" s="38"/>
      <c r="D100" s="38"/>
      <c r="E100" s="26"/>
      <c r="F100" s="95">
        <f>F94</f>
        <v>130.62</v>
      </c>
    </row>
    <row r="101" spans="2:8">
      <c r="B101" s="74" t="s">
        <v>92</v>
      </c>
      <c r="C101" s="75"/>
      <c r="D101" s="75"/>
      <c r="E101" s="76"/>
      <c r="F101" s="96">
        <f>SUM(F98:F100)</f>
        <v>1547.29764728</v>
      </c>
      <c r="G101" s="78"/>
      <c r="H101" s="78"/>
    </row>
    <row r="103" spans="2:6">
      <c r="B103" s="14" t="s">
        <v>93</v>
      </c>
      <c r="C103" s="14"/>
      <c r="D103" s="14"/>
      <c r="E103" s="14"/>
      <c r="F103" s="14"/>
    </row>
    <row r="104" spans="2:6">
      <c r="B104" s="3"/>
      <c r="C104" s="3"/>
      <c r="D104" s="3"/>
      <c r="E104" s="3"/>
      <c r="F104" s="3"/>
    </row>
    <row r="105" ht="33.75" spans="2:9">
      <c r="B105" s="97" t="s">
        <v>94</v>
      </c>
      <c r="C105" s="97"/>
      <c r="D105" s="97"/>
      <c r="E105" s="98" t="s">
        <v>59</v>
      </c>
      <c r="F105" s="98" t="s">
        <v>60</v>
      </c>
      <c r="I105" s="134"/>
    </row>
    <row r="106" spans="2:8">
      <c r="B106" s="88" t="s">
        <v>95</v>
      </c>
      <c r="C106" s="89"/>
      <c r="D106" s="90"/>
      <c r="E106" s="99"/>
      <c r="F106" s="100">
        <f>((((F65+F72+F94)/D26)*F26)/C26)*D28</f>
        <v>63.2860426809722</v>
      </c>
      <c r="G106" s="78"/>
      <c r="H106" s="78"/>
    </row>
    <row r="107" customHeight="1" spans="2:6">
      <c r="B107" s="101" t="s">
        <v>96</v>
      </c>
      <c r="C107" s="102"/>
      <c r="D107" s="103"/>
      <c r="E107" s="104">
        <v>0.08</v>
      </c>
      <c r="F107" s="100">
        <f>F106*E107</f>
        <v>5.06288341447778</v>
      </c>
    </row>
    <row r="108" customHeight="1" spans="2:7">
      <c r="B108" s="101" t="s">
        <v>97</v>
      </c>
      <c r="C108" s="102"/>
      <c r="D108" s="103"/>
      <c r="E108" s="105">
        <v>0.4</v>
      </c>
      <c r="F108" s="100">
        <f>(((F65+F72)*E107)*E108)*D28</f>
        <v>23.2965888694933</v>
      </c>
      <c r="G108" s="61"/>
    </row>
    <row r="109" customHeight="1" spans="2:8">
      <c r="B109" s="106" t="s">
        <v>98</v>
      </c>
      <c r="C109" s="107"/>
      <c r="D109" s="108"/>
      <c r="E109" s="104"/>
      <c r="F109" s="109">
        <f>SUM(F106:F108)</f>
        <v>91.6455149649433</v>
      </c>
      <c r="H109" s="110"/>
    </row>
    <row r="110" customHeight="1" spans="2:6">
      <c r="B110" s="111"/>
      <c r="C110" s="111"/>
      <c r="D110" s="111"/>
      <c r="E110" s="112"/>
      <c r="F110" s="113"/>
    </row>
    <row r="111" spans="2:6">
      <c r="B111" s="114" t="s">
        <v>99</v>
      </c>
      <c r="C111" s="115"/>
      <c r="D111" s="116"/>
      <c r="E111" s="98" t="s">
        <v>59</v>
      </c>
      <c r="F111" s="98" t="s">
        <v>60</v>
      </c>
    </row>
    <row r="112" spans="2:9">
      <c r="B112" s="88" t="s">
        <v>100</v>
      </c>
      <c r="C112" s="89"/>
      <c r="D112" s="90"/>
      <c r="E112" s="99"/>
      <c r="F112" s="100">
        <f>((((F65+F101)/C26)*D29))/30*7</f>
        <v>19.976119414433</v>
      </c>
      <c r="G112" s="11"/>
      <c r="I112" s="78"/>
    </row>
    <row r="113" ht="31.5" customHeight="1" spans="2:7">
      <c r="B113" s="101" t="s">
        <v>101</v>
      </c>
      <c r="C113" s="102"/>
      <c r="D113" s="103"/>
      <c r="E113" s="117">
        <f>E85</f>
        <v>0.368</v>
      </c>
      <c r="F113" s="100">
        <f>F112*E113</f>
        <v>7.35121194451134</v>
      </c>
      <c r="G113" s="11"/>
    </row>
    <row r="114" customHeight="1" spans="2:7">
      <c r="B114" s="101" t="s">
        <v>102</v>
      </c>
      <c r="C114" s="102"/>
      <c r="D114" s="103"/>
      <c r="E114" s="99"/>
      <c r="F114" s="100">
        <f>(((F65+F72)*E107)*E108)*D29</f>
        <v>23.2965888694933</v>
      </c>
      <c r="G114" s="11"/>
    </row>
    <row r="115" customHeight="1" spans="2:6">
      <c r="B115" s="106" t="s">
        <v>103</v>
      </c>
      <c r="C115" s="107"/>
      <c r="D115" s="108"/>
      <c r="E115" s="99"/>
      <c r="F115" s="109">
        <f>SUM(F112:F114)</f>
        <v>50.6239202284377</v>
      </c>
    </row>
    <row r="116" customHeight="1" spans="2:6">
      <c r="B116" s="111"/>
      <c r="C116" s="111"/>
      <c r="D116" s="111"/>
      <c r="F116" s="113"/>
    </row>
    <row r="117" customHeight="1" spans="2:6">
      <c r="B117" s="44" t="s">
        <v>104</v>
      </c>
      <c r="C117" s="45"/>
      <c r="D117" s="46"/>
      <c r="E117" s="35"/>
      <c r="F117" s="66" t="s">
        <v>60</v>
      </c>
    </row>
    <row r="118" customHeight="1" spans="2:6">
      <c r="B118" s="118" t="s">
        <v>105</v>
      </c>
      <c r="C118" s="119"/>
      <c r="D118" s="120"/>
      <c r="E118" s="35"/>
      <c r="F118" s="121">
        <f>-F98*D30</f>
        <v>-8.717862048</v>
      </c>
    </row>
    <row r="119" customHeight="1" spans="2:6">
      <c r="B119" s="122" t="s">
        <v>106</v>
      </c>
      <c r="C119" s="123"/>
      <c r="D119" s="124"/>
      <c r="E119" s="125"/>
      <c r="F119" s="126">
        <f>SUM(F118)</f>
        <v>-8.717862048</v>
      </c>
    </row>
    <row r="120" customHeight="1" spans="2:6">
      <c r="B120" s="122"/>
      <c r="C120" s="123"/>
      <c r="D120" s="124"/>
      <c r="E120" s="125"/>
      <c r="F120" s="126"/>
    </row>
    <row r="121" customHeight="1" spans="2:6">
      <c r="B121" s="127" t="s">
        <v>107</v>
      </c>
      <c r="C121" s="128"/>
      <c r="D121" s="128"/>
      <c r="E121" s="129"/>
      <c r="F121" s="66" t="s">
        <v>60</v>
      </c>
    </row>
    <row r="122" customHeight="1" spans="2:6">
      <c r="B122" s="25" t="s">
        <v>94</v>
      </c>
      <c r="C122" s="38"/>
      <c r="D122" s="38"/>
      <c r="E122" s="26"/>
      <c r="F122" s="109">
        <f>F109</f>
        <v>91.6455149649433</v>
      </c>
    </row>
    <row r="123" customHeight="1" spans="2:6">
      <c r="B123" s="25" t="s">
        <v>99</v>
      </c>
      <c r="C123" s="38"/>
      <c r="D123" s="38"/>
      <c r="E123" s="26"/>
      <c r="F123" s="109">
        <f>F115</f>
        <v>50.6239202284377</v>
      </c>
    </row>
    <row r="124" customHeight="1" spans="2:6">
      <c r="B124" s="130" t="s">
        <v>104</v>
      </c>
      <c r="C124" s="131"/>
      <c r="D124" s="131"/>
      <c r="E124" s="132"/>
      <c r="F124" s="126">
        <f>F119</f>
        <v>-8.717862048</v>
      </c>
    </row>
    <row r="125" spans="2:6">
      <c r="B125" s="74" t="s">
        <v>108</v>
      </c>
      <c r="C125" s="75"/>
      <c r="D125" s="76"/>
      <c r="E125" s="35"/>
      <c r="F125" s="133">
        <f>SUM(F122:F124)</f>
        <v>133.551573145381</v>
      </c>
    </row>
    <row r="127" spans="2:6">
      <c r="B127" s="64" t="s">
        <v>109</v>
      </c>
      <c r="C127" s="65"/>
      <c r="D127" s="65"/>
      <c r="E127" s="65"/>
      <c r="F127" s="66"/>
    </row>
    <row r="128" spans="2:6">
      <c r="B128" s="33" t="s">
        <v>110</v>
      </c>
      <c r="C128" s="79"/>
      <c r="D128" s="79"/>
      <c r="E128" s="79"/>
      <c r="F128" s="34"/>
    </row>
    <row r="129" ht="30" spans="2:6">
      <c r="B129" s="14" t="s">
        <v>111</v>
      </c>
      <c r="C129" s="14"/>
      <c r="D129" s="133">
        <f>(F65+F101+F125)/E52</f>
        <v>209.773772401209</v>
      </c>
      <c r="E129" s="47" t="s">
        <v>112</v>
      </c>
      <c r="F129" s="14" t="s">
        <v>60</v>
      </c>
    </row>
    <row r="130" spans="2:6">
      <c r="B130" s="118" t="s">
        <v>41</v>
      </c>
      <c r="C130" s="119"/>
      <c r="D130" s="120"/>
      <c r="E130" s="135">
        <f t="shared" ref="E130:E141" si="1">F36</f>
        <v>20.7945205479452</v>
      </c>
      <c r="F130" s="95">
        <f>(D129*E130)/12</f>
        <v>363.512085051409</v>
      </c>
    </row>
    <row r="131" spans="2:6">
      <c r="B131" s="118" t="s">
        <v>42</v>
      </c>
      <c r="C131" s="119"/>
      <c r="D131" s="120"/>
      <c r="E131" s="135">
        <f t="shared" si="1"/>
        <v>1</v>
      </c>
      <c r="F131" s="95">
        <f>(D129*E131)/12</f>
        <v>17.4811477001007</v>
      </c>
    </row>
    <row r="132" spans="2:8">
      <c r="B132" s="118" t="s">
        <v>43</v>
      </c>
      <c r="C132" s="119"/>
      <c r="D132" s="120"/>
      <c r="E132" s="135">
        <f t="shared" si="1"/>
        <v>1.7072301369863</v>
      </c>
      <c r="F132" s="136">
        <f>(D129*E132)/12</f>
        <v>29.8443421827207</v>
      </c>
      <c r="H132" s="137"/>
    </row>
    <row r="133" customHeight="1" spans="2:6">
      <c r="B133" s="118" t="s">
        <v>44</v>
      </c>
      <c r="C133" s="119"/>
      <c r="D133" s="120"/>
      <c r="E133" s="135">
        <f t="shared" si="1"/>
        <v>3.46575342465753</v>
      </c>
      <c r="F133" s="95">
        <f>(D129*E133)/12</f>
        <v>60.5853475085682</v>
      </c>
    </row>
    <row r="134" customHeight="1" spans="2:6">
      <c r="B134" s="118" t="s">
        <v>45</v>
      </c>
      <c r="C134" s="119"/>
      <c r="D134" s="120"/>
      <c r="E134" s="135">
        <f t="shared" si="1"/>
        <v>0.3062</v>
      </c>
      <c r="F134" s="95">
        <f>(D129*E134)/12</f>
        <v>5.35272742577084</v>
      </c>
    </row>
    <row r="135" spans="2:6">
      <c r="B135" s="118" t="s">
        <v>46</v>
      </c>
      <c r="C135" s="119"/>
      <c r="D135" s="120"/>
      <c r="E135" s="135">
        <f t="shared" si="1"/>
        <v>0.0417276712328767</v>
      </c>
      <c r="F135" s="95">
        <f>(D129*E135)/12</f>
        <v>0.729447584003161</v>
      </c>
    </row>
    <row r="136" spans="2:6">
      <c r="B136" s="118" t="s">
        <v>47</v>
      </c>
      <c r="C136" s="119"/>
      <c r="D136" s="120"/>
      <c r="E136" s="135">
        <f t="shared" si="1"/>
        <v>0.0489</v>
      </c>
      <c r="F136" s="95">
        <f>(D129*E136)/12</f>
        <v>0.854828122534925</v>
      </c>
    </row>
    <row r="137" spans="2:6">
      <c r="B137" s="118" t="s">
        <v>48</v>
      </c>
      <c r="C137" s="119"/>
      <c r="D137" s="120"/>
      <c r="E137" s="135">
        <f t="shared" si="1"/>
        <v>0.02</v>
      </c>
      <c r="F137" s="95">
        <f>(D129*E137)/12</f>
        <v>0.349622954002014</v>
      </c>
    </row>
    <row r="138" spans="2:6">
      <c r="B138" s="118" t="s">
        <v>49</v>
      </c>
      <c r="C138" s="119"/>
      <c r="D138" s="120"/>
      <c r="E138" s="135">
        <f t="shared" si="1"/>
        <v>0.004</v>
      </c>
      <c r="F138" s="95">
        <f>(D129*E138)/12</f>
        <v>0.0699245908004029</v>
      </c>
    </row>
    <row r="139" spans="2:6">
      <c r="B139" s="118" t="s">
        <v>50</v>
      </c>
      <c r="C139" s="119"/>
      <c r="D139" s="120"/>
      <c r="E139" s="135">
        <f t="shared" si="1"/>
        <v>0.0623835616438356</v>
      </c>
      <c r="F139" s="95">
        <f>(D129*E139)/12</f>
        <v>1.09053625515423</v>
      </c>
    </row>
    <row r="140" spans="2:6">
      <c r="B140" s="118" t="s">
        <v>51</v>
      </c>
      <c r="C140" s="119"/>
      <c r="D140" s="120"/>
      <c r="E140" s="135">
        <f t="shared" si="1"/>
        <v>3.29385205479452</v>
      </c>
      <c r="F140" s="95">
        <f>(D129*E140)/12</f>
        <v>57.5803142721432</v>
      </c>
    </row>
    <row r="141" spans="2:6">
      <c r="B141" s="118" t="s">
        <v>52</v>
      </c>
      <c r="C141" s="119"/>
      <c r="D141" s="120"/>
      <c r="E141" s="135">
        <f t="shared" si="1"/>
        <v>0.0132</v>
      </c>
      <c r="F141" s="95">
        <f>(D129*E141)/12</f>
        <v>0.230751149641329</v>
      </c>
    </row>
    <row r="142" ht="17.25" customHeight="1" spans="2:8">
      <c r="B142" s="54" t="s">
        <v>113</v>
      </c>
      <c r="C142" s="54"/>
      <c r="D142" s="54"/>
      <c r="E142" s="138">
        <f>SUM(E130:E141)</f>
        <v>30.7577673972603</v>
      </c>
      <c r="F142" s="96">
        <f>SUM(F130:F141)</f>
        <v>537.681074796849</v>
      </c>
      <c r="H142" s="139"/>
    </row>
    <row r="143" spans="2:6">
      <c r="B143" s="56"/>
      <c r="C143" s="56"/>
      <c r="D143" s="56"/>
      <c r="E143" s="140"/>
      <c r="F143" s="141"/>
    </row>
    <row r="144" spans="2:6">
      <c r="B144" s="97" t="s">
        <v>114</v>
      </c>
      <c r="C144" s="97"/>
      <c r="D144" s="97"/>
      <c r="E144" s="97"/>
      <c r="F144" s="97"/>
    </row>
    <row r="145" spans="2:6">
      <c r="B145" s="28"/>
      <c r="C145" s="86"/>
      <c r="D145" s="86"/>
      <c r="E145" s="29"/>
      <c r="F145" s="14" t="s">
        <v>60</v>
      </c>
    </row>
    <row r="146" spans="2:6">
      <c r="B146" s="25" t="s">
        <v>115</v>
      </c>
      <c r="C146" s="38"/>
      <c r="D146" s="38"/>
      <c r="E146" s="26"/>
      <c r="F146" s="142">
        <v>0</v>
      </c>
    </row>
    <row r="147" spans="2:6">
      <c r="B147" s="74" t="s">
        <v>113</v>
      </c>
      <c r="C147" s="75"/>
      <c r="D147" s="75"/>
      <c r="E147" s="76"/>
      <c r="F147" s="125">
        <f>SUM(F146)</f>
        <v>0</v>
      </c>
    </row>
    <row r="148" spans="2:6">
      <c r="B148" s="74"/>
      <c r="C148" s="75"/>
      <c r="D148" s="75"/>
      <c r="E148" s="76"/>
      <c r="F148" s="125"/>
    </row>
    <row r="149" spans="2:6">
      <c r="B149" s="64" t="s">
        <v>116</v>
      </c>
      <c r="C149" s="65"/>
      <c r="D149" s="65"/>
      <c r="E149" s="66"/>
      <c r="F149" s="125"/>
    </row>
    <row r="150" spans="2:6">
      <c r="B150" s="25" t="s">
        <v>110</v>
      </c>
      <c r="C150" s="38"/>
      <c r="D150" s="38"/>
      <c r="E150" s="26"/>
      <c r="F150" s="96">
        <f>F142</f>
        <v>537.681074796849</v>
      </c>
    </row>
    <row r="151" spans="2:6">
      <c r="B151" s="25" t="s">
        <v>114</v>
      </c>
      <c r="C151" s="38"/>
      <c r="D151" s="38"/>
      <c r="E151" s="26"/>
      <c r="F151" s="125">
        <f>F147</f>
        <v>0</v>
      </c>
    </row>
    <row r="152" spans="2:6">
      <c r="B152" s="74" t="s">
        <v>117</v>
      </c>
      <c r="C152" s="75"/>
      <c r="D152" s="75"/>
      <c r="E152" s="76"/>
      <c r="F152" s="133">
        <f>SUM(F150:F151)</f>
        <v>537.681074796849</v>
      </c>
    </row>
    <row r="154" spans="2:6">
      <c r="B154" s="64" t="s">
        <v>118</v>
      </c>
      <c r="C154" s="65"/>
      <c r="D154" s="65"/>
      <c r="E154" s="65"/>
      <c r="F154" s="66"/>
    </row>
    <row r="155" spans="2:6">
      <c r="B155" s="33" t="s">
        <v>119</v>
      </c>
      <c r="C155" s="79"/>
      <c r="D155" s="79"/>
      <c r="E155" s="34"/>
      <c r="F155" s="35"/>
    </row>
    <row r="156" ht="25.5" spans="2:6">
      <c r="B156" s="143" t="s">
        <v>120</v>
      </c>
      <c r="C156" s="143" t="s">
        <v>121</v>
      </c>
      <c r="D156" s="144" t="s">
        <v>122</v>
      </c>
      <c r="E156" s="144" t="s">
        <v>123</v>
      </c>
      <c r="F156" s="145" t="s">
        <v>60</v>
      </c>
    </row>
    <row r="157" spans="2:9">
      <c r="B157" s="146" t="s">
        <v>124</v>
      </c>
      <c r="C157" s="147" t="s">
        <v>125</v>
      </c>
      <c r="D157" s="148">
        <v>6</v>
      </c>
      <c r="E157" s="149">
        <f>40.3*2</f>
        <v>80.6</v>
      </c>
      <c r="F157" s="150">
        <f t="shared" ref="F157:F167" si="2">E157/D157</f>
        <v>13.4333333333333</v>
      </c>
      <c r="I157" s="165"/>
    </row>
    <row r="158" spans="2:9">
      <c r="B158" s="151" t="s">
        <v>126</v>
      </c>
      <c r="C158" s="147" t="s">
        <v>125</v>
      </c>
      <c r="D158" s="148">
        <v>6</v>
      </c>
      <c r="E158" s="149">
        <f>78.9*2</f>
        <v>157.8</v>
      </c>
      <c r="F158" s="150">
        <f t="shared" si="2"/>
        <v>26.3</v>
      </c>
      <c r="I158" s="166"/>
    </row>
    <row r="159" spans="2:9">
      <c r="B159" s="151" t="s">
        <v>127</v>
      </c>
      <c r="C159" s="147" t="s">
        <v>128</v>
      </c>
      <c r="D159" s="148">
        <v>6</v>
      </c>
      <c r="E159" s="149">
        <v>56.2</v>
      </c>
      <c r="F159" s="150">
        <f t="shared" si="2"/>
        <v>9.36666666666667</v>
      </c>
      <c r="I159" s="166"/>
    </row>
    <row r="160" spans="2:9">
      <c r="B160" s="151" t="s">
        <v>129</v>
      </c>
      <c r="C160" s="147" t="s">
        <v>128</v>
      </c>
      <c r="D160" s="148">
        <v>0.33</v>
      </c>
      <c r="E160" s="152">
        <v>14.67</v>
      </c>
      <c r="F160" s="150">
        <f t="shared" si="2"/>
        <v>44.4545454545455</v>
      </c>
      <c r="I160" s="166"/>
    </row>
    <row r="161" spans="2:9">
      <c r="B161" s="151" t="s">
        <v>130</v>
      </c>
      <c r="C161" s="147" t="s">
        <v>125</v>
      </c>
      <c r="D161" s="148">
        <v>2</v>
      </c>
      <c r="E161" s="152">
        <v>6.33</v>
      </c>
      <c r="F161" s="150">
        <f t="shared" si="2"/>
        <v>3.165</v>
      </c>
      <c r="I161" s="166"/>
    </row>
    <row r="162" spans="2:9">
      <c r="B162" s="151" t="s">
        <v>131</v>
      </c>
      <c r="C162" s="147" t="s">
        <v>125</v>
      </c>
      <c r="D162" s="148">
        <v>0.66</v>
      </c>
      <c r="E162" s="152">
        <v>2.44</v>
      </c>
      <c r="F162" s="150">
        <f t="shared" si="2"/>
        <v>3.6969696969697</v>
      </c>
      <c r="I162" s="166"/>
    </row>
    <row r="163" spans="2:9">
      <c r="B163" s="151" t="s">
        <v>132</v>
      </c>
      <c r="C163" s="147" t="s">
        <v>125</v>
      </c>
      <c r="D163" s="148">
        <v>3</v>
      </c>
      <c r="E163" s="152">
        <v>33.42</v>
      </c>
      <c r="F163" s="150">
        <f t="shared" si="2"/>
        <v>11.14</v>
      </c>
      <c r="I163" s="166"/>
    </row>
    <row r="164" spans="2:9">
      <c r="B164" s="151" t="s">
        <v>133</v>
      </c>
      <c r="C164" s="147" t="s">
        <v>125</v>
      </c>
      <c r="D164" s="148">
        <v>2</v>
      </c>
      <c r="E164" s="152">
        <v>21.19</v>
      </c>
      <c r="F164" s="150">
        <f t="shared" si="2"/>
        <v>10.595</v>
      </c>
      <c r="I164" s="166"/>
    </row>
    <row r="165" spans="2:9">
      <c r="B165" s="153" t="s">
        <v>134</v>
      </c>
      <c r="C165" s="147" t="s">
        <v>125</v>
      </c>
      <c r="D165" s="148">
        <v>2</v>
      </c>
      <c r="E165" s="152">
        <v>44.2</v>
      </c>
      <c r="F165" s="150">
        <f t="shared" si="2"/>
        <v>22.1</v>
      </c>
      <c r="I165" s="166"/>
    </row>
    <row r="166" spans="2:9">
      <c r="B166" s="151" t="s">
        <v>135</v>
      </c>
      <c r="C166" s="147" t="s">
        <v>125</v>
      </c>
      <c r="D166" s="148">
        <v>1</v>
      </c>
      <c r="E166" s="152">
        <v>48.43</v>
      </c>
      <c r="F166" s="150">
        <f t="shared" si="2"/>
        <v>48.43</v>
      </c>
      <c r="I166" s="166"/>
    </row>
    <row r="167" spans="2:9">
      <c r="B167" s="151" t="s">
        <v>136</v>
      </c>
      <c r="C167" s="147" t="s">
        <v>137</v>
      </c>
      <c r="D167" s="148">
        <v>1</v>
      </c>
      <c r="E167" s="152">
        <v>17.13</v>
      </c>
      <c r="F167" s="150">
        <f t="shared" si="2"/>
        <v>17.13</v>
      </c>
      <c r="I167" s="166"/>
    </row>
    <row r="168" spans="2:9">
      <c r="B168" s="154" t="s">
        <v>138</v>
      </c>
      <c r="C168" s="154"/>
      <c r="D168" s="154"/>
      <c r="E168" s="154"/>
      <c r="F168" s="155">
        <f>SUM(F157:F167)</f>
        <v>209.811515151515</v>
      </c>
      <c r="I168" s="166"/>
    </row>
    <row r="169" spans="2:9">
      <c r="B169" s="156"/>
      <c r="C169" s="156"/>
      <c r="D169" s="156"/>
      <c r="E169" s="156"/>
      <c r="F169" s="157"/>
      <c r="I169" s="166"/>
    </row>
    <row r="170" s="1" customFormat="1" spans="2:6">
      <c r="B170" s="158" t="s">
        <v>139</v>
      </c>
      <c r="C170" s="158"/>
      <c r="D170" s="158"/>
      <c r="E170" s="158"/>
      <c r="F170" s="159" t="s">
        <v>60</v>
      </c>
    </row>
    <row r="171" s="1" customFormat="1" ht="25.5" spans="2:6">
      <c r="B171" s="143" t="s">
        <v>120</v>
      </c>
      <c r="C171" s="143" t="s">
        <v>121</v>
      </c>
      <c r="D171" s="144" t="s">
        <v>122</v>
      </c>
      <c r="E171" s="144" t="s">
        <v>123</v>
      </c>
      <c r="F171" s="155"/>
    </row>
    <row r="172" s="1" customFormat="1" ht="25.5" spans="2:9">
      <c r="B172" s="160" t="s">
        <v>140</v>
      </c>
      <c r="C172" s="147" t="s">
        <v>125</v>
      </c>
      <c r="D172" s="148">
        <v>24</v>
      </c>
      <c r="E172" s="149">
        <v>398.99</v>
      </c>
      <c r="F172" s="161">
        <f t="shared" ref="F172:F183" si="3">E172/D172</f>
        <v>16.6245833333333</v>
      </c>
      <c r="I172" s="167"/>
    </row>
    <row r="173" customFormat="1" ht="38.25" spans="2:9">
      <c r="B173" s="160" t="s">
        <v>141</v>
      </c>
      <c r="C173" s="147" t="s">
        <v>125</v>
      </c>
      <c r="D173" s="148">
        <v>24</v>
      </c>
      <c r="E173" s="149">
        <v>936.01</v>
      </c>
      <c r="F173" s="161">
        <f t="shared" si="3"/>
        <v>39.0004166666667</v>
      </c>
      <c r="H173" s="11"/>
      <c r="I173" s="2"/>
    </row>
    <row r="174" customFormat="1" spans="2:9">
      <c r="B174" s="160" t="s">
        <v>142</v>
      </c>
      <c r="C174" s="147" t="s">
        <v>125</v>
      </c>
      <c r="D174" s="148">
        <v>24</v>
      </c>
      <c r="E174" s="149">
        <v>965.02</v>
      </c>
      <c r="F174" s="161">
        <f t="shared" si="3"/>
        <v>40.2091666666667</v>
      </c>
      <c r="H174" s="11"/>
      <c r="I174" s="2"/>
    </row>
    <row r="175" customFormat="1" spans="2:9">
      <c r="B175" s="160" t="s">
        <v>143</v>
      </c>
      <c r="C175" s="147" t="s">
        <v>125</v>
      </c>
      <c r="D175" s="148">
        <v>12</v>
      </c>
      <c r="E175" s="149">
        <v>19.89</v>
      </c>
      <c r="F175" s="161">
        <f t="shared" si="3"/>
        <v>1.6575</v>
      </c>
      <c r="H175" s="11"/>
      <c r="I175" s="2"/>
    </row>
    <row r="176" customFormat="1" ht="25.5" spans="2:9">
      <c r="B176" s="162" t="s">
        <v>144</v>
      </c>
      <c r="C176" s="147" t="s">
        <v>125</v>
      </c>
      <c r="D176" s="148">
        <v>3</v>
      </c>
      <c r="E176" s="149">
        <v>60.43</v>
      </c>
      <c r="F176" s="161">
        <f t="shared" si="3"/>
        <v>20.1433333333333</v>
      </c>
      <c r="H176" s="11"/>
      <c r="I176" s="2"/>
    </row>
    <row r="177" customFormat="1" spans="2:9">
      <c r="B177" s="162" t="s">
        <v>145</v>
      </c>
      <c r="C177" s="147" t="s">
        <v>125</v>
      </c>
      <c r="D177" s="148">
        <v>6</v>
      </c>
      <c r="E177" s="149">
        <v>21.9</v>
      </c>
      <c r="F177" s="161">
        <f t="shared" si="3"/>
        <v>3.65</v>
      </c>
      <c r="H177" s="11"/>
      <c r="I177" s="2"/>
    </row>
    <row r="178" customFormat="1" ht="25.5" spans="2:9">
      <c r="B178" s="162" t="s">
        <v>146</v>
      </c>
      <c r="C178" s="147" t="s">
        <v>125</v>
      </c>
      <c r="D178" s="148">
        <v>3</v>
      </c>
      <c r="E178" s="149">
        <v>39.9</v>
      </c>
      <c r="F178" s="161">
        <f t="shared" si="3"/>
        <v>13.3</v>
      </c>
      <c r="H178" s="11"/>
      <c r="I178" s="2"/>
    </row>
    <row r="179" customFormat="1" ht="25.5" spans="2:9">
      <c r="B179" s="162" t="s">
        <v>147</v>
      </c>
      <c r="C179" s="147" t="s">
        <v>125</v>
      </c>
      <c r="D179" s="148">
        <v>6</v>
      </c>
      <c r="E179" s="149">
        <v>43.31</v>
      </c>
      <c r="F179" s="161">
        <f t="shared" si="3"/>
        <v>7.21833333333333</v>
      </c>
      <c r="H179" s="11"/>
      <c r="I179" s="2"/>
    </row>
    <row r="180" customFormat="1" ht="25.5" spans="2:9">
      <c r="B180" s="162" t="s">
        <v>148</v>
      </c>
      <c r="C180" s="147" t="s">
        <v>125</v>
      </c>
      <c r="D180" s="148">
        <v>12</v>
      </c>
      <c r="E180" s="149">
        <v>113.91</v>
      </c>
      <c r="F180" s="161">
        <f t="shared" si="3"/>
        <v>9.4925</v>
      </c>
      <c r="H180" s="11"/>
      <c r="I180" s="2"/>
    </row>
    <row r="181" customFormat="1" spans="2:9">
      <c r="B181" s="151" t="s">
        <v>149</v>
      </c>
      <c r="C181" s="147" t="s">
        <v>125</v>
      </c>
      <c r="D181" s="148">
        <v>12</v>
      </c>
      <c r="E181" s="149">
        <v>60.63</v>
      </c>
      <c r="F181" s="161">
        <f t="shared" si="3"/>
        <v>5.0525</v>
      </c>
      <c r="H181" s="11"/>
      <c r="I181" s="2"/>
    </row>
    <row r="182" customFormat="1" spans="2:9">
      <c r="B182" s="151" t="s">
        <v>150</v>
      </c>
      <c r="C182" s="147" t="s">
        <v>125</v>
      </c>
      <c r="D182" s="148">
        <v>12</v>
      </c>
      <c r="E182" s="149">
        <v>35.83</v>
      </c>
      <c r="F182" s="161">
        <f t="shared" si="3"/>
        <v>2.98583333333333</v>
      </c>
      <c r="H182" s="11"/>
      <c r="I182" s="2"/>
    </row>
    <row r="183" customFormat="1" ht="25.5" spans="2:9">
      <c r="B183" s="153" t="s">
        <v>151</v>
      </c>
      <c r="C183" s="147" t="s">
        <v>125</v>
      </c>
      <c r="D183" s="148">
        <v>12</v>
      </c>
      <c r="E183" s="149">
        <v>22.9</v>
      </c>
      <c r="F183" s="161">
        <f t="shared" si="3"/>
        <v>1.90833333333333</v>
      </c>
      <c r="H183" s="11"/>
      <c r="I183" s="2"/>
    </row>
    <row r="184" spans="2:8">
      <c r="B184" s="54" t="s">
        <v>152</v>
      </c>
      <c r="C184" s="54"/>
      <c r="D184" s="54"/>
      <c r="E184" s="54"/>
      <c r="F184" s="96">
        <f>SUM(F172:F183)</f>
        <v>161.2425</v>
      </c>
      <c r="H184" s="11"/>
    </row>
    <row r="185" spans="2:8">
      <c r="B185" s="56"/>
      <c r="C185" s="56"/>
      <c r="D185" s="56"/>
      <c r="E185" s="56"/>
      <c r="F185" s="141"/>
      <c r="H185" s="11"/>
    </row>
    <row r="186" ht="42" customHeight="1" spans="2:8">
      <c r="B186" s="163" t="s">
        <v>153</v>
      </c>
      <c r="C186" s="164"/>
      <c r="D186" s="164"/>
      <c r="E186" s="164"/>
      <c r="F186" s="164"/>
      <c r="H186" s="11"/>
    </row>
    <row r="187" spans="2:8">
      <c r="B187" s="3"/>
      <c r="C187" s="3"/>
      <c r="D187" s="3"/>
      <c r="E187" s="3"/>
      <c r="F187" s="3"/>
      <c r="H187" s="11"/>
    </row>
    <row r="188" spans="2:8">
      <c r="B188" s="14" t="s">
        <v>154</v>
      </c>
      <c r="C188" s="14"/>
      <c r="D188" s="14"/>
      <c r="E188" s="14"/>
      <c r="F188" s="14" t="s">
        <v>60</v>
      </c>
      <c r="H188" s="11"/>
    </row>
    <row r="189" spans="2:8">
      <c r="B189" s="25" t="s">
        <v>155</v>
      </c>
      <c r="C189" s="38"/>
      <c r="D189" s="38"/>
      <c r="E189" s="26"/>
      <c r="F189" s="96">
        <f>F168</f>
        <v>209.811515151515</v>
      </c>
      <c r="H189" s="11"/>
    </row>
    <row r="190" spans="2:8">
      <c r="B190" s="6" t="s">
        <v>156</v>
      </c>
      <c r="C190" s="6"/>
      <c r="D190" s="6"/>
      <c r="E190" s="6"/>
      <c r="F190" s="96">
        <f>F184</f>
        <v>161.2425</v>
      </c>
      <c r="H190" s="11"/>
    </row>
    <row r="191" spans="2:6">
      <c r="B191" s="74" t="s">
        <v>157</v>
      </c>
      <c r="C191" s="75"/>
      <c r="D191" s="75"/>
      <c r="E191" s="76"/>
      <c r="F191" s="96">
        <f>SUM(F189:F190)</f>
        <v>371.054015151515</v>
      </c>
    </row>
    <row r="192" spans="2:5">
      <c r="B192" s="56"/>
      <c r="C192" s="56"/>
      <c r="D192" s="56"/>
      <c r="E192" s="56"/>
    </row>
    <row r="193" spans="2:6">
      <c r="B193" s="64" t="s">
        <v>158</v>
      </c>
      <c r="C193" s="65"/>
      <c r="D193" s="65"/>
      <c r="E193" s="66"/>
      <c r="F193" s="14" t="s">
        <v>60</v>
      </c>
    </row>
    <row r="194" spans="2:6">
      <c r="B194" s="25" t="s">
        <v>159</v>
      </c>
      <c r="C194" s="38"/>
      <c r="D194" s="38"/>
      <c r="E194" s="26"/>
      <c r="F194" s="95">
        <f>F65</f>
        <v>2724.4</v>
      </c>
    </row>
    <row r="195" spans="2:6">
      <c r="B195" s="25" t="s">
        <v>160</v>
      </c>
      <c r="C195" s="38"/>
      <c r="D195" s="38"/>
      <c r="E195" s="26"/>
      <c r="F195" s="95">
        <f>F101</f>
        <v>1547.29764728</v>
      </c>
    </row>
    <row r="196" spans="2:6">
      <c r="B196" s="25" t="s">
        <v>161</v>
      </c>
      <c r="C196" s="38"/>
      <c r="D196" s="38"/>
      <c r="E196" s="26"/>
      <c r="F196" s="95">
        <f>F125</f>
        <v>133.551573145381</v>
      </c>
    </row>
    <row r="197" spans="2:6">
      <c r="B197" s="25" t="s">
        <v>162</v>
      </c>
      <c r="C197" s="38"/>
      <c r="D197" s="38"/>
      <c r="E197" s="26"/>
      <c r="F197" s="95">
        <f>F152</f>
        <v>537.681074796849</v>
      </c>
    </row>
    <row r="198" spans="2:6">
      <c r="B198" s="25" t="s">
        <v>163</v>
      </c>
      <c r="C198" s="38"/>
      <c r="D198" s="38"/>
      <c r="E198" s="26"/>
      <c r="F198" s="95">
        <f>F191</f>
        <v>371.054015151515</v>
      </c>
    </row>
    <row r="199" spans="2:6">
      <c r="B199" s="74" t="s">
        <v>164</v>
      </c>
      <c r="C199" s="75"/>
      <c r="D199" s="75"/>
      <c r="E199" s="76"/>
      <c r="F199" s="96">
        <f>SUM(F194:F198)</f>
        <v>5313.98431037374</v>
      </c>
    </row>
    <row r="200" spans="2:6">
      <c r="B200" s="56"/>
      <c r="C200" s="56"/>
      <c r="D200" s="56"/>
      <c r="E200" s="56"/>
      <c r="F200" s="141"/>
    </row>
    <row r="201" spans="2:6">
      <c r="B201" s="14" t="s">
        <v>165</v>
      </c>
      <c r="C201" s="14"/>
      <c r="D201" s="14"/>
      <c r="E201" s="14"/>
      <c r="F201" s="14"/>
    </row>
    <row r="202" spans="2:6">
      <c r="B202" s="25"/>
      <c r="C202" s="26"/>
      <c r="D202" s="14" t="s">
        <v>166</v>
      </c>
      <c r="E202" s="14" t="s">
        <v>167</v>
      </c>
      <c r="F202" s="14" t="s">
        <v>60</v>
      </c>
    </row>
    <row r="203" spans="2:6">
      <c r="B203" s="33" t="s">
        <v>168</v>
      </c>
      <c r="C203" s="34"/>
      <c r="D203" s="80">
        <f>F199</f>
        <v>5313.98431037374</v>
      </c>
      <c r="E203" s="81">
        <v>0.05</v>
      </c>
      <c r="F203" s="80">
        <f>D203*E203</f>
        <v>265.699215518687</v>
      </c>
    </row>
    <row r="204" spans="2:6">
      <c r="B204" s="33" t="s">
        <v>169</v>
      </c>
      <c r="C204" s="34"/>
      <c r="D204" s="80">
        <f>F199+F203</f>
        <v>5579.68352589243</v>
      </c>
      <c r="E204" s="81">
        <v>0.1</v>
      </c>
      <c r="F204" s="80">
        <f>D204*E204</f>
        <v>557.968352589243</v>
      </c>
    </row>
    <row r="205" spans="2:6">
      <c r="B205" s="33" t="s">
        <v>170</v>
      </c>
      <c r="C205" s="79"/>
      <c r="D205" s="79"/>
      <c r="E205" s="79"/>
      <c r="F205" s="34"/>
    </row>
    <row r="206" spans="2:6">
      <c r="B206" s="168" t="s">
        <v>171</v>
      </c>
      <c r="C206" s="169"/>
      <c r="D206" s="95">
        <f>(D204+F204)/((1-E209))</f>
        <v>6505.19541969441</v>
      </c>
      <c r="E206" s="81">
        <v>0.0065</v>
      </c>
      <c r="F206" s="170">
        <f>D206*E206</f>
        <v>42.2837702280137</v>
      </c>
    </row>
    <row r="207" spans="2:6">
      <c r="B207" s="168" t="s">
        <v>172</v>
      </c>
      <c r="C207" s="169"/>
      <c r="D207" s="95">
        <f>D206</f>
        <v>6505.19541969441</v>
      </c>
      <c r="E207" s="81">
        <v>0.03</v>
      </c>
      <c r="F207" s="170">
        <f>D207*E207</f>
        <v>195.155862590832</v>
      </c>
    </row>
    <row r="208" spans="2:6">
      <c r="B208" s="168" t="s">
        <v>173</v>
      </c>
      <c r="C208" s="169"/>
      <c r="D208" s="95">
        <f>D207</f>
        <v>6505.19541969441</v>
      </c>
      <c r="E208" s="81">
        <v>0.02</v>
      </c>
      <c r="F208" s="170">
        <f>D208*E208</f>
        <v>130.103908393888</v>
      </c>
    </row>
    <row r="209" spans="2:6">
      <c r="B209" s="74" t="s">
        <v>174</v>
      </c>
      <c r="C209" s="75"/>
      <c r="D209" s="76"/>
      <c r="E209" s="171">
        <f>SUM(E206:E208)</f>
        <v>0.0565</v>
      </c>
      <c r="F209" s="96">
        <f>SUM(F206:F208)</f>
        <v>367.543541212734</v>
      </c>
    </row>
    <row r="210" spans="2:6">
      <c r="B210" s="74" t="s">
        <v>175</v>
      </c>
      <c r="C210" s="75"/>
      <c r="D210" s="75"/>
      <c r="E210" s="172">
        <f>E203+E204+E209</f>
        <v>0.2065</v>
      </c>
      <c r="F210" s="133">
        <f>F203+F204+F209</f>
        <v>1191.21110932066</v>
      </c>
    </row>
    <row r="212" spans="2:6">
      <c r="B212" s="64" t="s">
        <v>176</v>
      </c>
      <c r="C212" s="65"/>
      <c r="D212" s="65"/>
      <c r="E212" s="65"/>
      <c r="F212" s="66" t="s">
        <v>60</v>
      </c>
    </row>
    <row r="213" spans="2:6">
      <c r="B213" s="6" t="s">
        <v>159</v>
      </c>
      <c r="C213" s="6"/>
      <c r="D213" s="6"/>
      <c r="E213" s="6"/>
      <c r="F213" s="95">
        <f>F65</f>
        <v>2724.4</v>
      </c>
    </row>
    <row r="214" spans="2:6">
      <c r="B214" s="6" t="s">
        <v>160</v>
      </c>
      <c r="C214" s="6"/>
      <c r="D214" s="6"/>
      <c r="E214" s="6"/>
      <c r="F214" s="95">
        <f>F101</f>
        <v>1547.29764728</v>
      </c>
    </row>
    <row r="215" spans="2:6">
      <c r="B215" s="6" t="s">
        <v>161</v>
      </c>
      <c r="C215" s="6"/>
      <c r="D215" s="6"/>
      <c r="E215" s="6"/>
      <c r="F215" s="95">
        <f>F125</f>
        <v>133.551573145381</v>
      </c>
    </row>
    <row r="216" spans="2:6">
      <c r="B216" s="6" t="s">
        <v>162</v>
      </c>
      <c r="C216" s="6"/>
      <c r="D216" s="6"/>
      <c r="E216" s="6"/>
      <c r="F216" s="95">
        <f>F150</f>
        <v>537.681074796849</v>
      </c>
    </row>
    <row r="217" spans="2:6">
      <c r="B217" s="6" t="s">
        <v>163</v>
      </c>
      <c r="C217" s="6"/>
      <c r="D217" s="6"/>
      <c r="E217" s="6"/>
      <c r="F217" s="95">
        <f>F198</f>
        <v>371.054015151515</v>
      </c>
    </row>
    <row r="218" spans="2:6">
      <c r="B218" s="6" t="s">
        <v>177</v>
      </c>
      <c r="C218" s="6"/>
      <c r="D218" s="6"/>
      <c r="E218" s="6"/>
      <c r="F218" s="173">
        <f>F210</f>
        <v>1191.21110932066</v>
      </c>
    </row>
    <row r="219" spans="2:8">
      <c r="B219" s="74" t="s">
        <v>178</v>
      </c>
      <c r="C219" s="75"/>
      <c r="D219" s="75"/>
      <c r="E219" s="76"/>
      <c r="F219" s="96">
        <f>TRUNC(SUM(F213:F218),2)</f>
        <v>6505.19</v>
      </c>
      <c r="H219" s="11"/>
    </row>
    <row r="220" spans="2:8">
      <c r="B220" s="74" t="s">
        <v>179</v>
      </c>
      <c r="C220" s="75"/>
      <c r="D220" s="75"/>
      <c r="E220" s="76"/>
      <c r="F220" s="96">
        <v>1</v>
      </c>
      <c r="H220" s="11"/>
    </row>
    <row r="221" spans="2:6">
      <c r="B221" s="74" t="s">
        <v>180</v>
      </c>
      <c r="C221" s="75"/>
      <c r="D221" s="75"/>
      <c r="E221" s="76"/>
      <c r="F221" s="96">
        <v>1</v>
      </c>
    </row>
    <row r="222" spans="2:6">
      <c r="B222" s="74" t="s">
        <v>181</v>
      </c>
      <c r="C222" s="75"/>
      <c r="D222" s="75"/>
      <c r="E222" s="76"/>
      <c r="F222" s="96">
        <f>F220*F221*F219</f>
        <v>6505.19</v>
      </c>
    </row>
    <row r="223" spans="2:2">
      <c r="B223" s="1" t="s">
        <v>182</v>
      </c>
    </row>
    <row r="224" ht="14.1" customHeight="1" spans="2:6">
      <c r="B224" s="174" t="s">
        <v>183</v>
      </c>
      <c r="C224" s="174"/>
      <c r="D224" s="174"/>
      <c r="E224" s="174"/>
      <c r="F224" s="174"/>
    </row>
    <row r="225" spans="2:6">
      <c r="B225" s="175" t="s">
        <v>184</v>
      </c>
      <c r="C225" s="175"/>
      <c r="D225" s="175"/>
      <c r="E225" s="175"/>
      <c r="F225" s="175"/>
    </row>
    <row r="226" spans="2:6">
      <c r="B226" s="174" t="s">
        <v>99</v>
      </c>
      <c r="C226" s="174"/>
      <c r="D226" s="174"/>
      <c r="E226" s="174"/>
      <c r="F226" s="174"/>
    </row>
    <row r="227" ht="45.75" customHeight="1" spans="2:6">
      <c r="B227" s="175" t="s">
        <v>185</v>
      </c>
      <c r="C227" s="175"/>
      <c r="D227" s="175"/>
      <c r="E227" s="175"/>
      <c r="F227" s="175"/>
    </row>
    <row r="228" ht="27.75" customHeight="1" spans="2:6">
      <c r="B228" s="175" t="s">
        <v>186</v>
      </c>
      <c r="C228" s="175"/>
      <c r="D228" s="175"/>
      <c r="E228" s="175"/>
      <c r="F228" s="175"/>
    </row>
    <row r="229" spans="2:6">
      <c r="B229" s="174" t="s">
        <v>104</v>
      </c>
      <c r="C229" s="174"/>
      <c r="D229" s="174"/>
      <c r="E229" s="174"/>
      <c r="F229" s="174"/>
    </row>
    <row r="230" spans="2:6">
      <c r="B230" s="175" t="s">
        <v>187</v>
      </c>
      <c r="C230" s="175"/>
      <c r="D230" s="175"/>
      <c r="E230" s="175"/>
      <c r="F230" s="175"/>
    </row>
    <row r="231" spans="2:6">
      <c r="B231" s="163"/>
      <c r="C231" s="163"/>
      <c r="D231" s="163"/>
      <c r="E231" s="163"/>
      <c r="F231" s="163"/>
    </row>
    <row r="232" spans="2:6">
      <c r="B232" s="175"/>
      <c r="C232" s="175"/>
      <c r="D232" s="175"/>
      <c r="E232" s="175"/>
      <c r="F232" s="175"/>
    </row>
    <row r="233" spans="2:6">
      <c r="B233" s="163"/>
      <c r="C233" s="163"/>
      <c r="D233" s="163"/>
      <c r="E233" s="163"/>
      <c r="F233" s="163"/>
    </row>
    <row r="234" spans="2:6">
      <c r="B234" s="175"/>
      <c r="C234" s="175"/>
      <c r="D234" s="175"/>
      <c r="E234" s="175"/>
      <c r="F234" s="175"/>
    </row>
  </sheetData>
  <customSheetViews>
    <customSheetView guid="{70A25660-0865-4554-9397-819227EB43B3}" showPageBreaks="1" printArea="1" topLeftCell="A58">
      <selection activeCell="F58" sqref="F58"/>
      <pageMargins left="0.236220472440945" right="0.236220472440945" top="0.748031496062992" bottom="0.748031496062992" header="0.31496062992126" footer="0.31496062992126"/>
      <printOptions horizontalCentered="1"/>
      <pageSetup paperSize="9" orientation="portrait"/>
      <headerFooter/>
    </customSheetView>
  </customSheetViews>
  <mergeCells count="173">
    <mergeCell ref="B3:F3"/>
    <mergeCell ref="B4:F4"/>
    <mergeCell ref="B5:F5"/>
    <mergeCell ref="B7:F7"/>
    <mergeCell ref="B8:C8"/>
    <mergeCell ref="D8:F8"/>
    <mergeCell ref="B9:C9"/>
    <mergeCell ref="D9:F9"/>
    <mergeCell ref="B10:C10"/>
    <mergeCell ref="D10:F10"/>
    <mergeCell ref="B11:C11"/>
    <mergeCell ref="D11:F11"/>
    <mergeCell ref="B12:C12"/>
    <mergeCell ref="D12:F12"/>
    <mergeCell ref="B13:C13"/>
    <mergeCell ref="D13:F13"/>
    <mergeCell ref="B14:C14"/>
    <mergeCell ref="D14:F14"/>
    <mergeCell ref="B16:C16"/>
    <mergeCell ref="B17:C17"/>
    <mergeCell ref="B18:C18"/>
    <mergeCell ref="B19:C19"/>
    <mergeCell ref="B20:C20"/>
    <mergeCell ref="B21:C21"/>
    <mergeCell ref="B22:C22"/>
    <mergeCell ref="B23:C23"/>
    <mergeCell ref="B25:C25"/>
    <mergeCell ref="B27:D27"/>
    <mergeCell ref="B30:C30"/>
    <mergeCell ref="B33:F33"/>
    <mergeCell ref="E34:F34"/>
    <mergeCell ref="B48:E48"/>
    <mergeCell ref="B51:D51"/>
    <mergeCell ref="B52:D52"/>
    <mergeCell ref="I52:K52"/>
    <mergeCell ref="B54:F54"/>
    <mergeCell ref="B56:F56"/>
    <mergeCell ref="B58:D58"/>
    <mergeCell ref="B59:D59"/>
    <mergeCell ref="B60:D60"/>
    <mergeCell ref="B61:D61"/>
    <mergeCell ref="B62:D62"/>
    <mergeCell ref="B63:D63"/>
    <mergeCell ref="B64:D64"/>
    <mergeCell ref="B65:E65"/>
    <mergeCell ref="B67:F67"/>
    <mergeCell ref="B68:F68"/>
    <mergeCell ref="B69:D69"/>
    <mergeCell ref="B70:D70"/>
    <mergeCell ref="B71:D71"/>
    <mergeCell ref="B72:E72"/>
    <mergeCell ref="B74:F74"/>
    <mergeCell ref="B75:C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7:F87"/>
    <mergeCell ref="B88:E88"/>
    <mergeCell ref="B89:E89"/>
    <mergeCell ref="B90:E90"/>
    <mergeCell ref="B91:E91"/>
    <mergeCell ref="B92:E92"/>
    <mergeCell ref="B93:E93"/>
    <mergeCell ref="B94:E94"/>
    <mergeCell ref="B96:F96"/>
    <mergeCell ref="B97:E97"/>
    <mergeCell ref="B98:E98"/>
    <mergeCell ref="B99:E99"/>
    <mergeCell ref="B100:E100"/>
    <mergeCell ref="B101:E101"/>
    <mergeCell ref="B103:F103"/>
    <mergeCell ref="B105:D105"/>
    <mergeCell ref="B106:D106"/>
    <mergeCell ref="B107:D107"/>
    <mergeCell ref="B108:D108"/>
    <mergeCell ref="B109:D109"/>
    <mergeCell ref="B111:D111"/>
    <mergeCell ref="B112:D112"/>
    <mergeCell ref="B113:D113"/>
    <mergeCell ref="B114:D114"/>
    <mergeCell ref="B115:D115"/>
    <mergeCell ref="B117:D117"/>
    <mergeCell ref="B118:D118"/>
    <mergeCell ref="B119:D119"/>
    <mergeCell ref="B121:E121"/>
    <mergeCell ref="B122:E122"/>
    <mergeCell ref="B123:E123"/>
    <mergeCell ref="B124:E124"/>
    <mergeCell ref="B125:D125"/>
    <mergeCell ref="B127:F127"/>
    <mergeCell ref="B128:F128"/>
    <mergeCell ref="B129:C129"/>
    <mergeCell ref="B130:D130"/>
    <mergeCell ref="B131:D131"/>
    <mergeCell ref="B132:D132"/>
    <mergeCell ref="B133:D133"/>
    <mergeCell ref="B134:D134"/>
    <mergeCell ref="B135:D135"/>
    <mergeCell ref="B136:D136"/>
    <mergeCell ref="B137:D137"/>
    <mergeCell ref="B138:D138"/>
    <mergeCell ref="B139:D139"/>
    <mergeCell ref="B140:D140"/>
    <mergeCell ref="B141:D141"/>
    <mergeCell ref="B142:D142"/>
    <mergeCell ref="B144:F144"/>
    <mergeCell ref="B145:E145"/>
    <mergeCell ref="B146:E146"/>
    <mergeCell ref="B147:E147"/>
    <mergeCell ref="B149:E149"/>
    <mergeCell ref="B150:E150"/>
    <mergeCell ref="B151:E151"/>
    <mergeCell ref="B152:E152"/>
    <mergeCell ref="B154:F154"/>
    <mergeCell ref="B155:E155"/>
    <mergeCell ref="B168:E168"/>
    <mergeCell ref="B170:E170"/>
    <mergeCell ref="B184:E184"/>
    <mergeCell ref="B186:F186"/>
    <mergeCell ref="B188:E188"/>
    <mergeCell ref="B189:E189"/>
    <mergeCell ref="B190:E190"/>
    <mergeCell ref="B191:E191"/>
    <mergeCell ref="B193:E193"/>
    <mergeCell ref="B194:E194"/>
    <mergeCell ref="B195:E195"/>
    <mergeCell ref="B196:E196"/>
    <mergeCell ref="B197:E197"/>
    <mergeCell ref="B198:E198"/>
    <mergeCell ref="B199:E199"/>
    <mergeCell ref="B201:F201"/>
    <mergeCell ref="B202:C202"/>
    <mergeCell ref="B203:C203"/>
    <mergeCell ref="B204:C204"/>
    <mergeCell ref="B205:F205"/>
    <mergeCell ref="B206:C206"/>
    <mergeCell ref="B207:C207"/>
    <mergeCell ref="B208:C208"/>
    <mergeCell ref="B209:D209"/>
    <mergeCell ref="B210:D210"/>
    <mergeCell ref="B212:E212"/>
    <mergeCell ref="B213:E213"/>
    <mergeCell ref="B214:E214"/>
    <mergeCell ref="B215:E215"/>
    <mergeCell ref="B216:E216"/>
    <mergeCell ref="B217:E217"/>
    <mergeCell ref="B218:E218"/>
    <mergeCell ref="B219:E219"/>
    <mergeCell ref="B220:E220"/>
    <mergeCell ref="B221:E221"/>
    <mergeCell ref="B222:E222"/>
    <mergeCell ref="B224:F224"/>
    <mergeCell ref="B225:F225"/>
    <mergeCell ref="B226:F226"/>
    <mergeCell ref="B227:F227"/>
    <mergeCell ref="B228:F228"/>
    <mergeCell ref="B229:F229"/>
    <mergeCell ref="B230:F230"/>
    <mergeCell ref="B231:F231"/>
    <mergeCell ref="B232:F232"/>
    <mergeCell ref="B233:F233"/>
    <mergeCell ref="B234:F234"/>
    <mergeCell ref="B34:B35"/>
    <mergeCell ref="C34:C35"/>
    <mergeCell ref="D34:D35"/>
    <mergeCell ref="G17:K18"/>
  </mergeCells>
  <printOptions horizontalCentered="1"/>
  <pageMargins left="0.314583333333333" right="0.236111111111111" top="0.393055555555556" bottom="0.747916666666667" header="0.314583333333333" footer="0.314583333333333"/>
  <pageSetup paperSize="9" scale="92" orientation="portrait"/>
  <headerFooter>
    <oddFooter>&amp;RPágina &amp;P de &amp;N</oddFooter>
  </headerFooter>
  <rowBreaks count="4" manualBreakCount="4">
    <brk id="48" max="5" man="1"/>
    <brk id="101" max="5" man="1"/>
    <brk id="152" max="5" man="1"/>
    <brk id="199" max="5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Planilha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Margere</dc:creator>
  <cp:lastModifiedBy>ademir.silva</cp:lastModifiedBy>
  <dcterms:created xsi:type="dcterms:W3CDTF">2017-08-17T21:14:00Z</dcterms:created>
  <cp:lastPrinted>2018-04-09T22:05:00Z</cp:lastPrinted>
  <dcterms:modified xsi:type="dcterms:W3CDTF">2024-05-23T14:37:22Z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24F57E9C780F4348B8977F93DE036BF6_13</vt:lpwstr>
  </property>
  <property fmtid="{D5CDD505-2E9C-101B-9397-08002B2CF9AE}" pid="3" name="KSOProductBuildVer">
    <vt:lpwstr>1046-12.2.0.16909</vt:lpwstr>
  </property>
</Properties>
</file>