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N:\DADOS REDE\PREGÃO ELETRÔNICO\2025\023 Coleta de Lixo\"/>
    </mc:Choice>
  </mc:AlternateContent>
  <xr:revisionPtr revIDLastSave="0" documentId="8_{A0583E31-1DF7-46DC-9A32-F401B122D648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Resumo" sheetId="42" r:id="rId1"/>
    <sheet name="1. Coleta Orgânica e Seletiva" sheetId="47" r:id="rId2"/>
    <sheet name="2 Área de Transbordo" sheetId="45" r:id="rId3"/>
    <sheet name="3. Contentores" sheetId="48" r:id="rId4"/>
    <sheet name="4.Encargos Sociais" sheetId="8" r:id="rId5"/>
    <sheet name="5.BDI" sheetId="4" r:id="rId6"/>
    <sheet name="6. Depreciação" sheetId="6" r:id="rId7"/>
    <sheet name="7.Roteiros" sheetId="46" r:id="rId8"/>
    <sheet name="8.Horários" sheetId="11" r:id="rId9"/>
  </sheets>
  <externalReferences>
    <externalReference r:id="rId10"/>
    <externalReference r:id="rId11"/>
  </externalReferences>
  <definedNames>
    <definedName name="_____LO25" localSheetId="1">#REF!</definedName>
    <definedName name="_____LO25">#REF!</definedName>
    <definedName name="____LO25" localSheetId="1">#REF!</definedName>
    <definedName name="____LO25">#REF!</definedName>
    <definedName name="___LO25" localSheetId="1">#REF!</definedName>
    <definedName name="___LO25">#REF!</definedName>
    <definedName name="__LO25" localSheetId="1">#REF!</definedName>
    <definedName name="__LO25">#REF!</definedName>
    <definedName name="__xlfn_IFERROR">#N/A</definedName>
    <definedName name="_LO25" localSheetId="1">#REF!</definedName>
    <definedName name="_LO25" localSheetId="2">#REF!</definedName>
    <definedName name="_LO25">#REF!</definedName>
    <definedName name="AbaDeprec" localSheetId="7">'[1]4. Depreciação'!$A$1</definedName>
    <definedName name="AbaDeprec" localSheetId="0">'[2]8 Depr'!$A$1</definedName>
    <definedName name="AbaDeprec">'6. Depreciação'!$A$1</definedName>
    <definedName name="AbaRemun" localSheetId="1">#REF!</definedName>
    <definedName name="AbaRemun" localSheetId="2">#REF!</definedName>
    <definedName name="AbaRemun" localSheetId="3">#REF!</definedName>
    <definedName name="AbaRemun" localSheetId="0">#REF!</definedName>
    <definedName name="AbaRemun">#REF!</definedName>
    <definedName name="_xlnm.Print_Area" localSheetId="1">'1. Coleta Orgânica e Seletiva'!$A$1:$F$259</definedName>
    <definedName name="_xlnm.Print_Area" localSheetId="2">'2 Área de Transbordo'!$A$1:$F$153</definedName>
    <definedName name="_xlnm.Print_Area" localSheetId="3">'3. Contentores'!$A$1:$F$41</definedName>
    <definedName name="_xlnm.Print_Area" localSheetId="4">'4.Encargos Sociais'!$A$1:$C$36</definedName>
    <definedName name="Google_Sheet_Link_1445228212" localSheetId="7" hidden="1">'7.Roteiros'!AbaDeprec</definedName>
    <definedName name="Google_Sheet_Link_1445228212" localSheetId="0" hidden="1">Resumo!AbaDeprec</definedName>
    <definedName name="Google_Sheet_Link_1445228212" hidden="1">[0]!AbaDeprec</definedName>
    <definedName name="Google_Sheet_Link_1661628036" localSheetId="7" hidden="1">'7.Roteiros'!AbaDeprec</definedName>
    <definedName name="Google_Sheet_Link_1661628036" localSheetId="0" hidden="1">Resumo!AbaDeprec</definedName>
    <definedName name="Google_Sheet_Link_1661628036" hidden="1">[0]!AbaDeprec</definedName>
    <definedName name="Google_Sheet_Link_511756154" localSheetId="1" hidden="1">'1. Coleta Orgânica e Seletiva'!AbaRemun</definedName>
    <definedName name="Google_Sheet_Link_511756154" localSheetId="7" hidden="1">AbaRemun</definedName>
    <definedName name="Google_Sheet_Link_511756154" localSheetId="0" hidden="1">AbaRemun</definedName>
    <definedName name="Google_Sheet_Link_511756154" hidden="1">AbaRemun</definedName>
    <definedName name="Google_Sheet_Link_845117530" localSheetId="1" hidden="1">'1. Coleta Orgânica e Seletiva'!AbaRemun</definedName>
    <definedName name="Google_Sheet_Link_845117530" localSheetId="7" hidden="1">AbaRemun</definedName>
    <definedName name="Google_Sheet_Link_845117530" localSheetId="0" hidden="1">AbaRemun</definedName>
    <definedName name="Google_Sheet_Link_845117530" hidden="1">AbaRemun</definedName>
    <definedName name="Horário" localSheetId="1">#REF!</definedName>
    <definedName name="Horário" localSheetId="3">#REF!</definedName>
    <definedName name="Horário" localSheetId="7">#REF!</definedName>
    <definedName name="Horário">#REF!</definedName>
    <definedName name="sesi" localSheetId="1">#REF!</definedName>
    <definedName name="sesi">#REF!</definedName>
    <definedName name="_xlnm.Print_Titles" localSheetId="1">'1. Coleta Orgânica e Seletiva'!$1:$4</definedName>
    <definedName name="_xlnm.Print_Titles" localSheetId="2">'2 Área de Transbordo'!$1:$8</definedName>
  </definedNames>
  <calcPr calcId="191029"/>
</workbook>
</file>

<file path=xl/calcChain.xml><?xml version="1.0" encoding="utf-8"?>
<calcChain xmlns="http://schemas.openxmlformats.org/spreadsheetml/2006/main">
  <c r="B120" i="45" l="1"/>
  <c r="H32" i="11" l="1"/>
  <c r="H31" i="11"/>
  <c r="H30" i="11"/>
  <c r="H29" i="11"/>
  <c r="H28" i="11"/>
  <c r="H27" i="11"/>
  <c r="H23" i="11"/>
  <c r="H22" i="11"/>
  <c r="H21" i="11"/>
  <c r="H20" i="11"/>
  <c r="H19" i="11"/>
  <c r="H18" i="11"/>
  <c r="H14" i="11"/>
  <c r="H13" i="11"/>
  <c r="H9" i="11"/>
  <c r="H8" i="11"/>
  <c r="H7" i="11"/>
  <c r="E79" i="45"/>
  <c r="E84" i="45"/>
  <c r="D132" i="47"/>
  <c r="E132" i="47" s="1"/>
  <c r="D63" i="45"/>
  <c r="C63" i="45"/>
  <c r="D90" i="47"/>
  <c r="C91" i="47"/>
  <c r="D91" i="47"/>
  <c r="E91" i="47" l="1"/>
  <c r="C232" i="47"/>
  <c r="C188" i="47"/>
  <c r="D188" i="47"/>
  <c r="C146" i="47"/>
  <c r="E78" i="45"/>
  <c r="E188" i="47" l="1"/>
  <c r="E63" i="45"/>
  <c r="E120" i="47"/>
  <c r="E77" i="47" l="1"/>
  <c r="J31" i="11"/>
  <c r="L30" i="11" s="1"/>
  <c r="L32" i="11" s="1"/>
  <c r="I14" i="11"/>
  <c r="I13" i="11"/>
  <c r="K27" i="11"/>
  <c r="J21" i="11"/>
  <c r="L21" i="11" s="1"/>
  <c r="L23" i="11" s="1"/>
  <c r="I18" i="11"/>
  <c r="K18" i="11" s="1"/>
  <c r="K7" i="11"/>
  <c r="K9" i="11" s="1"/>
  <c r="I36" i="11" l="1"/>
  <c r="I38" i="11" s="1"/>
  <c r="M38" i="11" s="1"/>
  <c r="K13" i="11"/>
  <c r="L14" i="11" s="1"/>
  <c r="J36" i="11"/>
  <c r="J38" i="11" s="1"/>
  <c r="J40" i="11" s="1"/>
  <c r="L19" i="11"/>
  <c r="L28" i="11"/>
  <c r="D38" i="48"/>
  <c r="C99" i="45"/>
  <c r="I40" i="11" l="1"/>
  <c r="I42" i="11"/>
  <c r="J42" i="11"/>
  <c r="C23" i="48"/>
  <c r="E23" i="48" s="1"/>
  <c r="D24" i="48" s="1"/>
  <c r="E24" i="48" s="1"/>
  <c r="C21" i="48"/>
  <c r="E21" i="48" s="1"/>
  <c r="D22" i="48" s="1"/>
  <c r="E22" i="48" s="1"/>
  <c r="E14" i="48"/>
  <c r="A13" i="48"/>
  <c r="A9" i="48"/>
  <c r="A8" i="48"/>
  <c r="A7" i="48"/>
  <c r="F25" i="48" l="1"/>
  <c r="E8" i="48" s="1"/>
  <c r="E7" i="48" s="1"/>
  <c r="F27" i="48" l="1"/>
  <c r="D31" i="48" s="1"/>
  <c r="C239" i="47" l="1"/>
  <c r="E239" i="47" s="1"/>
  <c r="D240" i="47" s="1"/>
  <c r="E240" i="47" s="1"/>
  <c r="E237" i="47"/>
  <c r="D238" i="47" s="1"/>
  <c r="E238" i="47" s="1"/>
  <c r="E232" i="47"/>
  <c r="E231" i="47"/>
  <c r="E230" i="47"/>
  <c r="E222" i="47"/>
  <c r="E221" i="47"/>
  <c r="E220" i="47"/>
  <c r="E219" i="47"/>
  <c r="E218" i="47"/>
  <c r="C209" i="47"/>
  <c r="E209" i="47" s="1"/>
  <c r="E207" i="47"/>
  <c r="D210" i="47" s="1"/>
  <c r="E210" i="47" s="1"/>
  <c r="D211" i="47" s="1"/>
  <c r="D198" i="47"/>
  <c r="D196" i="47"/>
  <c r="D194" i="47"/>
  <c r="D192" i="47"/>
  <c r="D190" i="47"/>
  <c r="D186" i="47"/>
  <c r="C166" i="47"/>
  <c r="D165" i="47"/>
  <c r="D160" i="47"/>
  <c r="E160" i="47" s="1"/>
  <c r="C155" i="47"/>
  <c r="C223" i="47" s="1"/>
  <c r="C152" i="47"/>
  <c r="C151" i="47"/>
  <c r="D153" i="47" s="1"/>
  <c r="C148" i="47"/>
  <c r="C165" i="47" s="1"/>
  <c r="C147" i="47"/>
  <c r="E143" i="47"/>
  <c r="D146" i="47" s="1"/>
  <c r="D133" i="47"/>
  <c r="E133" i="47" s="1"/>
  <c r="D131" i="47"/>
  <c r="E131" i="47" s="1"/>
  <c r="D130" i="47"/>
  <c r="E130" i="47" s="1"/>
  <c r="D129" i="47"/>
  <c r="E129" i="47" s="1"/>
  <c r="D128" i="47"/>
  <c r="E128" i="47" s="1"/>
  <c r="D127" i="47"/>
  <c r="E127" i="47" s="1"/>
  <c r="C122" i="47"/>
  <c r="E121" i="47"/>
  <c r="E119" i="47"/>
  <c r="E118" i="47"/>
  <c r="E117" i="47"/>
  <c r="E116" i="47"/>
  <c r="E115" i="47"/>
  <c r="E114" i="47"/>
  <c r="E113" i="47"/>
  <c r="E112" i="47"/>
  <c r="E111" i="47"/>
  <c r="E110" i="47"/>
  <c r="E109" i="47"/>
  <c r="D89" i="47"/>
  <c r="A89" i="47"/>
  <c r="E72" i="47"/>
  <c r="E73" i="47" s="1"/>
  <c r="C67" i="47"/>
  <c r="E60" i="47"/>
  <c r="D84" i="47" s="1"/>
  <c r="C55" i="47"/>
  <c r="C101" i="47" s="1"/>
  <c r="E101" i="47" s="1"/>
  <c r="E50" i="47"/>
  <c r="A43" i="47"/>
  <c r="E39" i="47"/>
  <c r="E40" i="47" s="1"/>
  <c r="A39" i="47"/>
  <c r="A38" i="47"/>
  <c r="A37" i="47"/>
  <c r="A31" i="47"/>
  <c r="A30" i="47"/>
  <c r="A29" i="47"/>
  <c r="A28" i="47"/>
  <c r="A27" i="47"/>
  <c r="A26" i="47"/>
  <c r="A25" i="47"/>
  <c r="A24" i="47"/>
  <c r="A23" i="47"/>
  <c r="A22" i="47"/>
  <c r="A21" i="47"/>
  <c r="A20" i="47"/>
  <c r="A19" i="47"/>
  <c r="A18" i="47"/>
  <c r="A17" i="47"/>
  <c r="A16" i="47"/>
  <c r="A15" i="47"/>
  <c r="A14" i="47"/>
  <c r="A13" i="47"/>
  <c r="A12" i="47"/>
  <c r="A11" i="47"/>
  <c r="C84" i="47" l="1"/>
  <c r="C90" i="47"/>
  <c r="E90" i="47" s="1"/>
  <c r="F92" i="47" s="1"/>
  <c r="D134" i="47"/>
  <c r="E165" i="47"/>
  <c r="C177" i="47"/>
  <c r="E177" i="47" s="1"/>
  <c r="D199" i="47"/>
  <c r="F233" i="47"/>
  <c r="E29" i="47" s="1"/>
  <c r="E146" i="47"/>
  <c r="D147" i="47" s="1"/>
  <c r="E147" i="47" s="1"/>
  <c r="C89" i="47"/>
  <c r="E89" i="47" s="1"/>
  <c r="D122" i="47"/>
  <c r="E122" i="47" s="1"/>
  <c r="D51" i="47"/>
  <c r="E51" i="47" s="1"/>
  <c r="E52" i="47" s="1"/>
  <c r="C134" i="47"/>
  <c r="C96" i="47"/>
  <c r="E96" i="47" s="1"/>
  <c r="C83" i="47"/>
  <c r="C171" i="47"/>
  <c r="D223" i="47"/>
  <c r="E223" i="47" s="1"/>
  <c r="F224" i="47" s="1"/>
  <c r="F226" i="47" s="1"/>
  <c r="E28" i="47" s="1"/>
  <c r="D63" i="47"/>
  <c r="E63" i="47" s="1"/>
  <c r="E64" i="47" s="1"/>
  <c r="E84" i="47"/>
  <c r="F102" i="47"/>
  <c r="D74" i="47"/>
  <c r="D83" i="47"/>
  <c r="E148" i="47"/>
  <c r="C176" i="47"/>
  <c r="C162" i="47"/>
  <c r="C178" i="47"/>
  <c r="E178" i="47" s="1"/>
  <c r="E114" i="46"/>
  <c r="Q78" i="46" s="1"/>
  <c r="Q81" i="46" s="1"/>
  <c r="Z28" i="46" s="1"/>
  <c r="E108" i="46"/>
  <c r="Q69" i="46" s="1"/>
  <c r="Q72" i="46" s="1"/>
  <c r="Z27" i="46" s="1"/>
  <c r="E102" i="46"/>
  <c r="E96" i="46"/>
  <c r="Q51" i="46" s="1"/>
  <c r="E83" i="46"/>
  <c r="E82" i="46"/>
  <c r="E81" i="46"/>
  <c r="E80" i="46"/>
  <c r="E79" i="46"/>
  <c r="E78" i="46"/>
  <c r="E66" i="46"/>
  <c r="E65" i="46"/>
  <c r="E64" i="46"/>
  <c r="E63" i="46"/>
  <c r="E62" i="46"/>
  <c r="E61" i="46"/>
  <c r="Q60" i="46"/>
  <c r="Q63" i="46" s="1"/>
  <c r="E52" i="46"/>
  <c r="E51" i="46"/>
  <c r="E50" i="46"/>
  <c r="E49" i="46"/>
  <c r="E48" i="46"/>
  <c r="E47" i="46"/>
  <c r="E42" i="46"/>
  <c r="K24" i="46" s="1"/>
  <c r="K27" i="46" s="1"/>
  <c r="E27" i="46"/>
  <c r="Q15" i="46" s="1"/>
  <c r="K15" i="46"/>
  <c r="K18" i="46" s="1"/>
  <c r="E12" i="46"/>
  <c r="Q6" i="46" s="1"/>
  <c r="Q9" i="46" s="1"/>
  <c r="Q54" i="46" l="1"/>
  <c r="Z25" i="46" s="1"/>
  <c r="M29" i="11"/>
  <c r="N29" i="11" s="1"/>
  <c r="Z7" i="46"/>
  <c r="M13" i="11"/>
  <c r="N13" i="11" s="1"/>
  <c r="Q18" i="46"/>
  <c r="Z20" i="46" s="1"/>
  <c r="M27" i="11"/>
  <c r="N27" i="11" s="1"/>
  <c r="E73" i="46"/>
  <c r="K42" i="46" s="1"/>
  <c r="K45" i="46" s="1"/>
  <c r="Z8" i="46"/>
  <c r="M14" i="11"/>
  <c r="N14" i="11" s="1"/>
  <c r="E16" i="47"/>
  <c r="E83" i="47"/>
  <c r="F85" i="47" s="1"/>
  <c r="E15" i="47" s="1"/>
  <c r="Z26" i="46"/>
  <c r="M32" i="11"/>
  <c r="N32" i="11" s="1"/>
  <c r="M30" i="11"/>
  <c r="N30" i="11" s="1"/>
  <c r="Z19" i="46"/>
  <c r="M21" i="11"/>
  <c r="N21" i="11" s="1"/>
  <c r="E134" i="47"/>
  <c r="K6" i="46"/>
  <c r="E56" i="46"/>
  <c r="K33" i="46" s="1"/>
  <c r="K36" i="46" s="1"/>
  <c r="E90" i="46"/>
  <c r="Q42" i="46" s="1"/>
  <c r="D65" i="47"/>
  <c r="D53" i="47"/>
  <c r="C163" i="47"/>
  <c r="D176" i="47"/>
  <c r="E176" i="47" s="1"/>
  <c r="D179" i="47" s="1"/>
  <c r="E179" i="47" s="1"/>
  <c r="E18" i="47"/>
  <c r="D151" i="47"/>
  <c r="E151" i="47" s="1"/>
  <c r="D152" i="47" s="1"/>
  <c r="E152" i="47" s="1"/>
  <c r="C167" i="47"/>
  <c r="C168" i="47" s="1"/>
  <c r="D169" i="47" s="1"/>
  <c r="E169" i="47" s="1"/>
  <c r="Q33" i="46"/>
  <c r="Q24" i="46"/>
  <c r="Z9" i="46" l="1"/>
  <c r="M8" i="11"/>
  <c r="N8" i="11" s="1"/>
  <c r="K9" i="46"/>
  <c r="M18" i="11"/>
  <c r="N18" i="11" s="1"/>
  <c r="Q27" i="46"/>
  <c r="Z21" i="46" s="1"/>
  <c r="Z30" i="46" s="1"/>
  <c r="Z31" i="46" s="1"/>
  <c r="M28" i="11"/>
  <c r="N28" i="11" s="1"/>
  <c r="Q36" i="46"/>
  <c r="M19" i="11"/>
  <c r="N19" i="11" s="1"/>
  <c r="Q45" i="46"/>
  <c r="Z23" i="46" s="1"/>
  <c r="M20" i="11"/>
  <c r="N20" i="11" s="1"/>
  <c r="Z10" i="46"/>
  <c r="M9" i="11"/>
  <c r="N9" i="11" s="1"/>
  <c r="M23" i="11"/>
  <c r="N23" i="11" s="1"/>
  <c r="Z22" i="46"/>
  <c r="M22" i="11"/>
  <c r="N22" i="11" s="1"/>
  <c r="D164" i="47"/>
  <c r="E164" i="47" s="1"/>
  <c r="E154" i="47"/>
  <c r="D155" i="47" s="1"/>
  <c r="E155" i="47" s="1"/>
  <c r="D123" i="45"/>
  <c r="C116" i="45"/>
  <c r="E116" i="45" s="1"/>
  <c r="D106" i="45"/>
  <c r="E106" i="45" s="1"/>
  <c r="C100" i="45"/>
  <c r="E96" i="45"/>
  <c r="D99" i="45" s="1"/>
  <c r="E85" i="45"/>
  <c r="E83" i="45"/>
  <c r="E82" i="45"/>
  <c r="E81" i="45"/>
  <c r="E80" i="45"/>
  <c r="E77" i="45"/>
  <c r="E76" i="45"/>
  <c r="E75" i="45"/>
  <c r="E67" i="45"/>
  <c r="C58" i="45"/>
  <c r="E47" i="45"/>
  <c r="E46" i="45"/>
  <c r="E87" i="45"/>
  <c r="E39" i="45"/>
  <c r="A39" i="45"/>
  <c r="E35" i="45"/>
  <c r="E36" i="45" s="1"/>
  <c r="A35" i="45"/>
  <c r="A30" i="45"/>
  <c r="A29" i="45"/>
  <c r="A28" i="45"/>
  <c r="A27" i="45"/>
  <c r="A26" i="45"/>
  <c r="A25" i="45"/>
  <c r="A24" i="45"/>
  <c r="A23" i="45"/>
  <c r="A22" i="45"/>
  <c r="A21" i="45"/>
  <c r="A20" i="45"/>
  <c r="A19" i="45"/>
  <c r="A18" i="45"/>
  <c r="A17" i="45"/>
  <c r="M31" i="11" l="1"/>
  <c r="N31" i="11" s="1"/>
  <c r="Z6" i="46"/>
  <c r="Z12" i="46" s="1"/>
  <c r="Z13" i="46" s="1"/>
  <c r="B183" i="47" s="1"/>
  <c r="M7" i="11"/>
  <c r="E170" i="47"/>
  <c r="D171" i="47" s="1"/>
  <c r="E171" i="47" s="1"/>
  <c r="D147" i="45"/>
  <c r="D58" i="45"/>
  <c r="C123" i="45"/>
  <c r="C129" i="45" s="1"/>
  <c r="E129" i="45" s="1"/>
  <c r="F130" i="45" s="1"/>
  <c r="E29" i="45" s="1"/>
  <c r="D86" i="45"/>
  <c r="F64" i="45"/>
  <c r="E20" i="45" s="1"/>
  <c r="F68" i="45"/>
  <c r="E21" i="45" s="1"/>
  <c r="C108" i="45"/>
  <c r="E99" i="45"/>
  <c r="D100" i="45" s="1"/>
  <c r="E100" i="45" s="1"/>
  <c r="D101" i="45" s="1"/>
  <c r="D117" i="45"/>
  <c r="E117" i="45" s="1"/>
  <c r="C86" i="45"/>
  <c r="E102" i="45"/>
  <c r="E112" i="45" s="1"/>
  <c r="E52" i="45"/>
  <c r="C186" i="47" l="1"/>
  <c r="E186" i="47" s="1"/>
  <c r="C190" i="47"/>
  <c r="E190" i="47" s="1"/>
  <c r="C198" i="47"/>
  <c r="E198" i="47" s="1"/>
  <c r="C203" i="47"/>
  <c r="E203" i="47" s="1"/>
  <c r="F204" i="47" s="1"/>
  <c r="E26" i="47" s="1"/>
  <c r="C194" i="47"/>
  <c r="E194" i="47" s="1"/>
  <c r="C192" i="47"/>
  <c r="E192" i="47" s="1"/>
  <c r="F200" i="47" s="1"/>
  <c r="E25" i="47" s="1"/>
  <c r="C196" i="47"/>
  <c r="E196" i="47" s="1"/>
  <c r="C211" i="47"/>
  <c r="E211" i="47" s="1"/>
  <c r="F212" i="47" s="1"/>
  <c r="E27" i="47" s="1"/>
  <c r="N7" i="11"/>
  <c r="N37" i="11" s="1"/>
  <c r="M37" i="11"/>
  <c r="M39" i="11" s="1"/>
  <c r="E123" i="45"/>
  <c r="F125" i="45" s="1"/>
  <c r="E86" i="45"/>
  <c r="F87" i="45" s="1"/>
  <c r="F90" i="45" s="1"/>
  <c r="E22" i="45" s="1"/>
  <c r="E48" i="45"/>
  <c r="D49" i="45" s="1"/>
  <c r="E101" i="45"/>
  <c r="F102" i="45" s="1"/>
  <c r="E25" i="45" s="1"/>
  <c r="C109" i="45"/>
  <c r="D110" i="45" s="1"/>
  <c r="E110" i="45" s="1"/>
  <c r="E118" i="45"/>
  <c r="F118" i="45" s="1"/>
  <c r="E27" i="45" s="1"/>
  <c r="E58" i="45"/>
  <c r="F59" i="45" s="1"/>
  <c r="E19" i="45" s="1"/>
  <c r="E28" i="45" l="1"/>
  <c r="D111" i="45"/>
  <c r="E111" i="45" l="1"/>
  <c r="F112" i="45" s="1"/>
  <c r="E26" i="45" l="1"/>
  <c r="E24" i="45" s="1"/>
  <c r="F132" i="45"/>
  <c r="E23" i="45" l="1"/>
  <c r="F39" i="11" l="1"/>
  <c r="F42" i="11" s="1"/>
  <c r="F44" i="11" s="1"/>
  <c r="F46" i="11" s="1"/>
  <c r="B45" i="47" s="1"/>
  <c r="E123" i="47" l="1"/>
  <c r="F123" i="47" s="1"/>
  <c r="E56" i="47"/>
  <c r="C13" i="4"/>
  <c r="F51" i="11"/>
  <c r="F54" i="11" l="1"/>
  <c r="F56" i="11" s="1"/>
  <c r="F58" i="11" s="1"/>
  <c r="E68" i="47" s="1"/>
  <c r="E97" i="47" l="1"/>
  <c r="F97" i="47" s="1"/>
  <c r="E17" i="47" s="1"/>
  <c r="E135" i="47"/>
  <c r="E241" i="47"/>
  <c r="F241" i="47" s="1"/>
  <c r="F243" i="47" s="1"/>
  <c r="E30" i="47" s="1"/>
  <c r="C18" i="4"/>
  <c r="C31" i="48" s="1"/>
  <c r="E31" i="48" s="1"/>
  <c r="F32" i="48" s="1"/>
  <c r="F34" i="48" s="1"/>
  <c r="F11" i="4"/>
  <c r="E11" i="4"/>
  <c r="D11" i="4"/>
  <c r="C14" i="8"/>
  <c r="E156" i="47" l="1"/>
  <c r="F135" i="47"/>
  <c r="F137" i="47" s="1"/>
  <c r="E19" i="47" s="1"/>
  <c r="E9" i="48"/>
  <c r="E10" i="48" s="1"/>
  <c r="F36" i="48"/>
  <c r="C249" i="47"/>
  <c r="C139" i="45"/>
  <c r="C32" i="8"/>
  <c r="E172" i="47" l="1"/>
  <c r="F156" i="47"/>
  <c r="C6" i="42"/>
  <c r="F40" i="48"/>
  <c r="F9" i="48"/>
  <c r="F7" i="48"/>
  <c r="F10" i="48" s="1"/>
  <c r="F8" i="48"/>
  <c r="C22" i="8"/>
  <c r="C31" i="8" s="1"/>
  <c r="C33" i="8" s="1"/>
  <c r="E180" i="47" l="1"/>
  <c r="F180" i="47" s="1"/>
  <c r="E24" i="47" s="1"/>
  <c r="F172" i="47"/>
  <c r="E23" i="47" s="1"/>
  <c r="E22" i="47"/>
  <c r="E21" i="47" s="1"/>
  <c r="F214" i="47"/>
  <c r="E20" i="47" s="1"/>
  <c r="C29" i="8"/>
  <c r="C34" i="8" s="1"/>
  <c r="C74" i="47" l="1"/>
  <c r="E74" i="47" s="1"/>
  <c r="E75" i="47" s="1"/>
  <c r="D76" i="47" s="1"/>
  <c r="E76" i="47" s="1"/>
  <c r="F77" i="47" s="1"/>
  <c r="C53" i="47"/>
  <c r="E53" i="47" s="1"/>
  <c r="C65" i="47"/>
  <c r="E65" i="47" s="1"/>
  <c r="E66" i="47" s="1"/>
  <c r="D67" i="47" s="1"/>
  <c r="E67" i="47" s="1"/>
  <c r="F68" i="47" s="1"/>
  <c r="E13" i="47" s="1"/>
  <c r="C49" i="45"/>
  <c r="E49" i="45" s="1"/>
  <c r="E50" i="45" s="1"/>
  <c r="D51" i="45" s="1"/>
  <c r="E51" i="45" s="1"/>
  <c r="F52" i="45" s="1"/>
  <c r="F70" i="45" l="1"/>
  <c r="E18" i="45"/>
  <c r="F56" i="47"/>
  <c r="E12" i="47" s="1"/>
  <c r="E54" i="47"/>
  <c r="D55" i="47" s="1"/>
  <c r="E55" i="47" s="1"/>
  <c r="E14" i="47"/>
  <c r="F104" i="47"/>
  <c r="E11" i="47" l="1"/>
  <c r="F245" i="47"/>
  <c r="E17" i="45"/>
  <c r="F135" i="45"/>
  <c r="D139" i="45" l="1"/>
  <c r="E139" i="45" s="1"/>
  <c r="F140" i="45" s="1"/>
  <c r="F142" i="45" s="1"/>
  <c r="E30" i="45" s="1"/>
  <c r="F144" i="45"/>
  <c r="D249" i="47"/>
  <c r="E249" i="47" s="1"/>
  <c r="F250" i="47" s="1"/>
  <c r="F252" i="47" s="1"/>
  <c r="E31" i="47" s="1"/>
  <c r="E32" i="47"/>
  <c r="F11" i="47" s="1"/>
  <c r="F31" i="47" l="1"/>
  <c r="F29" i="47"/>
  <c r="F24" i="47"/>
  <c r="F22" i="47"/>
  <c r="F13" i="47"/>
  <c r="F17" i="47"/>
  <c r="F15" i="47"/>
  <c r="F28" i="47"/>
  <c r="F27" i="47"/>
  <c r="F25" i="47"/>
  <c r="F30" i="47"/>
  <c r="F19" i="47"/>
  <c r="F32" i="47" s="1"/>
  <c r="F16" i="47"/>
  <c r="F18" i="47"/>
  <c r="F21" i="47"/>
  <c r="F23" i="47"/>
  <c r="F20" i="47"/>
  <c r="F26" i="47"/>
  <c r="F12" i="47"/>
  <c r="F14" i="47"/>
  <c r="F254" i="47"/>
  <c r="F149" i="45"/>
  <c r="C5" i="42"/>
  <c r="E31" i="45"/>
  <c r="F30" i="45" s="1"/>
  <c r="F258" i="47" l="1"/>
  <c r="C4" i="42"/>
  <c r="C8" i="42" s="1"/>
  <c r="F29" i="45"/>
  <c r="F20" i="45"/>
  <c r="F27" i="45"/>
  <c r="F24" i="45"/>
  <c r="F19" i="45"/>
  <c r="F21" i="45"/>
  <c r="F25" i="45"/>
  <c r="F22" i="45"/>
  <c r="F26" i="45"/>
  <c r="F23" i="45"/>
  <c r="F28" i="45"/>
  <c r="F18" i="45"/>
  <c r="F17" i="45"/>
  <c r="F31" i="4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D109" authorId="0" shapeId="0" xr:uid="{00000000-0006-0000-0100-000001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0" authorId="0" shapeId="0" xr:uid="{00000000-0006-0000-0100-00000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3" authorId="0" shapeId="0" xr:uid="{00000000-0006-0000-0100-000003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4" authorId="0" shapeId="0" xr:uid="{00000000-0006-0000-0100-00000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5" authorId="0" shapeId="0" xr:uid="{00000000-0006-0000-0100-000005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6" authorId="0" shapeId="0" xr:uid="{00000000-0006-0000-0100-00000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7" authorId="0" shapeId="0" xr:uid="{00000000-0006-0000-0100-000007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8" authorId="0" shapeId="0" xr:uid="{00000000-0006-0000-0100-00000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19" authorId="0" shapeId="0" xr:uid="{00000000-0006-0000-0100-00000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20" authorId="0" shapeId="0" xr:uid="{00000000-0006-0000-0100-00000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21" authorId="0" shapeId="0" xr:uid="{00000000-0006-0000-0100-00000B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32" authorId="0" shapeId="0" xr:uid="{00000000-0006-0000-0100-00000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43" authorId="0" shapeId="0" xr:uid="{00000000-0006-0000-0100-00000D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93" authorId="0" shapeId="0" xr:uid="{00000000-0006-0000-0100-00000E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193" authorId="0" shapeId="0" xr:uid="{00000000-0006-0000-0100-00000F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5" authorId="0" shapeId="0" xr:uid="{00000000-0006-0000-02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1" authorId="0" shapeId="0" xr:uid="{00000000-0006-0000-0200-000004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6" authorId="0" shapeId="0" xr:uid="{00000000-0006-0000-0200-000005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57" authorId="0" shapeId="0" xr:uid="{00000000-0006-0000-0200-000006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58" authorId="0" shapeId="0" xr:uid="{00000000-0006-0000-0200-000007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79" authorId="0" shapeId="0" xr:uid="{00000000-0006-0000-0200-00000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84" authorId="0" shapeId="0" xr:uid="{00000000-0006-0000-0200-00000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96" authorId="0" shapeId="0" xr:uid="{00000000-0006-0000-0200-00000A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97" authorId="0" shapeId="0" xr:uid="{00000000-0006-0000-0200-00000B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98" authorId="0" shapeId="0" xr:uid="{00000000-0006-0000-0200-00000C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99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1" authorId="0" shapeId="0" xr:uid="{00000000-0006-0000-0200-00000E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07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6" authorId="0" shapeId="0" xr:uid="{00000000-0006-0000-0200-000010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120" authorId="0" shapeId="0" xr:uid="{00000000-0006-0000-0200-000011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22" authorId="0" shapeId="0" xr:uid="{00000000-0006-0000-0200-000012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22" authorId="0" shapeId="0" xr:uid="{00000000-0006-0000-0200-000013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D129" authorId="0" shapeId="0" xr:uid="{00000000-0006-0000-0200-000014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139" authorId="0" shapeId="0" xr:uid="{00000000-0006-0000-0200-000015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147" authorId="0" shapeId="0" xr:uid="{00000000-0006-0000-0200-000016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sharedStrings.xml><?xml version="1.0" encoding="utf-8"?>
<sst xmlns="http://schemas.openxmlformats.org/spreadsheetml/2006/main" count="1426" uniqueCount="471">
  <si>
    <t>Adicional de Insalubridade</t>
  </si>
  <si>
    <t>%</t>
  </si>
  <si>
    <t>Soma</t>
  </si>
  <si>
    <t>Encargos Sociais</t>
  </si>
  <si>
    <t>Total do Efetivo</t>
  </si>
  <si>
    <t>homem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</si>
  <si>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</si>
  <si>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</si>
  <si>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</si>
  <si>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</si>
  <si>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</si>
  <si>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</si>
  <si>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</si>
  <si>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</si>
  <si>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</si>
  <si>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</si>
  <si>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</si>
  <si>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</si>
  <si>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</si>
  <si>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de graxa /1.000 km rodados</t>
  </si>
  <si>
    <t>kg/1.000 km</t>
  </si>
  <si>
    <t>Custo mensal com graxa</t>
  </si>
  <si>
    <t>km/jogo</t>
  </si>
  <si>
    <t>toneladas</t>
  </si>
  <si>
    <t>Calça</t>
  </si>
  <si>
    <t>Camiseta</t>
  </si>
  <si>
    <t>Luva de proteção</t>
  </si>
  <si>
    <t>R$/tonelada</t>
  </si>
  <si>
    <t>R$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</si>
  <si>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</si>
  <si>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</si>
  <si>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</si>
  <si>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</si>
  <si>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</si>
  <si>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</si>
  <si>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</si>
  <si>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</si>
  <si>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</si>
  <si>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</si>
  <si>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</si>
  <si>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</si>
  <si>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</si>
  <si>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</si>
  <si>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</si>
  <si>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</si>
  <si>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</si>
  <si>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</si>
  <si>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</si>
  <si>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</si>
  <si>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</si>
  <si>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</si>
  <si>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</si>
  <si>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</si>
  <si>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</si>
  <si>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</si>
  <si>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</si>
  <si>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</si>
  <si>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</si>
  <si>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</si>
  <si>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</si>
  <si>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</si>
  <si>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PREÇO POR TONELADA COLETADA:  [A/B]</t>
  </si>
  <si>
    <t>Custo de recapagem</t>
  </si>
  <si>
    <t>Total por Coletor</t>
  </si>
  <si>
    <t>Coletor</t>
  </si>
  <si>
    <t>4. Ferramentas e Materiais de Consumo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</si>
  <si>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</si>
  <si>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</si>
  <si>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</si>
  <si>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</si>
  <si>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</si>
  <si>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</si>
  <si>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</si>
  <si>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</si>
  <si>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</si>
  <si>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</si>
  <si>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Fórmula para o cálculo do BDI:</t>
  </si>
  <si>
    <t>{[(1+AC+SRG) x (1+L) x (1+DF)] / (1-T)} -1</t>
  </si>
  <si>
    <t>Resultado do cálculo do BDI:</t>
  </si>
  <si>
    <t>Vale Transporte</t>
  </si>
  <si>
    <t>Dias Trabalhados por mês</t>
  </si>
  <si>
    <t>dia</t>
  </si>
  <si>
    <t>Custo Mensal com Mão-de-obra (R$/mês)</t>
  </si>
  <si>
    <t>Meia de algodão com cano alto</t>
  </si>
  <si>
    <t>Quantitativos</t>
  </si>
  <si>
    <t>1.1. Coletor Turno Dia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</si>
  <si>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</si>
  <si>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</si>
  <si>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</si>
  <si>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</si>
  <si>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</si>
  <si>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</si>
  <si>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</si>
  <si>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</si>
  <si>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Custo do chassis</t>
  </si>
  <si>
    <t>Custo do compactador</t>
  </si>
  <si>
    <t>3.1.2. Remuneração do Capital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</si>
  <si>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</si>
  <si>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</si>
  <si>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</si>
  <si>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</si>
  <si>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</si>
  <si>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</si>
  <si>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</si>
  <si>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</si>
  <si>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</si>
  <si>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</si>
  <si>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</si>
  <si>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</si>
  <si>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</si>
  <si>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</si>
  <si>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</si>
  <si>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</si>
  <si>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</si>
  <si>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</si>
  <si>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</si>
  <si>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</si>
  <si>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</si>
  <si>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</si>
  <si>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</si>
  <si>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</si>
  <si>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</si>
  <si>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</si>
  <si>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</si>
  <si>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</si>
  <si>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</si>
  <si>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</si>
  <si>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</si>
  <si>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</si>
  <si>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</si>
  <si>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</si>
  <si>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</si>
  <si>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</si>
  <si>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</si>
  <si>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</si>
  <si>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</si>
  <si>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</si>
  <si>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</si>
  <si>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</si>
  <si>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</si>
  <si>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</si>
  <si>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</si>
  <si>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</si>
  <si>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</si>
  <si>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</si>
  <si>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</si>
  <si>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</si>
  <si>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</si>
  <si>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</si>
  <si>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</si>
  <si>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</si>
  <si>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</si>
  <si>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</si>
  <si>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</si>
  <si>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</si>
  <si>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</si>
  <si>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</si>
  <si>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</si>
  <si>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</si>
  <si>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</si>
  <si>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</si>
  <si>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</si>
  <si>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</si>
  <si>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</si>
  <si>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</si>
  <si>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</si>
  <si>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</si>
  <si>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</si>
  <si>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</si>
  <si>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3. As células azuis deverão ter seus valores preenchidos em outra planilha do arquivo.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</si>
  <si>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</si>
  <si>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</si>
  <si>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</si>
  <si>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</si>
  <si>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</si>
  <si>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</si>
  <si>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</si>
  <si>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</si>
  <si>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Piso da categoria (1)</t>
  </si>
  <si>
    <t>Salário mínimo nacional (2)</t>
  </si>
  <si>
    <t>C2</t>
  </si>
  <si>
    <t>B3</t>
  </si>
  <si>
    <t xml:space="preserve">Quantidade média de resíduos coletados por mês: 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</si>
  <si>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</si>
  <si>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</si>
  <si>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</si>
  <si>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</si>
  <si>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1. Esta planilha é somente um modelo-base. Qualquer custo previsto no edital e não contemplado nesta planilha deverá ser devidamente incluído</t>
  </si>
  <si>
    <t>Custo unitário</t>
  </si>
  <si>
    <t>Custo de óleo do motor /1.000 km rodados</t>
  </si>
  <si>
    <t>Custo de óleo da transmissão /1.000 km</t>
  </si>
  <si>
    <t>PREÇO TOTAL MENSAL COM A COLETA</t>
  </si>
  <si>
    <t>CUSTO MENSAL COM BDI (R$/mês)</t>
  </si>
  <si>
    <t>Referência estudo TCE</t>
  </si>
  <si>
    <t>1. Preencha previamente os dados de entrada na planilha 3.CAGED</t>
  </si>
  <si>
    <t>1. Esta planilha é somente um modelo-base e deve ser ajustada conforme cada caso concreto.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</si>
  <si>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</si>
  <si>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</si>
  <si>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</si>
  <si>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</si>
  <si>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</si>
  <si>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</si>
  <si>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Unid</t>
  </si>
  <si>
    <t>i</t>
  </si>
  <si>
    <t>Depreciação Média</t>
  </si>
  <si>
    <t xml:space="preserve">Nr. Func. </t>
  </si>
  <si>
    <t xml:space="preserve">Cargo </t>
  </si>
  <si>
    <t xml:space="preserve">Entrada </t>
  </si>
  <si>
    <t>Saída</t>
  </si>
  <si>
    <t>Total Horas</t>
  </si>
  <si>
    <t xml:space="preserve">Coletor </t>
  </si>
  <si>
    <t xml:space="preserve">Total de horas por coletor </t>
  </si>
  <si>
    <t xml:space="preserve">Total de horas por semana </t>
  </si>
  <si>
    <t xml:space="preserve">Dias úteis semana </t>
  </si>
  <si>
    <t>Total de dias com (DSR) Descanso Semanal Remunerado</t>
  </si>
  <si>
    <t>Total de horas/dia com (DSR)</t>
  </si>
  <si>
    <t xml:space="preserve">Total de dias no mês (30 dias) </t>
  </si>
  <si>
    <t>Total geral de horas mês com (DSR)</t>
  </si>
  <si>
    <t xml:space="preserve">Total de horas por motorista </t>
  </si>
  <si>
    <t xml:space="preserve">Dias </t>
  </si>
  <si>
    <t xml:space="preserve">Bermudas </t>
  </si>
  <si>
    <t>Tributos - PIS/COFINS</t>
  </si>
  <si>
    <t>Total por Encarregado</t>
  </si>
  <si>
    <t xml:space="preserve">Ordem </t>
  </si>
  <si>
    <t xml:space="preserve">Total de dias por semana </t>
  </si>
  <si>
    <t xml:space="preserve">Total dos percursos Orgânicos </t>
  </si>
  <si>
    <t>Distância</t>
  </si>
  <si>
    <t>Trecho</t>
  </si>
  <si>
    <t>Cor Linha</t>
  </si>
  <si>
    <t>Ponto a Ponto</t>
  </si>
  <si>
    <t>Trecho 01</t>
  </si>
  <si>
    <t>1 - 2</t>
  </si>
  <si>
    <t>m</t>
  </si>
  <si>
    <t>Trecho 02</t>
  </si>
  <si>
    <t>2 - 3</t>
  </si>
  <si>
    <t>Trecho 03</t>
  </si>
  <si>
    <t>3 - 4</t>
  </si>
  <si>
    <t>Trecho 04</t>
  </si>
  <si>
    <t>4 - 5</t>
  </si>
  <si>
    <t>Trecho 05</t>
  </si>
  <si>
    <t>5 - 6</t>
  </si>
  <si>
    <t>Trecho 06</t>
  </si>
  <si>
    <t>6 - 7</t>
  </si>
  <si>
    <t>Trecho 07</t>
  </si>
  <si>
    <t>7 - 8</t>
  </si>
  <si>
    <t>Distância total da Rota:</t>
  </si>
  <si>
    <t>Total geral de horas base mês com (DSR)</t>
  </si>
  <si>
    <t xml:space="preserve">Fator de utilização </t>
  </si>
  <si>
    <t>Custo do jogo de pneus 275/22,5 R80</t>
  </si>
  <si>
    <t>Custo jg. compl. + 2 recap./ km rodado</t>
  </si>
  <si>
    <t xml:space="preserve">Obs: sobre o valor unitário do vale transporte já foi descontado 6% do salário bruto.  </t>
  </si>
  <si>
    <t>Custo de arla/5% do consumo de Óleo Diesel</t>
  </si>
  <si>
    <t>Custo mensal com arla</t>
  </si>
  <si>
    <t>Durabilidade/M</t>
  </si>
  <si>
    <t>Km</t>
  </si>
  <si>
    <t>x</t>
  </si>
  <si>
    <t>Quarta</t>
  </si>
  <si>
    <t xml:space="preserve">Custo de óleo diesel / km rodado Coleta </t>
  </si>
  <si>
    <t>Obs: Cada Empresa deve cotar seus encargos cfe legislação pertinente</t>
  </si>
  <si>
    <t>Obs: Cada Empresa deve cotar seus tributos cfe legislação pertinente</t>
  </si>
  <si>
    <t>Custo de óleo hidráulico / 1.000 km</t>
  </si>
  <si>
    <t>Custo mensal com óleo hidráulico</t>
  </si>
  <si>
    <t>Plano de Benefício Social</t>
  </si>
  <si>
    <t>1.2. Motorista Turno do Dia</t>
  </si>
  <si>
    <t>1. Coleta de Resíduos Orgânicos e Seletivos</t>
  </si>
  <si>
    <t>1.3. Supervisor Administrativo (Encarregado)</t>
  </si>
  <si>
    <t>1.4. Vale Transporte</t>
  </si>
  <si>
    <t xml:space="preserve"> Depreciação Referencial TCE/RS (%)</t>
  </si>
  <si>
    <r>
      <rPr>
        <b/>
        <sz val="9"/>
        <color theme="1"/>
        <rFont val="Arial"/>
      </rPr>
      <t xml:space="preserve">Total </t>
    </r>
    <r>
      <rPr>
        <b/>
        <u/>
        <sz val="9"/>
        <color theme="1"/>
        <rFont val="Arial"/>
      </rPr>
      <t>(R$)</t>
    </r>
  </si>
  <si>
    <t xml:space="preserve">Resumo Custo Edital Coleta de Resíduos Sólidos Domiciliares </t>
  </si>
  <si>
    <t>PO R$</t>
  </si>
  <si>
    <t>Total Geral</t>
  </si>
  <si>
    <t xml:space="preserve">Coleta orgânica e seletiva </t>
  </si>
  <si>
    <t>5. Administração Local</t>
  </si>
  <si>
    <t xml:space="preserve">Lavagem do caminhão </t>
  </si>
  <si>
    <t>Custo Mensal com Administração Local (R$/mês)</t>
  </si>
  <si>
    <t xml:space="preserve">TOTAL MENSAL = ROTAS DE COLETA + TRANSPORTE </t>
  </si>
  <si>
    <t>Rota</t>
  </si>
  <si>
    <t>Coleta</t>
  </si>
  <si>
    <t>Dias da semana</t>
  </si>
  <si>
    <t>Und.</t>
  </si>
  <si>
    <t>Rota 1</t>
  </si>
  <si>
    <t>Mês</t>
  </si>
  <si>
    <t xml:space="preserve">1.5. Vale Alimentação </t>
  </si>
  <si>
    <t>1.7. Plano de benefício Social</t>
  </si>
  <si>
    <t xml:space="preserve">Camiseta manga curta com reflexivo </t>
  </si>
  <si>
    <t>Camiseta manga longa com reflexivo</t>
  </si>
  <si>
    <t>Botina de segurança, ou tênis</t>
  </si>
  <si>
    <t>Frota Reserva 10%</t>
  </si>
  <si>
    <t>Composição do BDI - Benefícios e Despesas Indiretas</t>
  </si>
  <si>
    <t xml:space="preserve">Composição dos Encargos Sociais </t>
  </si>
  <si>
    <t>6. Monitoramento da Frota</t>
  </si>
  <si>
    <t>Implantação dos equipamentos de monitoramento</t>
  </si>
  <si>
    <t>Custo mensal com implantação</t>
  </si>
  <si>
    <t>Manutenção dos equipamentos de monitoramento</t>
  </si>
  <si>
    <t>Custo mensal com manutenção</t>
  </si>
  <si>
    <t>Custo Mensal com Monitoramento da Frota (R$/mês)</t>
  </si>
  <si>
    <t>7. Benefícios e Despesas Indiretas - BDI</t>
  </si>
  <si>
    <t>Segunda e sexta</t>
  </si>
  <si>
    <t>3.1. Veículo Coletor Compactador .... m³</t>
  </si>
  <si>
    <t>ROTAS DE COLETA</t>
  </si>
  <si>
    <t xml:space="preserve"> TOTAL = ROTAS DE COLETA + TRANSPORTE - ORGÂNICO</t>
  </si>
  <si>
    <t xml:space="preserve"> TOTAL = ROTAS DE COLETA + TRANSPORTE - SELETIVO</t>
  </si>
  <si>
    <t xml:space="preserve">Rota 1 </t>
  </si>
  <si>
    <t>Resumo do Percurso - Coletas de Orgânico</t>
  </si>
  <si>
    <t>Resumo do Percurso - Coletas de Seletivo</t>
  </si>
  <si>
    <t xml:space="preserve">Locais de coleta: Centro da cidade </t>
  </si>
  <si>
    <t>Coleta Rota 1</t>
  </si>
  <si>
    <t>Nu. Coleta Semanal</t>
  </si>
  <si>
    <t>Distância: Coleta +  Transporte</t>
  </si>
  <si>
    <t>Rota 2</t>
  </si>
  <si>
    <t>Segunda, quarta e sexta</t>
  </si>
  <si>
    <t xml:space="preserve"> Área de Transbordo - Prefeitura</t>
  </si>
  <si>
    <t>Rota 3</t>
  </si>
  <si>
    <t>Distância total diária:</t>
  </si>
  <si>
    <t>Rota 4</t>
  </si>
  <si>
    <t>Rota 5</t>
  </si>
  <si>
    <t>Terça e quinta</t>
  </si>
  <si>
    <t>Rota 6</t>
  </si>
  <si>
    <t>Trecho 08</t>
  </si>
  <si>
    <t>8 - 9</t>
  </si>
  <si>
    <t>Coleta Rota 2</t>
  </si>
  <si>
    <t>Total Semanal</t>
  </si>
  <si>
    <t>Total Mensal</t>
  </si>
  <si>
    <t>Final da rota - Área de Transbordo</t>
  </si>
  <si>
    <t>Final da rota - Centro de Triagem</t>
  </si>
  <si>
    <t>Locais de coleta: Metade sul da área urbana</t>
  </si>
  <si>
    <t>Centro de Triagem - Prefeitura</t>
  </si>
  <si>
    <t xml:space="preserve">Total dos percursos Seletivos </t>
  </si>
  <si>
    <t>Coleta Rota 3</t>
  </si>
  <si>
    <t>Locais de coleta: Metade norte da área urbana</t>
  </si>
  <si>
    <t>Coleta Rota 4</t>
  </si>
  <si>
    <t>Rota 7</t>
  </si>
  <si>
    <t>Quarta e sábado</t>
  </si>
  <si>
    <t>Centro</t>
  </si>
  <si>
    <t>Centro + Pedras Brancas</t>
  </si>
  <si>
    <t>Centro + Linha São Luiz + BR 116 Linha Edith</t>
  </si>
  <si>
    <t>Metade sul da área urbana</t>
  </si>
  <si>
    <t>Metade norte da área urbana</t>
  </si>
  <si>
    <t>Locais de Coleta</t>
  </si>
  <si>
    <t xml:space="preserve">Início da rota - Final da rota </t>
  </si>
  <si>
    <t xml:space="preserve">Prefeitura - Inicio da rota </t>
  </si>
  <si>
    <t>Coleta Rota 5</t>
  </si>
  <si>
    <t>Coleta Rota 6</t>
  </si>
  <si>
    <t>Centro + Pedras Brancas + BR 116 Ponte São Marcos</t>
  </si>
  <si>
    <t>Quinta</t>
  </si>
  <si>
    <t>Sexta</t>
  </si>
  <si>
    <t>Segunda, terça, quarta e sábado</t>
  </si>
  <si>
    <t>1ª Quarta do mês</t>
  </si>
  <si>
    <t>Rota 8</t>
  </si>
  <si>
    <t>Rota 9</t>
  </si>
  <si>
    <t>Rota 10</t>
  </si>
  <si>
    <t>2ª Quarta do mês</t>
  </si>
  <si>
    <t>3ª Quarta do mês</t>
  </si>
  <si>
    <t>4ª Quarta do mês</t>
  </si>
  <si>
    <t>Trecho 09</t>
  </si>
  <si>
    <t>Trecho 10</t>
  </si>
  <si>
    <t>Trecho 11</t>
  </si>
  <si>
    <t>Trecho 12</t>
  </si>
  <si>
    <t>9 - 10</t>
  </si>
  <si>
    <t>10 - 11</t>
  </si>
  <si>
    <t>11- 12</t>
  </si>
  <si>
    <t>12 - 13</t>
  </si>
  <si>
    <t>Deslocamento</t>
  </si>
  <si>
    <t>Seletivo Interior</t>
  </si>
  <si>
    <t>Zambicari, Marechal Deodoro, Tuiuti, Ilhéus e Humaitá</t>
  </si>
  <si>
    <t>Riachuelo, Edith, Santana, Rosita, Rosita Fundos e Tiradentes</t>
  </si>
  <si>
    <t>Polidoros, Zamoner, Santo Henrique e Rosita Sul</t>
  </si>
  <si>
    <t>São Roque, São Jacó e interior de Pedras Brancas</t>
  </si>
  <si>
    <t>Locais de coleta: Centro + Pedras Brancas</t>
  </si>
  <si>
    <t>Locais de coleta: Centro + Linha São Luiz + BR 116 Linha Edith</t>
  </si>
  <si>
    <t>Locais de coleta: Centro + Pedras Brancas + BR 116 Ponte São Marcos</t>
  </si>
  <si>
    <t>Locais de coleta: Zambicari, Marechal Deodoro, Tuiuti, Ilhéus e Humaitá</t>
  </si>
  <si>
    <t>Rota 7 - Interior</t>
  </si>
  <si>
    <t>Rota 8 - Interior</t>
  </si>
  <si>
    <t>Rota 9 - Interior</t>
  </si>
  <si>
    <t>Rota 10 - Interior</t>
  </si>
  <si>
    <t>Coleta Rota 7</t>
  </si>
  <si>
    <t>Resumo do Percurso - Coletas de Seletivo Interior</t>
  </si>
  <si>
    <t>Coleta Rota 8</t>
  </si>
  <si>
    <t>Coleta Rota 9</t>
  </si>
  <si>
    <t>Coleta Rota 10</t>
  </si>
  <si>
    <t xml:space="preserve">PREFEITURA MUNICIPAL DE SÃO MARCOS </t>
  </si>
  <si>
    <t xml:space="preserve">Prefeitura Municipal de São Marcos 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</si>
  <si>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</si>
  <si>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</si>
  <si>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3. Preencher somente células em amarelo</t>
  </si>
  <si>
    <t>4. As células azuis deverão ter seus valores preenchidos em outra planilha do arquivo.</t>
  </si>
  <si>
    <t>O orçamento deve ser realizado por responsável técnico habilitado e é de responsabilidade do seu autor.</t>
  </si>
  <si>
    <t>Fator de util.</t>
  </si>
  <si>
    <t>1.2. Vale Transporte</t>
  </si>
  <si>
    <t>2. Antes de preenchê-la, leia com atenção</t>
  </si>
  <si>
    <t>O TCE/RS não se responsabiliza pelo uso incorreto desta planilha.</t>
  </si>
  <si>
    <t xml:space="preserve">1.1. Operador de Máquinas </t>
  </si>
  <si>
    <t xml:space="preserve">Total por funcionário </t>
  </si>
  <si>
    <t xml:space="preserve">Operador </t>
  </si>
  <si>
    <t>Seguro de vida em Grupo</t>
  </si>
  <si>
    <t>2.1. Uniformes e EPIs</t>
  </si>
  <si>
    <t xml:space="preserve">Botina de segurança </t>
  </si>
  <si>
    <t xml:space="preserve">Meia de algodão </t>
  </si>
  <si>
    <t xml:space="preserve">3. Veículos e Máquinas </t>
  </si>
  <si>
    <t>Depreciação mensal do chassis</t>
  </si>
  <si>
    <t>Total geral da frota</t>
  </si>
  <si>
    <t>3.1.4. Consumos de óleo diesel</t>
  </si>
  <si>
    <t>Horas mensal</t>
  </si>
  <si>
    <t xml:space="preserve">Custo de óleo diesel / horas trabalhada </t>
  </si>
  <si>
    <t>litros/hora</t>
  </si>
  <si>
    <t>Horas/mês</t>
  </si>
  <si>
    <t xml:space="preserve">Custo total com consumo de óleo diesel </t>
  </si>
  <si>
    <t xml:space="preserve">3.1.5. Manutenção/Consumos </t>
  </si>
  <si>
    <t>Custo de manutenção/consumo de óleos/graxas/pneus</t>
  </si>
  <si>
    <t>R$/hora</t>
  </si>
  <si>
    <t>4. Benefícios e Despesas Indiretas - BDI</t>
  </si>
  <si>
    <t xml:space="preserve">Quantidade de horas por mês: </t>
  </si>
  <si>
    <t xml:space="preserve">Horas </t>
  </si>
  <si>
    <t>PREÇO POR HORA:  [A/B]</t>
  </si>
  <si>
    <t>R$/Hora</t>
  </si>
  <si>
    <t>Equipe</t>
  </si>
  <si>
    <t>Equipe 1</t>
  </si>
  <si>
    <t>Equipe 2</t>
  </si>
  <si>
    <t>Terça, quinta e sábado</t>
  </si>
  <si>
    <t>Equipe 3</t>
  </si>
  <si>
    <t>Equipe 4</t>
  </si>
  <si>
    <t xml:space="preserve">PREÇO TOTAL MENSAL </t>
  </si>
  <si>
    <t>Equipamentos</t>
  </si>
  <si>
    <t>Total de Contentores</t>
  </si>
  <si>
    <t xml:space="preserve">1. Contentores </t>
  </si>
  <si>
    <t>Custo de lavagem</t>
  </si>
  <si>
    <t>Custo mensal com lavagem de contentores</t>
  </si>
  <si>
    <t>Custo mensal com manutenção, reposição e materiais</t>
  </si>
  <si>
    <t>Custo de perdas e reposição</t>
  </si>
  <si>
    <t>2. Benefícios e Despesas Indiretas - BDI</t>
  </si>
  <si>
    <t xml:space="preserve">Quantidade de contentores mês: </t>
  </si>
  <si>
    <t>unidades</t>
  </si>
  <si>
    <t>PREÇO POR CONTAINER:  [A/B]</t>
  </si>
  <si>
    <t>R$/UNIDADE</t>
  </si>
  <si>
    <t>3. Higienização e Manutenção de Contentores</t>
  </si>
  <si>
    <t>3.1. Retroescavadeira</t>
  </si>
  <si>
    <t xml:space="preserve">Periodicidade: Segunda à sábado </t>
  </si>
  <si>
    <t xml:space="preserve">Coletor e Motorista </t>
  </si>
  <si>
    <t xml:space="preserve">Segunda , quarta e sexta </t>
  </si>
  <si>
    <t>Rota 7; 8; 9 e 10</t>
  </si>
  <si>
    <t xml:space="preserve">Kms </t>
  </si>
  <si>
    <t>Média/km/hrs</t>
  </si>
  <si>
    <t xml:space="preserve">Obs: considerado 44 horas de trabalho na semana. </t>
  </si>
  <si>
    <t>Motorista (Seguro de vida)</t>
  </si>
  <si>
    <t xml:space="preserve">1.6. Seguro de vida </t>
  </si>
  <si>
    <t>Chapeu ou Boné tipo arabé</t>
  </si>
  <si>
    <t xml:space="preserve">Óculos de proteção de radiação solar </t>
  </si>
  <si>
    <t xml:space="preserve">1.3. Vale Alimentação </t>
  </si>
  <si>
    <t xml:space="preserve">1.4. Plano de Benefício Social  (Seguro de vida) </t>
  </si>
  <si>
    <t>Custo do veículo de apoio (manut/deprec. e comb) 25km dia</t>
  </si>
  <si>
    <t>Higienização e manutenção de Contentores</t>
  </si>
  <si>
    <t xml:space="preserve">Descrição dos Serviços </t>
  </si>
  <si>
    <t xml:space="preserve">Previsão de 01 hora de intervalo </t>
  </si>
  <si>
    <t>Média de kms/hora</t>
  </si>
  <si>
    <t xml:space="preserve">Supervisor </t>
  </si>
  <si>
    <t xml:space="preserve">Motorista </t>
  </si>
  <si>
    <t>São Marcos, 31 de março de 2025</t>
  </si>
  <si>
    <t xml:space="preserve">Piso da categoria </t>
  </si>
  <si>
    <t>Operador</t>
  </si>
  <si>
    <t xml:space="preserve">Recipiente térmico para água (5L) </t>
  </si>
  <si>
    <t xml:space="preserve">Pá de Concha </t>
  </si>
  <si>
    <t xml:space="preserve">Vassoura </t>
  </si>
  <si>
    <t xml:space="preserve">Instalação para escritório/garagem (aluguel e despesas do local) </t>
  </si>
  <si>
    <t xml:space="preserve">Item 2 - Operação da Área de Transbordo </t>
  </si>
  <si>
    <t xml:space="preserve">1.1 Higienização e manutenção dos contentores </t>
  </si>
  <si>
    <t>Cargo: Coletor de resíduos orgânicos e seletivos</t>
  </si>
  <si>
    <t>Cargo: Motorista de resíduos orgânicos e seletivos</t>
  </si>
  <si>
    <t>Planilha com os horários dos funcionários coleta de resíduos orgânicos e seletivos</t>
  </si>
  <si>
    <t>Operação Área de Transbordo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</si>
</sst>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 * #,##0.00_ ;_ * \-#,##0.00_ ;_ * &quot;-&quot;??_ ;_ @_ "/>
    <numFmt numFmtId="170" formatCode="0.0"/>
    <numFmt numFmtId="171" formatCode="_-* #,##0.0_-;\-* #,##0.0_-;_-* &quot;-&quot;??_-;_-@_-"/>
    <numFmt numFmtId="172" formatCode="_(* #,##0.0000_);_(* \(#,##0.0000\);_(* &quot;-&quot;??_);_(@_)"/>
    <numFmt numFmtId="173" formatCode="0.000"/>
    <numFmt numFmtId="174" formatCode="0.0000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10"/>
      <name val="Arial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color rgb="FF000000"/>
      <name val="Calibri"/>
      <scheme val="minor"/>
    </font>
    <font>
      <b/>
      <sz val="10"/>
      <color theme="1"/>
      <name val="Arial"/>
    </font>
    <font>
      <sz val="10"/>
      <color theme="1"/>
      <name val="Arial"/>
    </font>
    <font>
      <b/>
      <sz val="14"/>
      <color theme="1"/>
      <name val="Arial"/>
    </font>
    <font>
      <b/>
      <sz val="9"/>
      <color theme="1"/>
      <name val="Arial"/>
    </font>
    <font>
      <b/>
      <u/>
      <sz val="9"/>
      <color theme="1"/>
      <name val="Arial"/>
    </font>
    <font>
      <sz val="9"/>
      <color theme="1"/>
      <name val="Arial"/>
    </font>
    <font>
      <i/>
      <sz val="10"/>
      <color theme="1"/>
      <name val="Arial"/>
    </font>
    <font>
      <sz val="8"/>
      <color theme="1"/>
      <name val="Arial"/>
    </font>
    <font>
      <u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9"/>
      <color indexed="81"/>
      <name val="Tahoma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9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5" fillId="0" borderId="0"/>
    <xf numFmtId="44" fontId="16" fillId="0" borderId="0" applyFont="0" applyFill="0" applyBorder="0" applyAlignment="0" applyProtection="0"/>
    <xf numFmtId="0" fontId="35" fillId="0" borderId="0"/>
    <xf numFmtId="9" fontId="35" fillId="0" borderId="0" applyFont="0" applyFill="0" applyBorder="0" applyAlignment="0" applyProtection="0"/>
    <xf numFmtId="9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6" fillId="0" borderId="0"/>
    <xf numFmtId="171" fontId="35" fillId="0" borderId="0" applyFont="0" applyFill="0" applyBorder="0" applyAlignment="0" applyProtection="0"/>
    <xf numFmtId="0" fontId="16" fillId="0" borderId="0"/>
    <xf numFmtId="0" fontId="14" fillId="0" borderId="0"/>
    <xf numFmtId="43" fontId="1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1" fillId="0" borderId="0"/>
  </cellStyleXfs>
  <cellXfs count="568">
    <xf numFmtId="0" fontId="0" fillId="0" borderId="0" xfId="0"/>
    <xf numFmtId="0" fontId="21" fillId="0" borderId="0" xfId="0" applyFont="1"/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5" fontId="21" fillId="0" borderId="0" xfId="3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21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165" fontId="21" fillId="0" borderId="2" xfId="3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165" fontId="21" fillId="0" borderId="1" xfId="3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65" fontId="21" fillId="0" borderId="0" xfId="3" applyFont="1" applyAlignment="1">
      <alignment horizontal="center" vertical="center"/>
    </xf>
    <xf numFmtId="165" fontId="18" fillId="2" borderId="4" xfId="3" applyFont="1" applyFill="1" applyBorder="1" applyAlignment="1">
      <alignment horizontal="center" vertical="center"/>
    </xf>
    <xf numFmtId="165" fontId="18" fillId="2" borderId="4" xfId="3" applyFont="1" applyFill="1" applyBorder="1" applyAlignment="1">
      <alignment vertical="center"/>
    </xf>
    <xf numFmtId="165" fontId="18" fillId="0" borderId="0" xfId="3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165" fontId="18" fillId="0" borderId="6" xfId="3" applyFont="1" applyBorder="1" applyAlignment="1">
      <alignment vertical="center"/>
    </xf>
    <xf numFmtId="165" fontId="18" fillId="0" borderId="7" xfId="3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165" fontId="21" fillId="0" borderId="6" xfId="3" applyFont="1" applyBorder="1" applyAlignment="1">
      <alignment vertical="center"/>
    </xf>
    <xf numFmtId="165" fontId="21" fillId="0" borderId="7" xfId="3" applyFont="1" applyBorder="1" applyAlignment="1">
      <alignment vertical="center"/>
    </xf>
    <xf numFmtId="165" fontId="18" fillId="0" borderId="0" xfId="3" applyFont="1" applyBorder="1" applyAlignment="1">
      <alignment horizontal="center" vertical="center"/>
    </xf>
    <xf numFmtId="3" fontId="21" fillId="0" borderId="0" xfId="0" applyNumberFormat="1" applyFont="1" applyAlignment="1">
      <alignment vertical="center"/>
    </xf>
    <xf numFmtId="165" fontId="18" fillId="0" borderId="0" xfId="3" applyFont="1" applyFill="1" applyBorder="1" applyAlignment="1">
      <alignment horizontal="center" vertical="center"/>
    </xf>
    <xf numFmtId="165" fontId="18" fillId="0" borderId="0" xfId="3" applyFont="1" applyBorder="1" applyAlignment="1">
      <alignment vertical="center"/>
    </xf>
    <xf numFmtId="165" fontId="20" fillId="0" borderId="0" xfId="3" applyFont="1" applyAlignment="1">
      <alignment vertical="center"/>
    </xf>
    <xf numFmtId="166" fontId="21" fillId="0" borderId="1" xfId="3" applyNumberFormat="1" applyFont="1" applyBorder="1" applyAlignment="1">
      <alignment vertical="center"/>
    </xf>
    <xf numFmtId="165" fontId="21" fillId="0" borderId="0" xfId="3" applyFont="1"/>
    <xf numFmtId="165" fontId="19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18" fillId="0" borderId="12" xfId="3" applyFont="1" applyBorder="1" applyAlignment="1">
      <alignment horizontal="center" vertical="center"/>
    </xf>
    <xf numFmtId="165" fontId="18" fillId="0" borderId="5" xfId="3" applyFont="1" applyBorder="1" applyAlignment="1">
      <alignment horizontal="left" vertical="center"/>
    </xf>
    <xf numFmtId="4" fontId="18" fillId="0" borderId="6" xfId="0" applyNumberFormat="1" applyFont="1" applyBorder="1" applyAlignment="1">
      <alignment horizontal="centerContinuous" vertical="center"/>
    </xf>
    <xf numFmtId="165" fontId="18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18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21" fillId="0" borderId="1" xfId="3" applyFont="1" applyBorder="1" applyAlignment="1">
      <alignment vertical="center"/>
    </xf>
    <xf numFmtId="0" fontId="25" fillId="0" borderId="0" xfId="0" applyFont="1" applyAlignment="1">
      <alignment vertical="center"/>
    </xf>
    <xf numFmtId="0" fontId="24" fillId="0" borderId="1" xfId="0" applyFont="1" applyBorder="1" applyAlignment="1">
      <alignment horizontal="center" vertical="center"/>
    </xf>
    <xf numFmtId="165" fontId="21" fillId="0" borderId="0" xfId="3" applyFont="1" applyFill="1" applyBorder="1" applyAlignment="1">
      <alignment horizontal="center" vertical="center"/>
    </xf>
    <xf numFmtId="10" fontId="0" fillId="0" borderId="15" xfId="2" applyNumberFormat="1" applyFont="1" applyBorder="1" applyAlignment="1">
      <alignment vertical="center"/>
    </xf>
    <xf numFmtId="165" fontId="21" fillId="0" borderId="0" xfId="3" applyFont="1" applyBorder="1" applyAlignment="1">
      <alignment vertical="center"/>
    </xf>
    <xf numFmtId="0" fontId="26" fillId="2" borderId="16" xfId="0" applyFont="1" applyFill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/>
    </xf>
    <xf numFmtId="165" fontId="26" fillId="2" borderId="17" xfId="3" applyFont="1" applyFill="1" applyBorder="1" applyAlignment="1">
      <alignment horizontal="center" vertical="center"/>
    </xf>
    <xf numFmtId="165" fontId="26" fillId="2" borderId="18" xfId="3" applyFont="1" applyFill="1" applyBorder="1" applyAlignment="1">
      <alignment horizontal="center" vertical="center"/>
    </xf>
    <xf numFmtId="165" fontId="18" fillId="0" borderId="19" xfId="3" applyFont="1" applyBorder="1" applyAlignment="1">
      <alignment horizontal="center" vertical="center"/>
    </xf>
    <xf numFmtId="165" fontId="16" fillId="0" borderId="14" xfId="3" applyFont="1" applyBorder="1" applyAlignment="1">
      <alignment horizontal="left" vertical="center"/>
    </xf>
    <xf numFmtId="165" fontId="21" fillId="0" borderId="9" xfId="3" applyFont="1" applyBorder="1" applyAlignment="1">
      <alignment vertical="center"/>
    </xf>
    <xf numFmtId="165" fontId="21" fillId="0" borderId="14" xfId="3" applyFont="1" applyBorder="1" applyAlignment="1">
      <alignment vertical="center"/>
    </xf>
    <xf numFmtId="166" fontId="21" fillId="0" borderId="0" xfId="3" applyNumberFormat="1" applyFont="1" applyBorder="1" applyAlignment="1">
      <alignment horizontal="center" vertical="center"/>
    </xf>
    <xf numFmtId="1" fontId="21" fillId="0" borderId="1" xfId="0" applyNumberFormat="1" applyFont="1" applyBorder="1" applyAlignment="1">
      <alignment horizontal="center" vertical="center"/>
    </xf>
    <xf numFmtId="1" fontId="21" fillId="0" borderId="20" xfId="3" applyNumberFormat="1" applyFont="1" applyBorder="1" applyAlignment="1">
      <alignment horizontal="center" vertical="center"/>
    </xf>
    <xf numFmtId="165" fontId="18" fillId="0" borderId="28" xfId="3" applyFont="1" applyBorder="1" applyAlignment="1">
      <alignment vertical="center"/>
    </xf>
    <xf numFmtId="4" fontId="18" fillId="0" borderId="29" xfId="0" applyNumberFormat="1" applyFont="1" applyBorder="1" applyAlignment="1">
      <alignment vertical="center"/>
    </xf>
    <xf numFmtId="165" fontId="21" fillId="0" borderId="19" xfId="3" applyFont="1" applyBorder="1" applyAlignment="1">
      <alignment vertical="center"/>
    </xf>
    <xf numFmtId="165" fontId="21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21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18" fillId="0" borderId="31" xfId="3" applyNumberFormat="1" applyFont="1" applyBorder="1" applyAlignment="1">
      <alignment horizontal="center" vertical="center"/>
    </xf>
    <xf numFmtId="165" fontId="21" fillId="0" borderId="1" xfId="3" applyFont="1" applyFill="1" applyBorder="1" applyAlignment="1">
      <alignment horizontal="center" vertical="center"/>
    </xf>
    <xf numFmtId="43" fontId="21" fillId="0" borderId="0" xfId="0" applyNumberFormat="1" applyFont="1" applyAlignment="1">
      <alignment vertical="center"/>
    </xf>
    <xf numFmtId="0" fontId="21" fillId="3" borderId="1" xfId="0" applyFont="1" applyFill="1" applyBorder="1" applyAlignment="1">
      <alignment horizontal="center" vertical="center"/>
    </xf>
    <xf numFmtId="165" fontId="21" fillId="3" borderId="2" xfId="3" applyFont="1" applyFill="1" applyBorder="1" applyAlignment="1">
      <alignment horizontal="center" vertical="center"/>
    </xf>
    <xf numFmtId="165" fontId="21" fillId="3" borderId="1" xfId="3" applyFont="1" applyFill="1" applyBorder="1" applyAlignment="1">
      <alignment horizontal="center" vertical="center"/>
    </xf>
    <xf numFmtId="0" fontId="21" fillId="3" borderId="0" xfId="0" applyFont="1" applyFill="1" applyAlignment="1">
      <alignment vertical="center"/>
    </xf>
    <xf numFmtId="165" fontId="21" fillId="3" borderId="0" xfId="3" applyFont="1" applyFill="1" applyAlignment="1">
      <alignment vertical="center"/>
    </xf>
    <xf numFmtId="0" fontId="21" fillId="0" borderId="0" xfId="0" applyFont="1" applyAlignment="1">
      <alignment horizontal="right" vertical="center"/>
    </xf>
    <xf numFmtId="166" fontId="21" fillId="0" borderId="1" xfId="3" applyNumberFormat="1" applyFont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167" fontId="21" fillId="3" borderId="2" xfId="3" applyNumberFormat="1" applyFont="1" applyFill="1" applyBorder="1" applyAlignment="1">
      <alignment horizontal="center" vertical="center"/>
    </xf>
    <xf numFmtId="3" fontId="21" fillId="3" borderId="1" xfId="0" applyNumberFormat="1" applyFont="1" applyFill="1" applyBorder="1" applyAlignment="1">
      <alignment horizontal="center" vertical="center"/>
    </xf>
    <xf numFmtId="166" fontId="21" fillId="0" borderId="1" xfId="3" applyNumberFormat="1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165" fontId="18" fillId="0" borderId="1" xfId="3" applyFont="1" applyBorder="1" applyAlignment="1">
      <alignment horizontal="center" vertical="center"/>
    </xf>
    <xf numFmtId="165" fontId="21" fillId="0" borderId="2" xfId="3" applyFont="1" applyFill="1" applyBorder="1" applyAlignment="1">
      <alignment horizontal="center" vertical="center"/>
    </xf>
    <xf numFmtId="0" fontId="23" fillId="0" borderId="0" xfId="1" applyAlignment="1" applyProtection="1">
      <alignment vertical="center"/>
    </xf>
    <xf numFmtId="0" fontId="18" fillId="0" borderId="0" xfId="0" applyFont="1"/>
    <xf numFmtId="165" fontId="18" fillId="0" borderId="1" xfId="3" applyFont="1" applyFill="1" applyBorder="1" applyAlignment="1">
      <alignment horizontal="center" vertical="center"/>
    </xf>
    <xf numFmtId="164" fontId="18" fillId="0" borderId="34" xfId="0" applyNumberFormat="1" applyFont="1" applyBorder="1" applyAlignment="1">
      <alignment vertical="center"/>
    </xf>
    <xf numFmtId="165" fontId="18" fillId="0" borderId="35" xfId="3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165" fontId="18" fillId="0" borderId="0" xfId="3" applyFont="1" applyAlignment="1">
      <alignment horizontal="center" vertical="center"/>
    </xf>
    <xf numFmtId="165" fontId="18" fillId="0" borderId="3" xfId="3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21" fillId="0" borderId="0" xfId="3" applyFont="1" applyAlignment="1">
      <alignment horizontal="right" vertical="center"/>
    </xf>
    <xf numFmtId="165" fontId="18" fillId="2" borderId="7" xfId="3" applyFont="1" applyFill="1" applyBorder="1" applyAlignment="1">
      <alignment horizontal="center" vertical="center"/>
    </xf>
    <xf numFmtId="165" fontId="18" fillId="0" borderId="14" xfId="3" applyFont="1" applyBorder="1" applyAlignment="1">
      <alignment vertical="center"/>
    </xf>
    <xf numFmtId="165" fontId="18" fillId="0" borderId="9" xfId="0" applyNumberFormat="1" applyFont="1" applyBorder="1" applyAlignment="1">
      <alignment vertical="center"/>
    </xf>
    <xf numFmtId="165" fontId="18" fillId="0" borderId="9" xfId="3" applyFont="1" applyBorder="1" applyAlignment="1">
      <alignment vertical="center"/>
    </xf>
    <xf numFmtId="10" fontId="18" fillId="0" borderId="15" xfId="2" applyNumberFormat="1" applyFont="1" applyBorder="1" applyAlignment="1">
      <alignment vertical="center"/>
    </xf>
    <xf numFmtId="165" fontId="18" fillId="0" borderId="38" xfId="3" applyFont="1" applyBorder="1" applyAlignment="1">
      <alignment vertical="center"/>
    </xf>
    <xf numFmtId="4" fontId="18" fillId="0" borderId="0" xfId="0" applyNumberFormat="1" applyFont="1" applyAlignment="1">
      <alignment vertical="center"/>
    </xf>
    <xf numFmtId="165" fontId="21" fillId="0" borderId="39" xfId="3" applyFont="1" applyBorder="1" applyAlignment="1">
      <alignment vertical="center"/>
    </xf>
    <xf numFmtId="165" fontId="21" fillId="0" borderId="40" xfId="3" applyFont="1" applyBorder="1" applyAlignment="1">
      <alignment vertical="center"/>
    </xf>
    <xf numFmtId="165" fontId="21" fillId="0" borderId="41" xfId="3" applyFont="1" applyBorder="1" applyAlignment="1">
      <alignment vertical="center"/>
    </xf>
    <xf numFmtId="0" fontId="21" fillId="0" borderId="41" xfId="0" applyFont="1" applyBorder="1" applyAlignment="1">
      <alignment vertical="center"/>
    </xf>
    <xf numFmtId="4" fontId="18" fillId="0" borderId="9" xfId="0" applyNumberFormat="1" applyFont="1" applyBorder="1" applyAlignment="1">
      <alignment horizontal="centerContinuous" vertical="center"/>
    </xf>
    <xf numFmtId="4" fontId="21" fillId="0" borderId="0" xfId="0" applyNumberFormat="1" applyFont="1" applyAlignment="1">
      <alignment vertical="center"/>
    </xf>
    <xf numFmtId="165" fontId="21" fillId="6" borderId="1" xfId="3" applyFont="1" applyFill="1" applyBorder="1" applyAlignment="1">
      <alignment horizontal="center" vertical="center"/>
    </xf>
    <xf numFmtId="165" fontId="21" fillId="6" borderId="1" xfId="3" applyFont="1" applyFill="1" applyBorder="1" applyAlignment="1">
      <alignment vertical="center"/>
    </xf>
    <xf numFmtId="9" fontId="18" fillId="0" borderId="18" xfId="2" applyFont="1" applyBorder="1" applyAlignment="1">
      <alignment vertical="center"/>
    </xf>
    <xf numFmtId="10" fontId="21" fillId="0" borderId="15" xfId="2" applyNumberFormat="1" applyFont="1" applyBorder="1" applyAlignment="1">
      <alignment vertical="center"/>
    </xf>
    <xf numFmtId="0" fontId="20" fillId="0" borderId="0" xfId="0" applyFont="1"/>
    <xf numFmtId="0" fontId="20" fillId="0" borderId="0" xfId="0" applyFont="1" applyAlignment="1">
      <alignment horizontal="center"/>
    </xf>
    <xf numFmtId="165" fontId="21" fillId="0" borderId="1" xfId="0" applyNumberFormat="1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166" fontId="18" fillId="0" borderId="0" xfId="3" applyNumberFormat="1" applyFont="1" applyBorder="1" applyAlignment="1">
      <alignment horizontal="center" vertical="center"/>
    </xf>
    <xf numFmtId="2" fontId="29" fillId="7" borderId="1" xfId="0" applyNumberFormat="1" applyFont="1" applyFill="1" applyBorder="1" applyAlignment="1">
      <alignment horizontal="right" vertical="center"/>
    </xf>
    <xf numFmtId="0" fontId="29" fillId="0" borderId="23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2" fontId="29" fillId="7" borderId="36" xfId="0" applyNumberFormat="1" applyFont="1" applyFill="1" applyBorder="1" applyAlignment="1">
      <alignment horizontal="right" vertical="center"/>
    </xf>
    <xf numFmtId="0" fontId="29" fillId="0" borderId="23" xfId="0" applyFont="1" applyBorder="1" applyAlignment="1">
      <alignment horizontal="left" vertical="center"/>
    </xf>
    <xf numFmtId="0" fontId="29" fillId="0" borderId="1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10" fontId="29" fillId="0" borderId="20" xfId="0" applyNumberFormat="1" applyFont="1" applyBorder="1" applyAlignment="1">
      <alignment horizontal="right" vertical="center"/>
    </xf>
    <xf numFmtId="0" fontId="30" fillId="0" borderId="1" xfId="0" applyFont="1" applyBorder="1" applyAlignment="1">
      <alignment horizontal="left" vertical="center"/>
    </xf>
    <xf numFmtId="10" fontId="30" fillId="0" borderId="20" xfId="0" applyNumberFormat="1" applyFont="1" applyBorder="1" applyAlignment="1">
      <alignment horizontal="right" vertical="center"/>
    </xf>
    <xf numFmtId="0" fontId="29" fillId="5" borderId="23" xfId="0" applyFont="1" applyFill="1" applyBorder="1" applyAlignment="1">
      <alignment horizontal="left" vertical="center"/>
    </xf>
    <xf numFmtId="0" fontId="30" fillId="5" borderId="1" xfId="0" applyFont="1" applyFill="1" applyBorder="1" applyAlignment="1">
      <alignment horizontal="left" vertical="center"/>
    </xf>
    <xf numFmtId="10" fontId="30" fillId="5" borderId="20" xfId="0" applyNumberFormat="1" applyFont="1" applyFill="1" applyBorder="1" applyAlignment="1">
      <alignment horizontal="right" vertical="center"/>
    </xf>
    <xf numFmtId="0" fontId="31" fillId="0" borderId="1" xfId="0" applyFont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10" fontId="21" fillId="0" borderId="0" xfId="0" applyNumberFormat="1" applyFont="1"/>
    <xf numFmtId="9" fontId="29" fillId="0" borderId="0" xfId="2" applyFont="1" applyBorder="1" applyAlignment="1">
      <alignment horizontal="right" vertical="center"/>
    </xf>
    <xf numFmtId="0" fontId="29" fillId="0" borderId="1" xfId="0" applyFont="1" applyBorder="1" applyAlignment="1">
      <alignment horizontal="left" vertical="center" wrapText="1"/>
    </xf>
    <xf numFmtId="0" fontId="29" fillId="9" borderId="24" xfId="0" applyFont="1" applyFill="1" applyBorder="1" applyAlignment="1">
      <alignment horizontal="left" vertical="center"/>
    </xf>
    <xf numFmtId="0" fontId="30" fillId="9" borderId="36" xfId="0" applyFont="1" applyFill="1" applyBorder="1" applyAlignment="1">
      <alignment horizontal="left" vertical="center"/>
    </xf>
    <xf numFmtId="10" fontId="30" fillId="9" borderId="37" xfId="0" applyNumberFormat="1" applyFont="1" applyFill="1" applyBorder="1" applyAlignment="1">
      <alignment horizontal="right" vertical="center"/>
    </xf>
    <xf numFmtId="0" fontId="30" fillId="0" borderId="0" xfId="0" applyFont="1" applyAlignment="1">
      <alignment horizontal="left" vertical="center"/>
    </xf>
    <xf numFmtId="10" fontId="30" fillId="0" borderId="0" xfId="0" applyNumberFormat="1" applyFont="1" applyAlignment="1">
      <alignment horizontal="right" vertical="center"/>
    </xf>
    <xf numFmtId="0" fontId="32" fillId="4" borderId="0" xfId="0" applyFont="1" applyFill="1" applyAlignment="1">
      <alignment horizontal="left" vertical="center"/>
    </xf>
    <xf numFmtId="10" fontId="29" fillId="0" borderId="0" xfId="0" applyNumberFormat="1" applyFont="1" applyAlignment="1">
      <alignment horizontal="right" vertical="center"/>
    </xf>
    <xf numFmtId="0" fontId="29" fillId="4" borderId="0" xfId="0" applyFont="1" applyFill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23" fillId="0" borderId="0" xfId="1" applyBorder="1" applyAlignment="1" applyProtection="1">
      <alignment horizontal="left" vertical="center"/>
    </xf>
    <xf numFmtId="0" fontId="34" fillId="0" borderId="0" xfId="0" applyFont="1"/>
    <xf numFmtId="0" fontId="29" fillId="0" borderId="0" xfId="0" applyFont="1" applyAlignment="1">
      <alignment horizontal="right" vertical="center"/>
    </xf>
    <xf numFmtId="0" fontId="23" fillId="0" borderId="0" xfId="1" applyBorder="1" applyAlignment="1" applyProtection="1">
      <alignment vertical="center"/>
    </xf>
    <xf numFmtId="0" fontId="20" fillId="0" borderId="23" xfId="0" applyFont="1" applyBorder="1"/>
    <xf numFmtId="0" fontId="20" fillId="0" borderId="38" xfId="0" applyFont="1" applyBorder="1"/>
    <xf numFmtId="0" fontId="22" fillId="0" borderId="38" xfId="0" applyFont="1" applyBorder="1" applyAlignment="1">
      <alignment horizontal="left" vertical="center"/>
    </xf>
    <xf numFmtId="9" fontId="20" fillId="0" borderId="23" xfId="2" applyFont="1" applyBorder="1"/>
    <xf numFmtId="9" fontId="20" fillId="0" borderId="1" xfId="2" applyFont="1" applyBorder="1" applyAlignment="1">
      <alignment horizontal="center"/>
    </xf>
    <xf numFmtId="9" fontId="20" fillId="0" borderId="20" xfId="2" applyFont="1" applyBorder="1"/>
    <xf numFmtId="0" fontId="20" fillId="0" borderId="21" xfId="0" applyFont="1" applyBorder="1" applyAlignment="1">
      <alignment horizontal="left" vertical="center"/>
    </xf>
    <xf numFmtId="0" fontId="20" fillId="0" borderId="22" xfId="0" applyFont="1" applyBorder="1" applyAlignment="1">
      <alignment horizontal="center" vertical="center"/>
    </xf>
    <xf numFmtId="10" fontId="20" fillId="3" borderId="12" xfId="0" applyNumberFormat="1" applyFont="1" applyFill="1" applyBorder="1" applyAlignment="1">
      <alignment horizontal="center" vertical="center"/>
    </xf>
    <xf numFmtId="10" fontId="20" fillId="0" borderId="20" xfId="2" applyNumberFormat="1" applyFont="1" applyBorder="1"/>
    <xf numFmtId="0" fontId="20" fillId="0" borderId="23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10" fontId="20" fillId="3" borderId="20" xfId="0" applyNumberFormat="1" applyFont="1" applyFill="1" applyBorder="1" applyAlignment="1">
      <alignment horizontal="center" vertical="center"/>
    </xf>
    <xf numFmtId="10" fontId="20" fillId="0" borderId="20" xfId="0" applyNumberFormat="1" applyFont="1" applyBorder="1" applyAlignment="1">
      <alignment horizontal="center" vertical="center"/>
    </xf>
    <xf numFmtId="10" fontId="20" fillId="3" borderId="1" xfId="2" applyNumberFormat="1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/>
    </xf>
    <xf numFmtId="0" fontId="20" fillId="0" borderId="20" xfId="0" applyFont="1" applyBorder="1"/>
    <xf numFmtId="0" fontId="20" fillId="0" borderId="24" xfId="0" applyFont="1" applyBorder="1" applyAlignment="1">
      <alignment horizontal="left" vertical="center"/>
    </xf>
    <xf numFmtId="10" fontId="20" fillId="3" borderId="37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20" fillId="0" borderId="25" xfId="0" applyFont="1" applyBorder="1" applyAlignment="1">
      <alignment vertical="center"/>
    </xf>
    <xf numFmtId="0" fontId="20" fillId="0" borderId="26" xfId="0" applyFont="1" applyBorder="1" applyAlignment="1">
      <alignment vertical="center"/>
    </xf>
    <xf numFmtId="10" fontId="20" fillId="0" borderId="27" xfId="0" applyNumberFormat="1" applyFont="1" applyBorder="1" applyAlignment="1">
      <alignment vertical="center"/>
    </xf>
    <xf numFmtId="0" fontId="20" fillId="0" borderId="28" xfId="0" applyFont="1" applyBorder="1" applyAlignment="1">
      <alignment horizontal="left" vertical="center"/>
    </xf>
    <xf numFmtId="0" fontId="20" fillId="0" borderId="29" xfId="0" applyFont="1" applyBorder="1" applyAlignment="1">
      <alignment horizontal="left" vertical="center"/>
    </xf>
    <xf numFmtId="0" fontId="20" fillId="0" borderId="30" xfId="0" applyFont="1" applyBorder="1" applyAlignment="1">
      <alignment vertical="center"/>
    </xf>
    <xf numFmtId="0" fontId="22" fillId="5" borderId="5" xfId="0" applyFont="1" applyFill="1" applyBorder="1" applyAlignment="1">
      <alignment vertical="center" wrapText="1"/>
    </xf>
    <xf numFmtId="0" fontId="20" fillId="5" borderId="6" xfId="0" applyFont="1" applyFill="1" applyBorder="1" applyAlignment="1">
      <alignment vertical="center"/>
    </xf>
    <xf numFmtId="10" fontId="22" fillId="5" borderId="7" xfId="0" applyNumberFormat="1" applyFont="1" applyFill="1" applyBorder="1" applyAlignment="1">
      <alignment horizontal="center" vertical="center" wrapText="1"/>
    </xf>
    <xf numFmtId="10" fontId="20" fillId="0" borderId="23" xfId="2" applyNumberFormat="1" applyFont="1" applyBorder="1" applyAlignment="1">
      <alignment horizontal="right"/>
    </xf>
    <xf numFmtId="10" fontId="20" fillId="0" borderId="1" xfId="2" applyNumberFormat="1" applyFont="1" applyBorder="1" applyAlignment="1">
      <alignment horizontal="right"/>
    </xf>
    <xf numFmtId="10" fontId="20" fillId="0" borderId="20" xfId="2" applyNumberFormat="1" applyFont="1" applyBorder="1" applyAlignment="1">
      <alignment horizontal="right"/>
    </xf>
    <xf numFmtId="10" fontId="20" fillId="0" borderId="24" xfId="2" applyNumberFormat="1" applyFont="1" applyBorder="1" applyAlignment="1">
      <alignment horizontal="right"/>
    </xf>
    <xf numFmtId="10" fontId="20" fillId="0" borderId="36" xfId="2" applyNumberFormat="1" applyFont="1" applyBorder="1" applyAlignment="1">
      <alignment horizontal="right"/>
    </xf>
    <xf numFmtId="10" fontId="20" fillId="0" borderId="37" xfId="2" applyNumberFormat="1" applyFont="1" applyBorder="1" applyAlignment="1">
      <alignment horizontal="right"/>
    </xf>
    <xf numFmtId="1" fontId="21" fillId="0" borderId="0" xfId="3" applyNumberFormat="1" applyFont="1" applyBorder="1" applyAlignment="1">
      <alignment horizontal="center" vertical="center"/>
    </xf>
    <xf numFmtId="165" fontId="18" fillId="0" borderId="7" xfId="3" applyFont="1" applyBorder="1" applyAlignment="1">
      <alignment horizontal="right" vertical="center"/>
    </xf>
    <xf numFmtId="165" fontId="18" fillId="2" borderId="4" xfId="3" applyFont="1" applyFill="1" applyBorder="1" applyAlignment="1">
      <alignment horizontal="right" vertical="center"/>
    </xf>
    <xf numFmtId="168" fontId="18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18" fillId="0" borderId="36" xfId="0" applyNumberFormat="1" applyFont="1" applyBorder="1" applyAlignment="1">
      <alignment vertical="center"/>
    </xf>
    <xf numFmtId="165" fontId="18" fillId="0" borderId="11" xfId="3" applyFont="1" applyBorder="1" applyAlignment="1">
      <alignment vertical="center"/>
    </xf>
    <xf numFmtId="165" fontId="18" fillId="0" borderId="5" xfId="3" applyFont="1" applyBorder="1" applyAlignment="1">
      <alignment vertical="center"/>
    </xf>
    <xf numFmtId="0" fontId="19" fillId="0" borderId="38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30" fillId="7" borderId="1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165" fontId="18" fillId="0" borderId="9" xfId="3" applyFont="1" applyBorder="1" applyAlignment="1">
      <alignment horizontal="center" vertical="center"/>
    </xf>
    <xf numFmtId="0" fontId="26" fillId="2" borderId="17" xfId="0" applyFont="1" applyFill="1" applyBorder="1" applyAlignment="1">
      <alignment horizontal="center" vertical="center" wrapText="1"/>
    </xf>
    <xf numFmtId="167" fontId="21" fillId="0" borderId="1" xfId="3" applyNumberFormat="1" applyFont="1" applyBorder="1" applyAlignment="1">
      <alignment horizontal="center" vertical="center"/>
    </xf>
    <xf numFmtId="166" fontId="18" fillId="0" borderId="1" xfId="3" applyNumberFormat="1" applyFont="1" applyBorder="1" applyAlignment="1">
      <alignment horizontal="center" vertical="center"/>
    </xf>
    <xf numFmtId="167" fontId="18" fillId="0" borderId="1" xfId="3" applyNumberFormat="1" applyFont="1" applyBorder="1" applyAlignment="1">
      <alignment horizontal="center" vertical="center"/>
    </xf>
    <xf numFmtId="167" fontId="21" fillId="0" borderId="2" xfId="3" applyNumberFormat="1" applyFont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8" fillId="0" borderId="46" xfId="0" applyFont="1" applyBorder="1" applyAlignment="1">
      <alignment vertical="center"/>
    </xf>
    <xf numFmtId="0" fontId="18" fillId="0" borderId="46" xfId="0" applyFont="1" applyBorder="1" applyAlignment="1">
      <alignment horizontal="center" vertical="center"/>
    </xf>
    <xf numFmtId="165" fontId="18" fillId="0" borderId="46" xfId="3" applyFont="1" applyBorder="1" applyAlignment="1">
      <alignment horizontal="center" vertical="center"/>
    </xf>
    <xf numFmtId="165" fontId="18" fillId="0" borderId="46" xfId="3" applyFont="1" applyFill="1" applyBorder="1" applyAlignment="1">
      <alignment horizontal="center" vertical="center"/>
    </xf>
    <xf numFmtId="0" fontId="20" fillId="0" borderId="23" xfId="0" applyFont="1" applyBorder="1" applyAlignment="1">
      <alignment horizontal="right"/>
    </xf>
    <xf numFmtId="0" fontId="36" fillId="0" borderId="0" xfId="4" applyFont="1"/>
    <xf numFmtId="0" fontId="15" fillId="0" borderId="0" xfId="4"/>
    <xf numFmtId="0" fontId="36" fillId="0" borderId="1" xfId="4" applyFont="1" applyBorder="1"/>
    <xf numFmtId="0" fontId="36" fillId="0" borderId="1" xfId="4" applyFont="1" applyBorder="1" applyAlignment="1">
      <alignment horizontal="center"/>
    </xf>
    <xf numFmtId="20" fontId="36" fillId="0" borderId="1" xfId="4" applyNumberFormat="1" applyFont="1" applyBorder="1"/>
    <xf numFmtId="0" fontId="15" fillId="0" borderId="1" xfId="4" applyBorder="1"/>
    <xf numFmtId="0" fontId="15" fillId="0" borderId="8" xfId="4" applyBorder="1"/>
    <xf numFmtId="0" fontId="15" fillId="0" borderId="9" xfId="4" applyBorder="1"/>
    <xf numFmtId="0" fontId="36" fillId="0" borderId="8" xfId="4" applyFont="1" applyBorder="1"/>
    <xf numFmtId="0" fontId="36" fillId="0" borderId="9" xfId="4" applyFont="1" applyBorder="1"/>
    <xf numFmtId="10" fontId="18" fillId="3" borderId="7" xfId="2" applyNumberFormat="1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170" fontId="21" fillId="0" borderId="37" xfId="3" applyNumberFormat="1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165" fontId="16" fillId="3" borderId="2" xfId="3" applyFont="1" applyFill="1" applyBorder="1" applyAlignment="1">
      <alignment horizontal="center" vertical="center"/>
    </xf>
    <xf numFmtId="165" fontId="16" fillId="3" borderId="1" xfId="3" applyFont="1" applyFill="1" applyBorder="1" applyAlignment="1">
      <alignment horizontal="center" vertical="center"/>
    </xf>
    <xf numFmtId="0" fontId="14" fillId="0" borderId="8" xfId="4" applyFont="1" applyBorder="1"/>
    <xf numFmtId="10" fontId="36" fillId="0" borderId="1" xfId="2" applyNumberFormat="1" applyFont="1" applyBorder="1"/>
    <xf numFmtId="13" fontId="21" fillId="3" borderId="1" xfId="0" applyNumberFormat="1" applyFont="1" applyFill="1" applyBorder="1" applyAlignment="1">
      <alignment vertical="center"/>
    </xf>
    <xf numFmtId="13" fontId="16" fillId="3" borderId="1" xfId="0" applyNumberFormat="1" applyFont="1" applyFill="1" applyBorder="1" applyAlignment="1">
      <alignment vertical="center"/>
    </xf>
    <xf numFmtId="4" fontId="16" fillId="3" borderId="1" xfId="0" applyNumberFormat="1" applyFont="1" applyFill="1" applyBorder="1" applyAlignment="1">
      <alignment horizontal="center" vertical="center"/>
    </xf>
    <xf numFmtId="13" fontId="21" fillId="3" borderId="1" xfId="0" applyNumberFormat="1" applyFont="1" applyFill="1" applyBorder="1" applyAlignment="1">
      <alignment horizontal="right" vertical="center"/>
    </xf>
    <xf numFmtId="168" fontId="18" fillId="0" borderId="3" xfId="0" applyNumberFormat="1" applyFont="1" applyBorder="1" applyAlignment="1">
      <alignment vertical="center"/>
    </xf>
    <xf numFmtId="172" fontId="21" fillId="0" borderId="1" xfId="3" applyNumberFormat="1" applyFont="1" applyBorder="1" applyAlignment="1">
      <alignment vertical="center"/>
    </xf>
    <xf numFmtId="165" fontId="18" fillId="2" borderId="1" xfId="3" applyFont="1" applyFill="1" applyBorder="1" applyAlignment="1">
      <alignment horizontal="right" vertical="center"/>
    </xf>
    <xf numFmtId="165" fontId="18" fillId="0" borderId="1" xfId="3" applyFont="1" applyBorder="1" applyAlignment="1">
      <alignment vertical="center"/>
    </xf>
    <xf numFmtId="165" fontId="15" fillId="0" borderId="1" xfId="3" applyFont="1" applyBorder="1"/>
    <xf numFmtId="165" fontId="21" fillId="3" borderId="1" xfId="3" applyFont="1" applyFill="1" applyBorder="1" applyAlignment="1">
      <alignment vertical="center"/>
    </xf>
    <xf numFmtId="165" fontId="21" fillId="0" borderId="0" xfId="3" applyFont="1" applyFill="1" applyAlignment="1">
      <alignment vertical="center"/>
    </xf>
    <xf numFmtId="165" fontId="16" fillId="0" borderId="1" xfId="3" applyFont="1" applyBorder="1" applyAlignment="1">
      <alignment horizontal="center" vertical="center"/>
    </xf>
    <xf numFmtId="167" fontId="16" fillId="0" borderId="1" xfId="3" applyNumberFormat="1" applyFont="1" applyBorder="1" applyAlignment="1">
      <alignment horizontal="center" vertical="center"/>
    </xf>
    <xf numFmtId="0" fontId="36" fillId="0" borderId="1" xfId="4" applyFont="1" applyBorder="1" applyAlignment="1">
      <alignment wrapText="1"/>
    </xf>
    <xf numFmtId="0" fontId="38" fillId="0" borderId="0" xfId="29"/>
    <xf numFmtId="0" fontId="41" fillId="0" borderId="0" xfId="29" applyFont="1" applyAlignment="1">
      <alignment vertical="center"/>
    </xf>
    <xf numFmtId="165" fontId="40" fillId="0" borderId="0" xfId="29" applyNumberFormat="1" applyFont="1"/>
    <xf numFmtId="43" fontId="38" fillId="0" borderId="0" xfId="29" applyNumberFormat="1"/>
    <xf numFmtId="2" fontId="0" fillId="0" borderId="23" xfId="0" applyNumberFormat="1" applyBorder="1" applyAlignment="1">
      <alignment horizontal="center"/>
    </xf>
    <xf numFmtId="0" fontId="0" fillId="0" borderId="8" xfId="0" applyBorder="1" applyAlignment="1">
      <alignment horizontal="center" vertical="center"/>
    </xf>
    <xf numFmtId="1" fontId="0" fillId="0" borderId="8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2" fontId="0" fillId="0" borderId="10" xfId="0" applyNumberFormat="1" applyBorder="1"/>
    <xf numFmtId="2" fontId="0" fillId="0" borderId="20" xfId="0" applyNumberFormat="1" applyBorder="1"/>
    <xf numFmtId="2" fontId="36" fillId="0" borderId="20" xfId="0" applyNumberFormat="1" applyFont="1" applyBorder="1"/>
    <xf numFmtId="4" fontId="36" fillId="0" borderId="36" xfId="0" applyNumberFormat="1" applyFont="1" applyBorder="1"/>
    <xf numFmtId="2" fontId="36" fillId="0" borderId="37" xfId="0" applyNumberFormat="1" applyFont="1" applyBorder="1"/>
    <xf numFmtId="2" fontId="16" fillId="0" borderId="23" xfId="0" applyNumberFormat="1" applyFont="1" applyBorder="1" applyAlignment="1">
      <alignment horizontal="center"/>
    </xf>
    <xf numFmtId="0" fontId="16" fillId="0" borderId="8" xfId="0" applyFont="1" applyBorder="1" applyAlignment="1">
      <alignment horizontal="center" vertical="center"/>
    </xf>
    <xf numFmtId="4" fontId="36" fillId="0" borderId="61" xfId="0" applyNumberFormat="1" applyFont="1" applyBorder="1"/>
    <xf numFmtId="2" fontId="36" fillId="0" borderId="31" xfId="0" applyNumberFormat="1" applyFont="1" applyBorder="1"/>
    <xf numFmtId="165" fontId="16" fillId="0" borderId="2" xfId="3" applyFont="1" applyBorder="1" applyAlignment="1">
      <alignment horizontal="center" vertical="center"/>
    </xf>
    <xf numFmtId="165" fontId="16" fillId="0" borderId="0" xfId="3" applyFont="1" applyAlignment="1">
      <alignment vertical="center"/>
    </xf>
    <xf numFmtId="166" fontId="16" fillId="0" borderId="1" xfId="3" applyNumberFormat="1" applyFont="1" applyFill="1" applyBorder="1" applyAlignment="1">
      <alignment vertical="center"/>
    </xf>
    <xf numFmtId="165" fontId="16" fillId="0" borderId="1" xfId="3" applyFont="1" applyBorder="1" applyAlignment="1">
      <alignment vertical="center"/>
    </xf>
    <xf numFmtId="165" fontId="16" fillId="0" borderId="0" xfId="3" applyFont="1" applyAlignment="1">
      <alignment horizontal="right" vertical="center"/>
    </xf>
    <xf numFmtId="172" fontId="16" fillId="0" borderId="1" xfId="3" applyNumberFormat="1" applyFont="1" applyBorder="1" applyAlignment="1">
      <alignment vertical="center"/>
    </xf>
    <xf numFmtId="165" fontId="0" fillId="3" borderId="1" xfId="3" applyFont="1" applyFill="1" applyBorder="1"/>
    <xf numFmtId="166" fontId="15" fillId="0" borderId="1" xfId="3" applyNumberFormat="1" applyFont="1" applyBorder="1"/>
    <xf numFmtId="166" fontId="36" fillId="0" borderId="1" xfId="3" applyNumberFormat="1" applyFont="1" applyBorder="1"/>
    <xf numFmtId="0" fontId="39" fillId="0" borderId="0" xfId="0" applyFont="1" applyAlignment="1">
      <alignment vertical="center"/>
    </xf>
    <xf numFmtId="165" fontId="39" fillId="0" borderId="0" xfId="0" applyNumberFormat="1" applyFont="1" applyAlignment="1">
      <alignment vertical="center"/>
    </xf>
    <xf numFmtId="165" fontId="39" fillId="0" borderId="0" xfId="0" applyNumberFormat="1" applyFont="1" applyAlignment="1">
      <alignment horizontal="center" vertical="center"/>
    </xf>
    <xf numFmtId="0" fontId="42" fillId="11" borderId="53" xfId="0" applyFont="1" applyFill="1" applyBorder="1" applyAlignment="1">
      <alignment horizontal="center" vertical="center"/>
    </xf>
    <xf numFmtId="0" fontId="42" fillId="11" borderId="54" xfId="0" applyFont="1" applyFill="1" applyBorder="1" applyAlignment="1">
      <alignment horizontal="center" vertical="center"/>
    </xf>
    <xf numFmtId="165" fontId="42" fillId="11" borderId="54" xfId="0" applyNumberFormat="1" applyFont="1" applyFill="1" applyBorder="1" applyAlignment="1">
      <alignment horizontal="center" vertical="center"/>
    </xf>
    <xf numFmtId="165" fontId="42" fillId="11" borderId="52" xfId="0" applyNumberFormat="1" applyFont="1" applyFill="1" applyBorder="1" applyAlignment="1">
      <alignment horizontal="center" vertical="center"/>
    </xf>
    <xf numFmtId="0" fontId="40" fillId="0" borderId="51" xfId="0" applyFont="1" applyBorder="1" applyAlignment="1">
      <alignment vertical="center"/>
    </xf>
    <xf numFmtId="0" fontId="44" fillId="0" borderId="51" xfId="0" applyFont="1" applyBorder="1" applyAlignment="1">
      <alignment horizontal="center" vertical="center"/>
    </xf>
    <xf numFmtId="1" fontId="40" fillId="0" borderId="51" xfId="0" applyNumberFormat="1" applyFont="1" applyBorder="1" applyAlignment="1">
      <alignment horizontal="center" vertical="center"/>
    </xf>
    <xf numFmtId="165" fontId="40" fillId="12" borderId="51" xfId="0" applyNumberFormat="1" applyFont="1" applyFill="1" applyBorder="1" applyAlignment="1">
      <alignment horizontal="center" vertical="center"/>
    </xf>
    <xf numFmtId="165" fontId="40" fillId="0" borderId="51" xfId="0" applyNumberFormat="1" applyFont="1" applyBorder="1" applyAlignment="1">
      <alignment horizontal="center" vertical="center"/>
    </xf>
    <xf numFmtId="165" fontId="40" fillId="0" borderId="0" xfId="0" applyNumberFormat="1" applyFont="1" applyAlignment="1">
      <alignment horizontal="center" vertical="center"/>
    </xf>
    <xf numFmtId="0" fontId="40" fillId="0" borderId="51" xfId="0" applyFont="1" applyBorder="1" applyAlignment="1">
      <alignment horizontal="center" vertical="center"/>
    </xf>
    <xf numFmtId="165" fontId="45" fillId="0" borderId="51" xfId="0" applyNumberFormat="1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165" fontId="40" fillId="0" borderId="0" xfId="0" applyNumberFormat="1" applyFont="1" applyAlignment="1">
      <alignment horizontal="right" vertical="center"/>
    </xf>
    <xf numFmtId="172" fontId="40" fillId="0" borderId="51" xfId="0" applyNumberFormat="1" applyFont="1" applyBorder="1" applyAlignment="1">
      <alignment vertical="center"/>
    </xf>
    <xf numFmtId="165" fontId="39" fillId="11" borderId="55" xfId="0" applyNumberFormat="1" applyFont="1" applyFill="1" applyBorder="1" applyAlignment="1">
      <alignment horizontal="center" vertical="center"/>
    </xf>
    <xf numFmtId="0" fontId="40" fillId="0" borderId="0" xfId="0" applyFont="1" applyAlignment="1">
      <alignment vertical="center"/>
    </xf>
    <xf numFmtId="165" fontId="40" fillId="0" borderId="0" xfId="0" applyNumberFormat="1" applyFont="1" applyAlignment="1">
      <alignment vertical="center"/>
    </xf>
    <xf numFmtId="0" fontId="39" fillId="0" borderId="48" xfId="0" applyFont="1" applyBorder="1" applyAlignment="1">
      <alignment vertical="center"/>
    </xf>
    <xf numFmtId="0" fontId="39" fillId="0" borderId="49" xfId="0" applyFont="1" applyBorder="1" applyAlignment="1">
      <alignment vertical="center"/>
    </xf>
    <xf numFmtId="165" fontId="39" fillId="0" borderId="49" xfId="0" applyNumberFormat="1" applyFont="1" applyBorder="1" applyAlignment="1">
      <alignment vertical="center"/>
    </xf>
    <xf numFmtId="165" fontId="39" fillId="0" borderId="50" xfId="0" applyNumberFormat="1" applyFont="1" applyBorder="1" applyAlignment="1">
      <alignment vertical="center"/>
    </xf>
    <xf numFmtId="0" fontId="0" fillId="0" borderId="20" xfId="0" applyBorder="1"/>
    <xf numFmtId="1" fontId="16" fillId="0" borderId="1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166" fontId="16" fillId="0" borderId="1" xfId="3" applyNumberFormat="1" applyFont="1" applyBorder="1" applyAlignment="1">
      <alignment horizontal="center" vertical="center"/>
    </xf>
    <xf numFmtId="0" fontId="36" fillId="0" borderId="0" xfId="0" applyFont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4" fontId="0" fillId="4" borderId="1" xfId="3" applyNumberFormat="1" applyFont="1" applyFill="1" applyBorder="1" applyAlignment="1">
      <alignment horizontal="right"/>
    </xf>
    <xf numFmtId="0" fontId="0" fillId="0" borderId="23" xfId="0" applyBorder="1" applyAlignment="1">
      <alignment horizontal="center"/>
    </xf>
    <xf numFmtId="0" fontId="16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" fontId="0" fillId="0" borderId="1" xfId="3" applyNumberFormat="1" applyFont="1" applyBorder="1" applyAlignment="1">
      <alignment horizontal="right"/>
    </xf>
    <xf numFmtId="4" fontId="0" fillId="0" borderId="1" xfId="0" applyNumberFormat="1" applyBorder="1"/>
    <xf numFmtId="4" fontId="0" fillId="0" borderId="0" xfId="3" applyNumberFormat="1" applyFont="1" applyBorder="1" applyAlignment="1">
      <alignment horizontal="right"/>
    </xf>
    <xf numFmtId="0" fontId="0" fillId="0" borderId="8" xfId="0" applyBorder="1" applyAlignment="1">
      <alignment horizontal="center" vertical="center" wrapText="1"/>
    </xf>
    <xf numFmtId="4" fontId="36" fillId="0" borderId="3" xfId="3" applyNumberFormat="1" applyFont="1" applyBorder="1"/>
    <xf numFmtId="0" fontId="36" fillId="0" borderId="68" xfId="0" applyFont="1" applyBorder="1"/>
    <xf numFmtId="165" fontId="36" fillId="0" borderId="1" xfId="3" applyFont="1" applyBorder="1"/>
    <xf numFmtId="2" fontId="36" fillId="0" borderId="17" xfId="3" applyNumberFormat="1" applyFont="1" applyBorder="1"/>
    <xf numFmtId="0" fontId="36" fillId="0" borderId="18" xfId="0" applyFont="1" applyBorder="1"/>
    <xf numFmtId="0" fontId="36" fillId="0" borderId="0" xfId="0" applyFont="1"/>
    <xf numFmtId="49" fontId="0" fillId="0" borderId="0" xfId="0" applyNumberFormat="1" applyAlignment="1">
      <alignment horizontal="center"/>
    </xf>
    <xf numFmtId="170" fontId="36" fillId="0" borderId="25" xfId="0" applyNumberFormat="1" applyFont="1" applyBorder="1"/>
    <xf numFmtId="170" fontId="36" fillId="0" borderId="26" xfId="0" applyNumberFormat="1" applyFont="1" applyBorder="1"/>
    <xf numFmtId="170" fontId="36" fillId="0" borderId="27" xfId="0" applyNumberFormat="1" applyFont="1" applyBorder="1"/>
    <xf numFmtId="170" fontId="36" fillId="0" borderId="38" xfId="0" applyNumberFormat="1" applyFont="1" applyBorder="1"/>
    <xf numFmtId="170" fontId="36" fillId="0" borderId="0" xfId="0" applyNumberFormat="1" applyFont="1"/>
    <xf numFmtId="170" fontId="36" fillId="0" borderId="39" xfId="0" applyNumberFormat="1" applyFont="1" applyBorder="1"/>
    <xf numFmtId="2" fontId="0" fillId="0" borderId="8" xfId="0" applyNumberFormat="1" applyBorder="1" applyAlignment="1">
      <alignment horizontal="right" vertical="center"/>
    </xf>
    <xf numFmtId="4" fontId="16" fillId="0" borderId="1" xfId="3" applyNumberFormat="1" applyFont="1" applyBorder="1" applyAlignment="1">
      <alignment horizontal="right"/>
    </xf>
    <xf numFmtId="0" fontId="0" fillId="0" borderId="64" xfId="0" applyBorder="1" applyAlignment="1">
      <alignment horizontal="center"/>
    </xf>
    <xf numFmtId="49" fontId="16" fillId="0" borderId="1" xfId="0" applyNumberFormat="1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165" fontId="18" fillId="0" borderId="14" xfId="3" applyFont="1" applyBorder="1" applyAlignment="1">
      <alignment horizontal="left" vertical="center"/>
    </xf>
    <xf numFmtId="0" fontId="0" fillId="0" borderId="1" xfId="0" applyBorder="1" applyAlignment="1">
      <alignment horizontal="center"/>
    </xf>
    <xf numFmtId="1" fontId="21" fillId="3" borderId="1" xfId="0" applyNumberFormat="1" applyFont="1" applyFill="1" applyBorder="1" applyAlignment="1">
      <alignment horizontal="center" vertical="center"/>
    </xf>
    <xf numFmtId="165" fontId="16" fillId="0" borderId="0" xfId="3" applyFont="1" applyBorder="1" applyAlignment="1">
      <alignment vertical="center"/>
    </xf>
    <xf numFmtId="166" fontId="16" fillId="0" borderId="0" xfId="3" applyNumberFormat="1" applyFont="1" applyBorder="1" applyAlignment="1">
      <alignment horizontal="center" vertical="center"/>
    </xf>
    <xf numFmtId="165" fontId="16" fillId="0" borderId="1" xfId="3" applyFont="1" applyFill="1" applyBorder="1" applyAlignment="1">
      <alignment horizontal="center" vertical="center"/>
    </xf>
    <xf numFmtId="165" fontId="16" fillId="6" borderId="1" xfId="3" applyFont="1" applyFill="1" applyBorder="1" applyAlignment="1">
      <alignment horizontal="center" vertical="center"/>
    </xf>
    <xf numFmtId="165" fontId="16" fillId="3" borderId="0" xfId="3" applyFont="1" applyFill="1" applyAlignment="1">
      <alignment vertical="center"/>
    </xf>
    <xf numFmtId="166" fontId="16" fillId="0" borderId="1" xfId="3" applyNumberFormat="1" applyFont="1" applyBorder="1" applyAlignment="1">
      <alignment vertical="center"/>
    </xf>
    <xf numFmtId="172" fontId="16" fillId="0" borderId="0" xfId="3" applyNumberFormat="1" applyFont="1" applyBorder="1" applyAlignment="1">
      <alignment vertical="center"/>
    </xf>
    <xf numFmtId="1" fontId="16" fillId="0" borderId="1" xfId="3" applyNumberFormat="1" applyFont="1" applyFill="1" applyBorder="1" applyAlignment="1">
      <alignment horizontal="center" vertical="center"/>
    </xf>
    <xf numFmtId="44" fontId="16" fillId="3" borderId="1" xfId="5" applyFont="1" applyFill="1" applyBorder="1" applyAlignment="1">
      <alignment vertical="center"/>
    </xf>
    <xf numFmtId="44" fontId="18" fillId="2" borderId="4" xfId="5" applyFont="1" applyFill="1" applyBorder="1" applyAlignment="1">
      <alignment vertical="center"/>
    </xf>
    <xf numFmtId="165" fontId="16" fillId="0" borderId="6" xfId="3" applyFont="1" applyBorder="1" applyAlignment="1">
      <alignment vertical="center"/>
    </xf>
    <xf numFmtId="165" fontId="16" fillId="0" borderId="7" xfId="3" applyFont="1" applyBorder="1" applyAlignment="1">
      <alignment vertical="center"/>
    </xf>
    <xf numFmtId="165" fontId="19" fillId="0" borderId="0" xfId="3" applyFont="1" applyBorder="1" applyAlignment="1">
      <alignment vertical="center"/>
    </xf>
    <xf numFmtId="4" fontId="19" fillId="0" borderId="0" xfId="0" applyNumberFormat="1" applyFont="1" applyAlignment="1">
      <alignment vertical="center"/>
    </xf>
    <xf numFmtId="4" fontId="48" fillId="0" borderId="0" xfId="0" applyNumberFormat="1" applyFont="1" applyAlignment="1">
      <alignment vertical="center"/>
    </xf>
    <xf numFmtId="4" fontId="49" fillId="0" borderId="0" xfId="0" applyNumberFormat="1" applyFont="1" applyAlignment="1">
      <alignment vertical="center"/>
    </xf>
    <xf numFmtId="10" fontId="16" fillId="0" borderId="15" xfId="2" applyNumberFormat="1" applyFont="1" applyBorder="1" applyAlignment="1">
      <alignment vertical="center"/>
    </xf>
    <xf numFmtId="165" fontId="16" fillId="0" borderId="14" xfId="3" applyFont="1" applyBorder="1" applyAlignment="1">
      <alignment vertical="center"/>
    </xf>
    <xf numFmtId="165" fontId="16" fillId="0" borderId="9" xfId="3" applyFont="1" applyBorder="1" applyAlignment="1">
      <alignment vertical="center"/>
    </xf>
    <xf numFmtId="1" fontId="16" fillId="0" borderId="20" xfId="3" applyNumberFormat="1" applyFont="1" applyBorder="1" applyAlignment="1">
      <alignment horizontal="center" vertical="center"/>
    </xf>
    <xf numFmtId="165" fontId="16" fillId="0" borderId="39" xfId="3" applyFont="1" applyBorder="1" applyAlignment="1">
      <alignment vertical="center"/>
    </xf>
    <xf numFmtId="165" fontId="16" fillId="0" borderId="40" xfId="3" applyFont="1" applyBorder="1" applyAlignment="1">
      <alignment vertical="center"/>
    </xf>
    <xf numFmtId="165" fontId="16" fillId="0" borderId="41" xfId="3" applyFont="1" applyBorder="1" applyAlignment="1">
      <alignment vertical="center"/>
    </xf>
    <xf numFmtId="0" fontId="16" fillId="0" borderId="41" xfId="0" applyFont="1" applyBorder="1" applyAlignment="1">
      <alignment vertical="center"/>
    </xf>
    <xf numFmtId="1" fontId="16" fillId="0" borderId="37" xfId="3" applyNumberFormat="1" applyFont="1" applyBorder="1" applyAlignment="1">
      <alignment horizontal="center" vertical="center"/>
    </xf>
    <xf numFmtId="2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right" vertical="center"/>
    </xf>
    <xf numFmtId="165" fontId="16" fillId="0" borderId="0" xfId="0" applyNumberFormat="1" applyFont="1" applyAlignment="1">
      <alignment vertical="center"/>
    </xf>
    <xf numFmtId="0" fontId="16" fillId="3" borderId="0" xfId="0" applyFont="1" applyFill="1" applyAlignment="1">
      <alignment vertical="center"/>
    </xf>
    <xf numFmtId="0" fontId="17" fillId="0" borderId="47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165" fontId="16" fillId="0" borderId="0" xfId="3" applyFont="1" applyAlignment="1">
      <alignment horizontal="center" vertical="center"/>
    </xf>
    <xf numFmtId="43" fontId="16" fillId="0" borderId="0" xfId="0" applyNumberFormat="1" applyFont="1" applyAlignment="1">
      <alignment vertical="center"/>
    </xf>
    <xf numFmtId="0" fontId="26" fillId="2" borderId="32" xfId="0" applyFont="1" applyFill="1" applyBorder="1" applyAlignment="1">
      <alignment horizontal="center" vertical="center"/>
    </xf>
    <xf numFmtId="0" fontId="26" fillId="2" borderId="33" xfId="0" applyFont="1" applyFill="1" applyBorder="1" applyAlignment="1">
      <alignment horizontal="center" vertical="center"/>
    </xf>
    <xf numFmtId="165" fontId="26" fillId="2" borderId="33" xfId="3" applyFont="1" applyFill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3" fontId="16" fillId="0" borderId="0" xfId="0" applyNumberFormat="1" applyFont="1" applyAlignment="1">
      <alignment vertical="center"/>
    </xf>
    <xf numFmtId="4" fontId="16" fillId="3" borderId="1" xfId="0" applyNumberFormat="1" applyFont="1" applyFill="1" applyBorder="1" applyAlignment="1">
      <alignment vertical="center"/>
    </xf>
    <xf numFmtId="4" fontId="16" fillId="3" borderId="2" xfId="0" applyNumberFormat="1" applyFont="1" applyFill="1" applyBorder="1" applyAlignment="1">
      <alignment horizontal="center" vertical="center"/>
    </xf>
    <xf numFmtId="167" fontId="16" fillId="3" borderId="2" xfId="3" applyNumberFormat="1" applyFont="1" applyFill="1" applyBorder="1" applyAlignment="1">
      <alignment horizontal="center" vertical="center"/>
    </xf>
    <xf numFmtId="165" fontId="16" fillId="0" borderId="0" xfId="3" applyFont="1" applyFill="1" applyAlignment="1">
      <alignment vertical="center"/>
    </xf>
    <xf numFmtId="165" fontId="16" fillId="0" borderId="2" xfId="3" applyFont="1" applyFill="1" applyBorder="1" applyAlignment="1">
      <alignment horizontal="center" vertical="center"/>
    </xf>
    <xf numFmtId="0" fontId="18" fillId="0" borderId="8" xfId="0" applyFont="1" applyBorder="1" applyAlignment="1">
      <alignment vertical="center"/>
    </xf>
    <xf numFmtId="0" fontId="16" fillId="0" borderId="9" xfId="0" applyFont="1" applyBorder="1" applyAlignment="1">
      <alignment vertical="center"/>
    </xf>
    <xf numFmtId="165" fontId="16" fillId="3" borderId="9" xfId="3" applyFont="1" applyFill="1" applyBorder="1" applyAlignment="1">
      <alignment vertical="center"/>
    </xf>
    <xf numFmtId="165" fontId="16" fillId="0" borderId="10" xfId="3" applyFont="1" applyBorder="1" applyAlignment="1">
      <alignment horizontal="center" vertical="center"/>
    </xf>
    <xf numFmtId="10" fontId="18" fillId="0" borderId="0" xfId="2" applyNumberFormat="1" applyFont="1" applyBorder="1" applyAlignment="1">
      <alignment vertical="center"/>
    </xf>
    <xf numFmtId="0" fontId="4" fillId="0" borderId="0" xfId="36"/>
    <xf numFmtId="0" fontId="4" fillId="0" borderId="0" xfId="36" applyAlignment="1">
      <alignment horizontal="center"/>
    </xf>
    <xf numFmtId="0" fontId="47" fillId="0" borderId="0" xfId="36" applyFont="1"/>
    <xf numFmtId="2" fontId="4" fillId="0" borderId="0" xfId="36" applyNumberFormat="1"/>
    <xf numFmtId="0" fontId="16" fillId="4" borderId="0" xfId="0" applyFont="1" applyFill="1" applyAlignment="1">
      <alignment vertical="center"/>
    </xf>
    <xf numFmtId="4" fontId="0" fillId="4" borderId="0" xfId="0" applyNumberFormat="1" applyFill="1" applyAlignment="1">
      <alignment vertical="center"/>
    </xf>
    <xf numFmtId="165" fontId="0" fillId="4" borderId="0" xfId="3" applyFont="1" applyFill="1" applyAlignment="1">
      <alignment vertical="center"/>
    </xf>
    <xf numFmtId="9" fontId="18" fillId="0" borderId="7" xfId="2" applyFont="1" applyFill="1" applyBorder="1" applyAlignment="1">
      <alignment vertical="center"/>
    </xf>
    <xf numFmtId="2" fontId="16" fillId="0" borderId="1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vertical="center" wrapText="1"/>
    </xf>
    <xf numFmtId="10" fontId="16" fillId="6" borderId="1" xfId="2" applyNumberFormat="1" applyFont="1" applyFill="1" applyBorder="1" applyAlignment="1">
      <alignment horizontal="center" vertical="center"/>
    </xf>
    <xf numFmtId="0" fontId="20" fillId="4" borderId="0" xfId="0" applyFont="1" applyFill="1" applyAlignment="1">
      <alignment vertical="center"/>
    </xf>
    <xf numFmtId="165" fontId="20" fillId="4" borderId="0" xfId="3" applyFont="1" applyFill="1" applyAlignment="1">
      <alignment vertical="center"/>
    </xf>
    <xf numFmtId="165" fontId="16" fillId="4" borderId="0" xfId="3" applyFont="1" applyFill="1" applyAlignment="1">
      <alignment vertical="center"/>
    </xf>
    <xf numFmtId="0" fontId="18" fillId="4" borderId="5" xfId="0" applyFont="1" applyFill="1" applyBorder="1" applyAlignment="1">
      <alignment vertical="center"/>
    </xf>
    <xf numFmtId="0" fontId="18" fillId="4" borderId="6" xfId="0" applyFont="1" applyFill="1" applyBorder="1" applyAlignment="1">
      <alignment vertical="center"/>
    </xf>
    <xf numFmtId="165" fontId="18" fillId="4" borderId="6" xfId="3" applyFont="1" applyFill="1" applyBorder="1" applyAlignment="1">
      <alignment vertical="center"/>
    </xf>
    <xf numFmtId="165" fontId="18" fillId="4" borderId="7" xfId="3" applyFont="1" applyFill="1" applyBorder="1" applyAlignment="1">
      <alignment horizontal="right" vertical="center"/>
    </xf>
    <xf numFmtId="165" fontId="18" fillId="4" borderId="4" xfId="3" applyFont="1" applyFill="1" applyBorder="1" applyAlignment="1">
      <alignment horizontal="right" vertical="center"/>
    </xf>
    <xf numFmtId="0" fontId="18" fillId="4" borderId="0" xfId="0" applyFont="1" applyFill="1" applyAlignment="1">
      <alignment vertical="center"/>
    </xf>
    <xf numFmtId="165" fontId="18" fillId="4" borderId="0" xfId="3" applyFont="1" applyFill="1" applyBorder="1" applyAlignment="1">
      <alignment vertical="center"/>
    </xf>
    <xf numFmtId="0" fontId="16" fillId="4" borderId="6" xfId="0" applyFont="1" applyFill="1" applyBorder="1" applyAlignment="1">
      <alignment vertical="center"/>
    </xf>
    <xf numFmtId="165" fontId="18" fillId="0" borderId="2" xfId="3" applyFont="1" applyBorder="1" applyAlignment="1">
      <alignment horizontal="center" vertical="center"/>
    </xf>
    <xf numFmtId="165" fontId="18" fillId="4" borderId="17" xfId="3" applyFont="1" applyFill="1" applyBorder="1" applyAlignment="1">
      <alignment vertical="center"/>
    </xf>
    <xf numFmtId="165" fontId="18" fillId="4" borderId="18" xfId="3" applyFont="1" applyFill="1" applyBorder="1" applyAlignment="1">
      <alignment vertical="center"/>
    </xf>
    <xf numFmtId="2" fontId="0" fillId="0" borderId="1" xfId="0" applyNumberFormat="1" applyBorder="1" applyAlignment="1">
      <alignment horizontal="center"/>
    </xf>
    <xf numFmtId="2" fontId="16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 wrapText="1"/>
    </xf>
    <xf numFmtId="2" fontId="16" fillId="0" borderId="1" xfId="0" applyNumberFormat="1" applyFont="1" applyBorder="1" applyAlignment="1">
      <alignment horizontal="center" wrapText="1"/>
    </xf>
    <xf numFmtId="0" fontId="16" fillId="0" borderId="8" xfId="0" applyFont="1" applyBorder="1" applyAlignment="1">
      <alignment horizontal="center" vertical="center" wrapText="1"/>
    </xf>
    <xf numFmtId="0" fontId="3" fillId="0" borderId="1" xfId="4" applyFont="1" applyBorder="1"/>
    <xf numFmtId="0" fontId="2" fillId="0" borderId="1" xfId="4" applyFont="1" applyBorder="1"/>
    <xf numFmtId="0" fontId="2" fillId="0" borderId="0" xfId="4" applyFont="1"/>
    <xf numFmtId="0" fontId="36" fillId="0" borderId="0" xfId="4" applyFont="1" applyAlignment="1">
      <alignment horizontal="center"/>
    </xf>
    <xf numFmtId="0" fontId="36" fillId="0" borderId="0" xfId="4" applyFont="1" applyAlignment="1">
      <alignment wrapText="1"/>
    </xf>
    <xf numFmtId="20" fontId="36" fillId="0" borderId="0" xfId="4" applyNumberFormat="1" applyFont="1"/>
    <xf numFmtId="165" fontId="15" fillId="0" borderId="0" xfId="3" applyFont="1"/>
    <xf numFmtId="172" fontId="15" fillId="0" borderId="0" xfId="3" applyNumberFormat="1" applyFont="1"/>
    <xf numFmtId="0" fontId="2" fillId="0" borderId="1" xfId="4" applyFont="1" applyBorder="1" applyAlignment="1">
      <alignment wrapText="1"/>
    </xf>
    <xf numFmtId="173" fontId="15" fillId="0" borderId="0" xfId="4" applyNumberFormat="1"/>
    <xf numFmtId="174" fontId="15" fillId="0" borderId="0" xfId="4" applyNumberFormat="1"/>
    <xf numFmtId="2" fontId="15" fillId="0" borderId="0" xfId="4" applyNumberFormat="1"/>
    <xf numFmtId="173" fontId="15" fillId="0" borderId="1" xfId="4" applyNumberFormat="1" applyBorder="1"/>
    <xf numFmtId="0" fontId="2" fillId="0" borderId="1" xfId="4" applyFont="1" applyBorder="1" applyAlignment="1">
      <alignment horizontal="center"/>
    </xf>
    <xf numFmtId="0" fontId="2" fillId="0" borderId="1" xfId="4" applyFont="1" applyBorder="1" applyAlignment="1">
      <alignment horizontal="center" wrapText="1"/>
    </xf>
    <xf numFmtId="4" fontId="0" fillId="0" borderId="0" xfId="0" applyNumberFormat="1"/>
    <xf numFmtId="4" fontId="21" fillId="3" borderId="2" xfId="0" applyNumberFormat="1" applyFont="1" applyFill="1" applyBorder="1" applyAlignment="1">
      <alignment horizontal="center" vertical="center"/>
    </xf>
    <xf numFmtId="2" fontId="21" fillId="3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9" fillId="0" borderId="0" xfId="38" applyFont="1"/>
    <xf numFmtId="165" fontId="0" fillId="0" borderId="0" xfId="3" applyFont="1"/>
    <xf numFmtId="0" fontId="48" fillId="0" borderId="0" xfId="38" applyFont="1"/>
    <xf numFmtId="43" fontId="0" fillId="0" borderId="0" xfId="0" applyNumberFormat="1"/>
    <xf numFmtId="165" fontId="1" fillId="0" borderId="0" xfId="3" applyFont="1"/>
    <xf numFmtId="43" fontId="4" fillId="0" borderId="0" xfId="36" applyNumberFormat="1"/>
    <xf numFmtId="20" fontId="15" fillId="0" borderId="0" xfId="4" applyNumberFormat="1"/>
    <xf numFmtId="0" fontId="51" fillId="0" borderId="0" xfId="4" applyFont="1"/>
    <xf numFmtId="0" fontId="52" fillId="0" borderId="0" xfId="29" applyFont="1"/>
    <xf numFmtId="0" fontId="53" fillId="0" borderId="0" xfId="29" applyFont="1"/>
    <xf numFmtId="0" fontId="52" fillId="0" borderId="51" xfId="29" applyFont="1" applyBorder="1" applyAlignment="1">
      <alignment horizontal="center"/>
    </xf>
    <xf numFmtId="0" fontId="51" fillId="0" borderId="51" xfId="29" applyFont="1" applyBorder="1" applyAlignment="1">
      <alignment horizontal="center"/>
    </xf>
    <xf numFmtId="0" fontId="51" fillId="0" borderId="51" xfId="29" applyFont="1" applyBorder="1" applyAlignment="1">
      <alignment wrapText="1"/>
    </xf>
    <xf numFmtId="165" fontId="51" fillId="0" borderId="51" xfId="29" applyNumberFormat="1" applyFont="1" applyBorder="1"/>
    <xf numFmtId="0" fontId="51" fillId="0" borderId="51" xfId="29" applyFont="1" applyBorder="1"/>
    <xf numFmtId="0" fontId="52" fillId="0" borderId="51" xfId="29" applyFont="1" applyBorder="1"/>
    <xf numFmtId="165" fontId="52" fillId="0" borderId="51" xfId="29" applyNumberFormat="1" applyFont="1" applyBorder="1"/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28" fillId="8" borderId="25" xfId="0" applyFont="1" applyFill="1" applyBorder="1" applyAlignment="1">
      <alignment horizontal="center" vertical="center"/>
    </xf>
    <xf numFmtId="0" fontId="28" fillId="8" borderId="26" xfId="0" applyFont="1" applyFill="1" applyBorder="1" applyAlignment="1">
      <alignment horizontal="center" vertical="center"/>
    </xf>
    <xf numFmtId="0" fontId="28" fillId="8" borderId="27" xfId="0" applyFont="1" applyFill="1" applyBorder="1" applyAlignment="1">
      <alignment horizontal="center" vertical="center"/>
    </xf>
    <xf numFmtId="0" fontId="22" fillId="8" borderId="44" xfId="0" applyFont="1" applyFill="1" applyBorder="1" applyAlignment="1">
      <alignment horizontal="center" vertical="center"/>
    </xf>
    <xf numFmtId="0" fontId="22" fillId="8" borderId="42" xfId="0" applyFont="1" applyFill="1" applyBorder="1" applyAlignment="1">
      <alignment horizontal="center" vertical="center"/>
    </xf>
    <xf numFmtId="0" fontId="22" fillId="8" borderId="45" xfId="0" applyFont="1" applyFill="1" applyBorder="1" applyAlignment="1">
      <alignment horizontal="center" vertical="center"/>
    </xf>
    <xf numFmtId="165" fontId="19" fillId="8" borderId="5" xfId="3" applyFont="1" applyFill="1" applyBorder="1" applyAlignment="1">
      <alignment horizontal="center" vertical="center"/>
    </xf>
    <xf numFmtId="165" fontId="19" fillId="8" borderId="6" xfId="3" applyFont="1" applyFill="1" applyBorder="1" applyAlignment="1">
      <alignment horizontal="center" vertical="center"/>
    </xf>
    <xf numFmtId="165" fontId="19" fillId="8" borderId="7" xfId="3" applyFont="1" applyFill="1" applyBorder="1" applyAlignment="1">
      <alignment horizontal="center" vertical="center"/>
    </xf>
    <xf numFmtId="165" fontId="18" fillId="0" borderId="14" xfId="3" applyFont="1" applyBorder="1" applyAlignment="1">
      <alignment horizontal="left" vertical="center"/>
    </xf>
    <xf numFmtId="165" fontId="18" fillId="0" borderId="9" xfId="3" applyFont="1" applyBorder="1" applyAlignment="1">
      <alignment horizontal="left" vertical="center"/>
    </xf>
    <xf numFmtId="165" fontId="18" fillId="0" borderId="5" xfId="3" applyFont="1" applyBorder="1" applyAlignment="1">
      <alignment horizontal="center" vertical="center"/>
    </xf>
    <xf numFmtId="165" fontId="18" fillId="0" borderId="6" xfId="3" applyFont="1" applyBorder="1" applyAlignment="1">
      <alignment horizontal="center" vertical="center"/>
    </xf>
    <xf numFmtId="165" fontId="18" fillId="0" borderId="43" xfId="3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70" xfId="0" applyFont="1" applyBorder="1" applyAlignment="1">
      <alignment horizontal="center" vertical="center"/>
    </xf>
    <xf numFmtId="0" fontId="28" fillId="8" borderId="21" xfId="0" applyFont="1" applyFill="1" applyBorder="1" applyAlignment="1">
      <alignment horizontal="center" vertical="center"/>
    </xf>
    <xf numFmtId="0" fontId="28" fillId="8" borderId="22" xfId="0" applyFont="1" applyFill="1" applyBorder="1" applyAlignment="1">
      <alignment horizontal="center" vertical="center"/>
    </xf>
    <xf numFmtId="0" fontId="28" fillId="8" borderId="12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9" fontId="22" fillId="0" borderId="21" xfId="2" applyFont="1" applyBorder="1" applyAlignment="1">
      <alignment horizontal="center"/>
    </xf>
    <xf numFmtId="9" fontId="22" fillId="0" borderId="22" xfId="2" applyFont="1" applyBorder="1" applyAlignment="1">
      <alignment horizontal="center"/>
    </xf>
    <xf numFmtId="9" fontId="22" fillId="0" borderId="12" xfId="2" applyFont="1" applyBorder="1" applyAlignment="1">
      <alignment horizontal="center"/>
    </xf>
    <xf numFmtId="0" fontId="19" fillId="10" borderId="25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9" fillId="10" borderId="27" xfId="0" applyFont="1" applyFill="1" applyBorder="1" applyAlignment="1">
      <alignment horizontal="center" vertical="center"/>
    </xf>
    <xf numFmtId="0" fontId="19" fillId="10" borderId="5" xfId="0" applyFont="1" applyFill="1" applyBorder="1" applyAlignment="1">
      <alignment horizontal="center" vertical="center"/>
    </xf>
    <xf numFmtId="0" fontId="19" fillId="10" borderId="6" xfId="0" applyFont="1" applyFill="1" applyBorder="1" applyAlignment="1">
      <alignment horizontal="center" vertical="center"/>
    </xf>
    <xf numFmtId="0" fontId="36" fillId="0" borderId="5" xfId="0" applyFont="1" applyBorder="1" applyAlignment="1">
      <alignment horizontal="center"/>
    </xf>
    <xf numFmtId="0" fontId="36" fillId="0" borderId="6" xfId="0" applyFont="1" applyBorder="1" applyAlignment="1">
      <alignment horizontal="center"/>
    </xf>
    <xf numFmtId="0" fontId="36" fillId="0" borderId="7" xfId="0" applyFont="1" applyBorder="1" applyAlignment="1">
      <alignment horizontal="center"/>
    </xf>
    <xf numFmtId="0" fontId="36" fillId="0" borderId="5" xfId="0" applyFont="1" applyBorder="1" applyAlignment="1">
      <alignment horizontal="center" wrapText="1"/>
    </xf>
    <xf numFmtId="0" fontId="36" fillId="0" borderId="6" xfId="0" applyFont="1" applyBorder="1" applyAlignment="1">
      <alignment horizontal="center" wrapText="1"/>
    </xf>
    <xf numFmtId="0" fontId="36" fillId="0" borderId="7" xfId="0" applyFont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6" fillId="0" borderId="16" xfId="0" applyFont="1" applyBorder="1" applyAlignment="1">
      <alignment horizontal="center"/>
    </xf>
    <xf numFmtId="0" fontId="36" fillId="0" borderId="17" xfId="0" applyFont="1" applyBorder="1" applyAlignment="1">
      <alignment horizontal="center"/>
    </xf>
    <xf numFmtId="0" fontId="36" fillId="0" borderId="18" xfId="0" applyFont="1" applyBorder="1" applyAlignment="1">
      <alignment horizontal="center"/>
    </xf>
    <xf numFmtId="0" fontId="36" fillId="0" borderId="5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3" xfId="0" applyBorder="1" applyAlignment="1">
      <alignment horizontal="center"/>
    </xf>
    <xf numFmtId="0" fontId="36" fillId="0" borderId="19" xfId="0" applyFont="1" applyBorder="1" applyAlignment="1">
      <alignment horizontal="center"/>
    </xf>
    <xf numFmtId="0" fontId="36" fillId="0" borderId="11" xfId="0" applyFont="1" applyBorder="1" applyAlignment="1">
      <alignment horizontal="center"/>
    </xf>
    <xf numFmtId="0" fontId="36" fillId="0" borderId="66" xfId="0" applyFont="1" applyBorder="1" applyAlignment="1">
      <alignment horizontal="center"/>
    </xf>
    <xf numFmtId="2" fontId="0" fillId="0" borderId="21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16" fillId="0" borderId="33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center"/>
    </xf>
    <xf numFmtId="0" fontId="0" fillId="0" borderId="2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8" fillId="0" borderId="56" xfId="0" applyFont="1" applyBorder="1" applyAlignment="1">
      <alignment horizontal="right"/>
    </xf>
    <xf numFmtId="0" fontId="18" fillId="0" borderId="47" xfId="0" applyFont="1" applyBorder="1" applyAlignment="1">
      <alignment horizontal="right"/>
    </xf>
    <xf numFmtId="0" fontId="18" fillId="0" borderId="67" xfId="0" applyFont="1" applyBorder="1" applyAlignment="1">
      <alignment horizontal="right"/>
    </xf>
    <xf numFmtId="2" fontId="4" fillId="0" borderId="63" xfId="37" applyNumberFormat="1" applyBorder="1" applyAlignment="1">
      <alignment horizontal="center"/>
    </xf>
    <xf numFmtId="2" fontId="4" fillId="0" borderId="64" xfId="37" applyNumberFormat="1" applyBorder="1" applyAlignment="1">
      <alignment horizontal="center"/>
    </xf>
    <xf numFmtId="2" fontId="4" fillId="0" borderId="65" xfId="37" applyNumberFormat="1" applyBorder="1" applyAlignment="1">
      <alignment horizontal="center"/>
    </xf>
    <xf numFmtId="0" fontId="18" fillId="0" borderId="16" xfId="0" applyFont="1" applyBorder="1" applyAlignment="1">
      <alignment horizontal="right"/>
    </xf>
    <xf numFmtId="0" fontId="18" fillId="0" borderId="17" xfId="0" applyFont="1" applyBorder="1" applyAlignment="1">
      <alignment horizontal="right"/>
    </xf>
    <xf numFmtId="0" fontId="36" fillId="0" borderId="14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43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40" xfId="0" applyFont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6" fillId="0" borderId="5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2" fontId="0" fillId="0" borderId="59" xfId="0" applyNumberFormat="1" applyBorder="1" applyAlignment="1">
      <alignment horizontal="center" vertical="center"/>
    </xf>
    <xf numFmtId="2" fontId="18" fillId="0" borderId="14" xfId="0" applyNumberFormat="1" applyFont="1" applyBorder="1" applyAlignment="1">
      <alignment horizontal="center"/>
    </xf>
    <xf numFmtId="2" fontId="18" fillId="0" borderId="9" xfId="0" applyNumberFormat="1" applyFont="1" applyBorder="1" applyAlignment="1">
      <alignment horizontal="center"/>
    </xf>
    <xf numFmtId="2" fontId="18" fillId="0" borderId="15" xfId="0" applyNumberFormat="1" applyFont="1" applyBorder="1" applyAlignment="1">
      <alignment horizontal="center"/>
    </xf>
    <xf numFmtId="2" fontId="0" fillId="0" borderId="56" xfId="0" applyNumberFormat="1" applyBorder="1" applyAlignment="1">
      <alignment horizontal="center"/>
    </xf>
    <xf numFmtId="2" fontId="0" fillId="0" borderId="47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57" xfId="0" applyNumberFormat="1" applyBorder="1" applyAlignment="1">
      <alignment horizontal="center"/>
    </xf>
    <xf numFmtId="0" fontId="36" fillId="0" borderId="23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62" xfId="0" applyFont="1" applyBorder="1" applyAlignment="1">
      <alignment horizontal="center" vertical="center" wrapText="1"/>
    </xf>
    <xf numFmtId="0" fontId="36" fillId="0" borderId="69" xfId="0" applyFont="1" applyBorder="1" applyAlignment="1">
      <alignment horizontal="center" vertical="center" wrapText="1"/>
    </xf>
    <xf numFmtId="0" fontId="36" fillId="0" borderId="6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8" fillId="0" borderId="40" xfId="0" applyFont="1" applyBorder="1" applyAlignment="1">
      <alignment horizontal="right"/>
    </xf>
    <xf numFmtId="0" fontId="18" fillId="0" borderId="41" xfId="0" applyFont="1" applyBorder="1" applyAlignment="1">
      <alignment horizontal="right"/>
    </xf>
    <xf numFmtId="0" fontId="18" fillId="0" borderId="58" xfId="0" applyFont="1" applyBorder="1" applyAlignment="1">
      <alignment horizontal="right"/>
    </xf>
  </cellXfs>
  <cellStyles count="39">
    <cellStyle name="Hiperlink" xfId="1" builtinId="8"/>
    <cellStyle name="Moeda 2" xfId="5" xr:uid="{00000000-0005-0000-0000-000001000000}"/>
    <cellStyle name="Moeda 3" xfId="13" xr:uid="{00000000-0005-0000-0000-000002000000}"/>
    <cellStyle name="Normal" xfId="0" builtinId="0"/>
    <cellStyle name="Normal 10" xfId="25" xr:uid="{00000000-0005-0000-0000-000004000000}"/>
    <cellStyle name="Normal 11" xfId="27" xr:uid="{00000000-0005-0000-0000-000005000000}"/>
    <cellStyle name="Normal 12" xfId="29" xr:uid="{00000000-0005-0000-0000-000006000000}"/>
    <cellStyle name="Normal 15" xfId="38" xr:uid="{00000000-0005-0000-0000-000007000000}"/>
    <cellStyle name="Normal 2" xfId="4" xr:uid="{00000000-0005-0000-0000-000008000000}"/>
    <cellStyle name="Normal 2 2" xfId="14" xr:uid="{00000000-0005-0000-0000-000009000000}"/>
    <cellStyle name="Normal 24" xfId="32" xr:uid="{00000000-0005-0000-0000-00000A000000}"/>
    <cellStyle name="Normal 24 2" xfId="35" xr:uid="{00000000-0005-0000-0000-00000B000000}"/>
    <cellStyle name="Normal 24 2 2" xfId="37" xr:uid="{00000000-0005-0000-0000-00000C000000}"/>
    <cellStyle name="Normal 24 3" xfId="36" xr:uid="{00000000-0005-0000-0000-00000D000000}"/>
    <cellStyle name="Normal 3" xfId="6" xr:uid="{00000000-0005-0000-0000-00000E000000}"/>
    <cellStyle name="Normal 4" xfId="12" xr:uid="{00000000-0005-0000-0000-00000F000000}"/>
    <cellStyle name="Normal 5" xfId="15" xr:uid="{00000000-0005-0000-0000-000010000000}"/>
    <cellStyle name="Normal 6" xfId="17" xr:uid="{00000000-0005-0000-0000-000011000000}"/>
    <cellStyle name="Normal 6 2" xfId="33" xr:uid="{00000000-0005-0000-0000-000012000000}"/>
    <cellStyle name="Normal 7" xfId="19" xr:uid="{00000000-0005-0000-0000-000013000000}"/>
    <cellStyle name="Normal 8" xfId="21" xr:uid="{00000000-0005-0000-0000-000014000000}"/>
    <cellStyle name="Normal 9" xfId="23" xr:uid="{00000000-0005-0000-0000-000015000000}"/>
    <cellStyle name="Porcentagem" xfId="2" builtinId="5"/>
    <cellStyle name="Porcentagem 2" xfId="7" xr:uid="{00000000-0005-0000-0000-000017000000}"/>
    <cellStyle name="Porcentagem 3" xfId="8" xr:uid="{00000000-0005-0000-0000-000018000000}"/>
    <cellStyle name="Porcentagem 4" xfId="31" xr:uid="{00000000-0005-0000-0000-000019000000}"/>
    <cellStyle name="Separador de milhares 10" xfId="28" xr:uid="{00000000-0005-0000-0000-00001A000000}"/>
    <cellStyle name="Separador de milhares 2" xfId="9" xr:uid="{00000000-0005-0000-0000-00001B000000}"/>
    <cellStyle name="Separador de milhares 3" xfId="10" xr:uid="{00000000-0005-0000-0000-00001C000000}"/>
    <cellStyle name="Separador de milhares 4" xfId="16" xr:uid="{00000000-0005-0000-0000-00001D000000}"/>
    <cellStyle name="Separador de milhares 5" xfId="18" xr:uid="{00000000-0005-0000-0000-00001E000000}"/>
    <cellStyle name="Separador de milhares 5 2" xfId="34" xr:uid="{00000000-0005-0000-0000-00001F000000}"/>
    <cellStyle name="Separador de milhares 6" xfId="20" xr:uid="{00000000-0005-0000-0000-000020000000}"/>
    <cellStyle name="Separador de milhares 7" xfId="22" xr:uid="{00000000-0005-0000-0000-000021000000}"/>
    <cellStyle name="Separador de milhares 8" xfId="24" xr:uid="{00000000-0005-0000-0000-000022000000}"/>
    <cellStyle name="Separador de milhares 9" xfId="26" xr:uid="{00000000-0005-0000-0000-000023000000}"/>
    <cellStyle name="Vírgula" xfId="3" builtinId="3"/>
    <cellStyle name="Vírgula 2" xfId="11" xr:uid="{00000000-0005-0000-0000-000025000000}"/>
    <cellStyle name="Vírgula 3" xfId="30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s\Downloads\Planilha%20de%20Custo%20de%20Coleta%20de%20Res&#237;duos%20de%20S&#227;o%20Marcos%20-%2028%2003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s\Desktop\2024\Maximiliano%20de%20Almeida\Res&#237;duos%20S&#243;lidos\Planilha%20de%20Custo%20de%20Coleta%20de%20Res&#237;duos%20S&#243;lidos%20Domiciliares%20Maximiliano%20de%20Almeida%2005%20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1. Coleta Orgânica e Seletiva"/>
      <sheetName val="2.Encargos Sociais"/>
      <sheetName val="3.BDI"/>
      <sheetName val="4. Depreciação"/>
      <sheetName val="5.Roteiros"/>
      <sheetName val="6.Horários"/>
    </sheetNames>
    <sheetDataSet>
      <sheetData sheetId="0"/>
      <sheetData sheetId="1"/>
      <sheetData sheetId="2"/>
      <sheetData sheetId="3"/>
      <sheetData sheetId="4">
        <row r="1">
          <cell r="A1" t="str">
            <v xml:space="preserve"> Depreciação Referencial TCE/RS (%)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1. Coleta Orgânica e Selet"/>
      <sheetName val="2. Destino Final"/>
      <sheetName val="3.Enc Sociais"/>
      <sheetName val="4.BDI"/>
      <sheetName val="4.1.BDI Aterro"/>
      <sheetName val="5. Ton"/>
      <sheetName val="6. Roteiros"/>
      <sheetName val="7. Horários"/>
      <sheetName val="8 Depr"/>
      <sheetName val="9. Rem capital"/>
      <sheetName val="10. Dime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Depreciação Referencial TCE/RS (%)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77"/>
  <sheetViews>
    <sheetView tabSelected="1" zoomScale="130" zoomScaleNormal="130" workbookViewId="0"/>
  </sheetViews>
  <sheetFormatPr defaultColWidth="12.5703125" defaultRowHeight="15" customHeight="1" x14ac:dyDescent="0.2"/>
  <cols>
    <col min="1" max="1" width="10.5703125" style="255" customWidth="1"/>
    <col min="2" max="2" width="34.28515625" style="255" customWidth="1"/>
    <col min="3" max="3" width="20.7109375" style="255" customWidth="1"/>
    <col min="4" max="6" width="10.42578125" style="255" customWidth="1"/>
    <col min="7" max="21" width="8.5703125" style="255" customWidth="1"/>
    <col min="22" max="16384" width="12.5703125" style="255"/>
  </cols>
  <sheetData>
    <row r="1" spans="1:6" ht="18" customHeight="1" x14ac:dyDescent="0.2">
      <c r="A1" s="256" t="s">
        <v>383</v>
      </c>
    </row>
    <row r="2" spans="1:6" ht="16.5" customHeight="1" x14ac:dyDescent="0.25">
      <c r="A2" s="450" t="s">
        <v>269</v>
      </c>
      <c r="B2" s="451"/>
      <c r="C2" s="451"/>
    </row>
    <row r="3" spans="1:6" ht="16.5" customHeight="1" x14ac:dyDescent="0.25">
      <c r="A3" s="452" t="s">
        <v>223</v>
      </c>
      <c r="B3" s="452" t="s">
        <v>453</v>
      </c>
      <c r="C3" s="452" t="s">
        <v>270</v>
      </c>
    </row>
    <row r="4" spans="1:6" ht="20.25" customHeight="1" x14ac:dyDescent="0.2">
      <c r="A4" s="453">
        <v>1</v>
      </c>
      <c r="B4" s="454" t="s">
        <v>272</v>
      </c>
      <c r="C4" s="455">
        <f>'1. Coleta Orgânica e Seletiva'!F254</f>
        <v>198407.22486271744</v>
      </c>
    </row>
    <row r="5" spans="1:6" ht="20.25" customHeight="1" x14ac:dyDescent="0.2">
      <c r="A5" s="453">
        <v>2</v>
      </c>
      <c r="B5" s="454" t="s">
        <v>470</v>
      </c>
      <c r="C5" s="455">
        <f>'2 Área de Transbordo'!F144</f>
        <v>19321.480121943998</v>
      </c>
      <c r="F5" s="258"/>
    </row>
    <row r="6" spans="1:6" ht="27.75" customHeight="1" x14ac:dyDescent="0.2">
      <c r="A6" s="453">
        <v>3</v>
      </c>
      <c r="B6" s="454" t="s">
        <v>452</v>
      </c>
      <c r="C6" s="455">
        <f>'3. Contentores'!F36</f>
        <v>4813.7325600000004</v>
      </c>
    </row>
    <row r="7" spans="1:6" ht="12.75" customHeight="1" x14ac:dyDescent="0.2">
      <c r="A7" s="453"/>
      <c r="B7" s="456"/>
      <c r="C7" s="455"/>
    </row>
    <row r="8" spans="1:6" ht="17.25" customHeight="1" x14ac:dyDescent="0.25">
      <c r="A8" s="457" t="s">
        <v>271</v>
      </c>
      <c r="B8" s="457"/>
      <c r="C8" s="458">
        <f>SUM(C4:C7)</f>
        <v>222542.43754466143</v>
      </c>
      <c r="D8" s="257"/>
      <c r="E8" s="257"/>
      <c r="F8" s="257"/>
    </row>
    <row r="9" spans="1:6" ht="12.75" customHeight="1" x14ac:dyDescent="0.2">
      <c r="A9" s="456"/>
      <c r="B9" s="456"/>
      <c r="C9" s="456"/>
    </row>
    <row r="10" spans="1:6" ht="12.75" customHeight="1" x14ac:dyDescent="0.2"/>
    <row r="11" spans="1:6" ht="18.75" customHeight="1" x14ac:dyDescent="0.25">
      <c r="A11" s="442" t="s">
        <v>458</v>
      </c>
      <c r="B11"/>
      <c r="C11"/>
      <c r="D11" s="443"/>
      <c r="E11"/>
    </row>
    <row r="12" spans="1:6" ht="12.75" customHeight="1" x14ac:dyDescent="0.2">
      <c r="A12" s="444"/>
      <c r="B12"/>
      <c r="C12"/>
      <c r="D12" s="445"/>
      <c r="E12"/>
    </row>
    <row r="13" spans="1:6" ht="12.75" customHeight="1" x14ac:dyDescent="0.2">
      <c r="A13" s="444"/>
      <c r="B13"/>
      <c r="C13"/>
      <c r="D13" s="445"/>
      <c r="E13"/>
    </row>
    <row r="14" spans="1:6" ht="15" customHeight="1" x14ac:dyDescent="0.2">
      <c r="A14" s="444"/>
      <c r="B14"/>
      <c r="C14"/>
      <c r="D14" s="445"/>
      <c r="E14"/>
    </row>
    <row r="15" spans="1:6" ht="12.75" customHeight="1" x14ac:dyDescent="0.2">
      <c r="A15" s="444"/>
      <c r="B15"/>
      <c r="C15"/>
      <c r="D15"/>
      <c r="E15"/>
    </row>
    <row r="16" spans="1:6" ht="12.75" customHeight="1" x14ac:dyDescent="0.2">
      <c r="A16" s="444"/>
      <c r="B16"/>
      <c r="C16"/>
      <c r="D16" s="445"/>
      <c r="E16"/>
    </row>
    <row r="17" spans="1:5" ht="12.75" customHeight="1" x14ac:dyDescent="0.25">
      <c r="A17" s="442"/>
      <c r="B17"/>
      <c r="C17"/>
      <c r="D17"/>
      <c r="E17"/>
    </row>
    <row r="18" spans="1:5" ht="12.75" customHeight="1" x14ac:dyDescent="0.2"/>
    <row r="19" spans="1:5" ht="12.75" customHeight="1" x14ac:dyDescent="0.2">
      <c r="C19" s="258"/>
    </row>
    <row r="20" spans="1:5" ht="12.75" customHeight="1" x14ac:dyDescent="0.2">
      <c r="C20" s="258"/>
    </row>
    <row r="21" spans="1:5" ht="12.75" customHeight="1" x14ac:dyDescent="0.2"/>
    <row r="22" spans="1:5" ht="12.75" customHeight="1" x14ac:dyDescent="0.2"/>
    <row r="23" spans="1:5" ht="12.75" customHeight="1" x14ac:dyDescent="0.2"/>
    <row r="24" spans="1:5" ht="12.75" customHeight="1" x14ac:dyDescent="0.2"/>
    <row r="25" spans="1:5" ht="12.75" customHeight="1" x14ac:dyDescent="0.2"/>
    <row r="26" spans="1:5" ht="12.75" customHeight="1" x14ac:dyDescent="0.2"/>
    <row r="27" spans="1:5" ht="12.75" customHeight="1" x14ac:dyDescent="0.2"/>
    <row r="28" spans="1:5" ht="12.75" customHeight="1" x14ac:dyDescent="0.2"/>
    <row r="29" spans="1:5" ht="12.75" customHeight="1" x14ac:dyDescent="0.2"/>
    <row r="30" spans="1:5" ht="12.75" customHeight="1" x14ac:dyDescent="0.2"/>
    <row r="31" spans="1:5" ht="12.75" customHeight="1" x14ac:dyDescent="0.2"/>
    <row r="32" spans="1:5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</sheetData>
  <pageMargins left="0.511811024" right="0.511811024" top="0.78740157499999996" bottom="0.78740157499999996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89"/>
  <sheetViews>
    <sheetView topLeftCell="A105" zoomScale="130" zoomScaleNormal="130" zoomScaleSheetLayoutView="100" workbookViewId="0"/>
  </sheetViews>
  <sheetFormatPr defaultColWidth="9.140625" defaultRowHeight="12.75" x14ac:dyDescent="0.2"/>
  <cols>
    <col min="1" max="1" width="44.5703125" style="9" customWidth="1"/>
    <col min="2" max="2" width="16" style="9" bestFit="1" customWidth="1"/>
    <col min="3" max="3" width="13" style="9" customWidth="1"/>
    <col min="4" max="4" width="14.7109375" style="10" customWidth="1"/>
    <col min="5" max="5" width="15.42578125" style="10" customWidth="1"/>
    <col min="6" max="6" width="14.7109375" style="10" customWidth="1"/>
    <col min="7" max="7" width="12.85546875" style="9" customWidth="1"/>
    <col min="8" max="8" width="9.42578125" style="9" bestFit="1" customWidth="1"/>
    <col min="9" max="16384" width="9.140625" style="9"/>
  </cols>
  <sheetData>
    <row r="1" spans="1:6" hidden="1" x14ac:dyDescent="0.2">
      <c r="A1" s="11" t="s">
        <v>167</v>
      </c>
    </row>
    <row r="2" spans="1:6" hidden="1" x14ac:dyDescent="0.2">
      <c r="A2" s="115" t="s">
        <v>187</v>
      </c>
    </row>
    <row r="3" spans="1:6" s="4" customFormat="1" ht="15.6" hidden="1" customHeight="1" x14ac:dyDescent="0.2">
      <c r="A3" s="9" t="s">
        <v>168</v>
      </c>
      <c r="C3" s="5"/>
      <c r="D3" s="5"/>
      <c r="E3" s="5"/>
      <c r="F3" s="5"/>
    </row>
    <row r="4" spans="1:6" s="4" customFormat="1" ht="15.6" hidden="1" customHeight="1" x14ac:dyDescent="0.2">
      <c r="A4" s="115" t="s">
        <v>169</v>
      </c>
      <c r="B4" s="5"/>
      <c r="C4" s="5"/>
      <c r="D4" s="5"/>
      <c r="E4" s="5"/>
      <c r="F4" s="5"/>
    </row>
    <row r="5" spans="1:6" s="4" customFormat="1" ht="16.5" customHeight="1" thickBot="1" x14ac:dyDescent="0.25">
      <c r="A5" s="308" t="s">
        <v>382</v>
      </c>
      <c r="B5" s="5"/>
      <c r="C5" s="5"/>
      <c r="D5" s="6"/>
      <c r="E5" s="6"/>
      <c r="F5" s="6"/>
    </row>
    <row r="6" spans="1:6" s="8" customFormat="1" ht="18" x14ac:dyDescent="0.2">
      <c r="A6" s="461" t="s">
        <v>264</v>
      </c>
      <c r="B6" s="462"/>
      <c r="C6" s="462"/>
      <c r="D6" s="462"/>
      <c r="E6" s="462"/>
      <c r="F6" s="463"/>
    </row>
    <row r="7" spans="1:6" s="8" customFormat="1" ht="21.75" customHeight="1" x14ac:dyDescent="0.2">
      <c r="A7" s="464" t="s">
        <v>35</v>
      </c>
      <c r="B7" s="465"/>
      <c r="C7" s="465"/>
      <c r="D7" s="465"/>
      <c r="E7" s="465"/>
      <c r="F7" s="466"/>
    </row>
    <row r="8" spans="1:6" s="4" customFormat="1" ht="10.9" customHeight="1" thickBot="1" x14ac:dyDescent="0.25">
      <c r="A8" s="124"/>
      <c r="B8" s="5"/>
      <c r="C8" s="5"/>
      <c r="D8" s="125"/>
      <c r="E8" s="125"/>
      <c r="F8" s="126"/>
    </row>
    <row r="9" spans="1:6" s="4" customFormat="1" ht="15.75" customHeight="1" thickBot="1" x14ac:dyDescent="0.25">
      <c r="A9" s="467" t="s">
        <v>166</v>
      </c>
      <c r="B9" s="468"/>
      <c r="C9" s="468"/>
      <c r="D9" s="468"/>
      <c r="E9" s="468"/>
      <c r="F9" s="469"/>
    </row>
    <row r="10" spans="1:6" s="4" customFormat="1" ht="15.75" customHeight="1" x14ac:dyDescent="0.2">
      <c r="A10" s="59" t="s">
        <v>165</v>
      </c>
      <c r="B10" s="39"/>
      <c r="C10" s="39"/>
      <c r="D10" s="201"/>
      <c r="E10" s="96" t="s">
        <v>30</v>
      </c>
      <c r="F10" s="40" t="s">
        <v>1</v>
      </c>
    </row>
    <row r="11" spans="1:6" s="11" customFormat="1" ht="15.75" customHeight="1" x14ac:dyDescent="0.2">
      <c r="A11" s="104" t="str">
        <f>A47</f>
        <v>1. Mão-de-obra</v>
      </c>
      <c r="B11" s="105"/>
      <c r="C11" s="106"/>
      <c r="D11" s="106"/>
      <c r="E11" s="198">
        <f>+F104</f>
        <v>69022.588755794335</v>
      </c>
      <c r="F11" s="107">
        <f t="shared" ref="F11:F31" si="0">IFERROR(E11/$E$32,0)</f>
        <v>0.34788344428259943</v>
      </c>
    </row>
    <row r="12" spans="1:6" s="4" customFormat="1" ht="15.75" customHeight="1" x14ac:dyDescent="0.2">
      <c r="A12" s="48" t="str">
        <f>A48</f>
        <v>1.1. Coletor Turno Dia</v>
      </c>
      <c r="B12" s="44"/>
      <c r="C12" s="46"/>
      <c r="D12" s="46"/>
      <c r="E12" s="199">
        <f>F56</f>
        <v>34287.541507951428</v>
      </c>
      <c r="F12" s="53">
        <f t="shared" si="0"/>
        <v>0.17281397656600345</v>
      </c>
    </row>
    <row r="13" spans="1:6" s="4" customFormat="1" ht="13.5" customHeight="1" x14ac:dyDescent="0.2">
      <c r="A13" s="48" t="str">
        <f>A58</f>
        <v>1.2. Motorista Turno do Dia</v>
      </c>
      <c r="B13" s="44"/>
      <c r="C13" s="46"/>
      <c r="D13" s="46"/>
      <c r="E13" s="199">
        <f>F68</f>
        <v>22596.268138751992</v>
      </c>
      <c r="F13" s="53">
        <f t="shared" si="0"/>
        <v>0.11388833322167009</v>
      </c>
    </row>
    <row r="14" spans="1:6" s="4" customFormat="1" ht="15" customHeight="1" x14ac:dyDescent="0.2">
      <c r="A14" s="48" t="str">
        <f>A70</f>
        <v>1.3. Supervisor Administrativo (Encarregado)</v>
      </c>
      <c r="B14" s="44"/>
      <c r="C14" s="46"/>
      <c r="D14" s="46"/>
      <c r="E14" s="199">
        <f>F77</f>
        <v>4634.28</v>
      </c>
      <c r="F14" s="53">
        <f t="shared" si="0"/>
        <v>2.3357415553826557E-2</v>
      </c>
    </row>
    <row r="15" spans="1:6" s="4" customFormat="1" ht="15.75" customHeight="1" x14ac:dyDescent="0.2">
      <c r="A15" s="48" t="str">
        <f>A79</f>
        <v>1.4. Vale Transporte</v>
      </c>
      <c r="B15" s="44"/>
      <c r="C15" s="46"/>
      <c r="D15" s="46"/>
      <c r="E15" s="199">
        <f>F85</f>
        <v>519.88319999999999</v>
      </c>
      <c r="F15" s="53">
        <f t="shared" si="0"/>
        <v>2.620283612956732E-3</v>
      </c>
    </row>
    <row r="16" spans="1:6" s="4" customFormat="1" ht="15.75" customHeight="1" x14ac:dyDescent="0.2">
      <c r="A16" s="48" t="str">
        <f>A87</f>
        <v xml:space="preserve">1.5. Vale Alimentação </v>
      </c>
      <c r="B16" s="44"/>
      <c r="C16" s="46"/>
      <c r="D16" s="46"/>
      <c r="E16" s="199">
        <f>F92</f>
        <v>6691.8150000000014</v>
      </c>
      <c r="F16" s="53">
        <f t="shared" si="0"/>
        <v>3.3727678035062603E-2</v>
      </c>
    </row>
    <row r="17" spans="1:6" s="4" customFormat="1" ht="15.75" customHeight="1" x14ac:dyDescent="0.2">
      <c r="A17" s="48" t="str">
        <f>A94</f>
        <v xml:space="preserve">1.6. Seguro de vida </v>
      </c>
      <c r="B17" s="44"/>
      <c r="C17" s="46"/>
      <c r="D17" s="46"/>
      <c r="E17" s="199">
        <f>F97</f>
        <v>100.00090909090909</v>
      </c>
      <c r="F17" s="53">
        <f t="shared" si="0"/>
        <v>5.0401848602086967E-4</v>
      </c>
    </row>
    <row r="18" spans="1:6" s="4" customFormat="1" x14ac:dyDescent="0.2">
      <c r="A18" s="48" t="str">
        <f>A99</f>
        <v>1.7. Plano de benefício Social</v>
      </c>
      <c r="B18" s="44"/>
      <c r="C18" s="46"/>
      <c r="D18" s="46"/>
      <c r="E18" s="199">
        <f>F102</f>
        <v>192.8</v>
      </c>
      <c r="F18" s="53">
        <f t="shared" si="0"/>
        <v>9.7173880705908166E-4</v>
      </c>
    </row>
    <row r="19" spans="1:6" s="11" customFormat="1" ht="15.75" customHeight="1" x14ac:dyDescent="0.2">
      <c r="A19" s="470" t="str">
        <f>A106</f>
        <v>2. Uniformes e Equipamentos de Proteção Individual</v>
      </c>
      <c r="B19" s="471"/>
      <c r="C19" s="471"/>
      <c r="D19" s="106"/>
      <c r="E19" s="198">
        <f>+F137</f>
        <v>1482.0292363636365</v>
      </c>
      <c r="F19" s="107">
        <f t="shared" si="0"/>
        <v>7.4696334137483496E-3</v>
      </c>
    </row>
    <row r="20" spans="1:6" s="11" customFormat="1" ht="15.75" customHeight="1" x14ac:dyDescent="0.2">
      <c r="A20" s="340" t="str">
        <f>A139</f>
        <v>3. Veículos e Equipamentos</v>
      </c>
      <c r="B20" s="114"/>
      <c r="C20" s="106"/>
      <c r="D20" s="106"/>
      <c r="E20" s="198">
        <f>+F214</f>
        <v>81144.741192765214</v>
      </c>
      <c r="F20" s="107">
        <f t="shared" si="0"/>
        <v>0.40898077803825511</v>
      </c>
    </row>
    <row r="21" spans="1:6" s="4" customFormat="1" ht="15.75" customHeight="1" x14ac:dyDescent="0.2">
      <c r="A21" s="60" t="str">
        <f>A140</f>
        <v>3.1. Veículo Coletor Compactador .... m³</v>
      </c>
      <c r="B21" s="45"/>
      <c r="C21" s="46"/>
      <c r="D21" s="46"/>
      <c r="E21" s="199">
        <f>SUM(E22:E27)</f>
        <v>81144.741192765214</v>
      </c>
      <c r="F21" s="119">
        <f t="shared" si="0"/>
        <v>0.40898077803825511</v>
      </c>
    </row>
    <row r="22" spans="1:6" s="4" customFormat="1" ht="15.75" customHeight="1" x14ac:dyDescent="0.2">
      <c r="A22" s="60" t="str">
        <f>A141</f>
        <v>3.1.1. Depreciação</v>
      </c>
      <c r="B22" s="45"/>
      <c r="C22" s="46"/>
      <c r="D22" s="46"/>
      <c r="E22" s="199">
        <f>F156</f>
        <v>22272.202472727269</v>
      </c>
      <c r="F22" s="119">
        <f t="shared" si="0"/>
        <v>0.11225499720656806</v>
      </c>
    </row>
    <row r="23" spans="1:6" s="4" customFormat="1" ht="15.75" customHeight="1" x14ac:dyDescent="0.2">
      <c r="A23" s="60" t="str">
        <f>A158</f>
        <v>3.1.2. Remuneração do Capital</v>
      </c>
      <c r="B23" s="45"/>
      <c r="C23" s="46"/>
      <c r="D23" s="46"/>
      <c r="E23" s="199">
        <f>F172</f>
        <v>18654.889588363636</v>
      </c>
      <c r="F23" s="119">
        <f t="shared" si="0"/>
        <v>9.402323731543237E-2</v>
      </c>
    </row>
    <row r="24" spans="1:6" s="4" customFormat="1" ht="15.75" customHeight="1" x14ac:dyDescent="0.2">
      <c r="A24" s="60" t="str">
        <f>A174</f>
        <v>3.1.3. Impostos e Seguros</v>
      </c>
      <c r="B24" s="45"/>
      <c r="C24" s="46"/>
      <c r="D24" s="46"/>
      <c r="E24" s="199">
        <f>F180</f>
        <v>2701.4778919999999</v>
      </c>
      <c r="F24" s="119">
        <f t="shared" si="0"/>
        <v>1.3615824191226982E-2</v>
      </c>
    </row>
    <row r="25" spans="1:6" s="4" customFormat="1" ht="15.75" customHeight="1" x14ac:dyDescent="0.2">
      <c r="A25" s="60" t="str">
        <f>A182</f>
        <v>3.1.4. Consumos</v>
      </c>
      <c r="B25" s="45"/>
      <c r="C25" s="46"/>
      <c r="D25" s="46"/>
      <c r="E25" s="199">
        <f>F200</f>
        <v>26470.190220971312</v>
      </c>
      <c r="F25" s="119">
        <f t="shared" si="0"/>
        <v>0.13341343914913709</v>
      </c>
    </row>
    <row r="26" spans="1:6" s="4" customFormat="1" ht="15.75" customHeight="1" x14ac:dyDescent="0.2">
      <c r="A26" s="60" t="str">
        <f>A201</f>
        <v>3.1.5. Manutenção</v>
      </c>
      <c r="B26" s="45"/>
      <c r="C26" s="46"/>
      <c r="D26" s="46"/>
      <c r="E26" s="199">
        <f>F204</f>
        <v>8305.2488862428581</v>
      </c>
      <c r="F26" s="119">
        <f t="shared" si="0"/>
        <v>4.1859609154804987E-2</v>
      </c>
    </row>
    <row r="27" spans="1:6" s="4" customFormat="1" ht="15.75" customHeight="1" x14ac:dyDescent="0.2">
      <c r="A27" s="60" t="str">
        <f>A205</f>
        <v>3.1.6. Pneus</v>
      </c>
      <c r="B27" s="45"/>
      <c r="C27" s="46"/>
      <c r="D27" s="46"/>
      <c r="E27" s="199">
        <f>F212</f>
        <v>2740.7321324601435</v>
      </c>
      <c r="F27" s="119">
        <f t="shared" si="0"/>
        <v>1.3813671021085647E-2</v>
      </c>
    </row>
    <row r="28" spans="1:6" s="11" customFormat="1" ht="15.75" customHeight="1" x14ac:dyDescent="0.2">
      <c r="A28" s="340" t="str">
        <f>A216</f>
        <v>4. Ferramentas e Materiais de Consumo</v>
      </c>
      <c r="B28" s="114"/>
      <c r="C28" s="106"/>
      <c r="D28" s="106"/>
      <c r="E28" s="198">
        <f>+F226</f>
        <v>303.33333333333337</v>
      </c>
      <c r="F28" s="107">
        <f t="shared" si="0"/>
        <v>1.5288421756980712E-3</v>
      </c>
    </row>
    <row r="29" spans="1:6" s="11" customFormat="1" ht="15.75" customHeight="1" x14ac:dyDescent="0.2">
      <c r="A29" s="340" t="str">
        <f>A228</f>
        <v>5. Administração Local</v>
      </c>
      <c r="B29" s="114"/>
      <c r="C29" s="106"/>
      <c r="D29" s="106"/>
      <c r="E29" s="198">
        <f>+F233</f>
        <v>5900</v>
      </c>
      <c r="F29" s="107">
        <f t="shared" si="0"/>
        <v>2.9736820340500941E-2</v>
      </c>
    </row>
    <row r="30" spans="1:6" s="11" customFormat="1" x14ac:dyDescent="0.2">
      <c r="A30" s="340" t="str">
        <f>A235</f>
        <v>6. Monitoramento da Frota</v>
      </c>
      <c r="B30" s="114"/>
      <c r="C30" s="106"/>
      <c r="D30" s="106"/>
      <c r="E30" s="245">
        <f>F243</f>
        <v>140.00127272727272</v>
      </c>
      <c r="F30" s="107">
        <f t="shared" si="0"/>
        <v>7.0562588042921747E-4</v>
      </c>
    </row>
    <row r="31" spans="1:6" s="11" customFormat="1" ht="15.75" customHeight="1" thickBot="1" x14ac:dyDescent="0.25">
      <c r="A31" s="340" t="str">
        <f>A247</f>
        <v>7. Benefícios e Despesas Indiretas - BDI</v>
      </c>
      <c r="B31" s="114"/>
      <c r="C31" s="106"/>
      <c r="D31" s="106"/>
      <c r="E31" s="200">
        <f>+F252</f>
        <v>40414.531071733654</v>
      </c>
      <c r="F31" s="107">
        <f t="shared" si="0"/>
        <v>0.20369485586876893</v>
      </c>
    </row>
    <row r="32" spans="1:6" s="4" customFormat="1" ht="15.75" customHeight="1" thickBot="1" x14ac:dyDescent="0.25">
      <c r="A32" s="41" t="s">
        <v>191</v>
      </c>
      <c r="B32" s="42"/>
      <c r="C32" s="26"/>
      <c r="D32" s="26"/>
      <c r="E32" s="95">
        <f>E11+E19+E20+E28+E29+E31+E30</f>
        <v>198407.22486271744</v>
      </c>
      <c r="F32" s="118">
        <f>F11+F19+F20+F28+F29+F31+F30</f>
        <v>1</v>
      </c>
    </row>
    <row r="34" spans="1:6" ht="13.5" thickBot="1" x14ac:dyDescent="0.25">
      <c r="F34" s="251"/>
    </row>
    <row r="35" spans="1:6" s="4" customFormat="1" ht="15" customHeight="1" thickBot="1" x14ac:dyDescent="0.25">
      <c r="A35" s="467" t="s">
        <v>84</v>
      </c>
      <c r="B35" s="468"/>
      <c r="C35" s="468"/>
      <c r="D35" s="468"/>
      <c r="E35" s="469"/>
      <c r="F35" s="10"/>
    </row>
    <row r="36" spans="1:6" s="4" customFormat="1" ht="15" customHeight="1" thickBot="1" x14ac:dyDescent="0.25">
      <c r="A36" s="472" t="s">
        <v>31</v>
      </c>
      <c r="B36" s="473"/>
      <c r="C36" s="473"/>
      <c r="D36" s="474"/>
      <c r="E36" s="47" t="s">
        <v>32</v>
      </c>
      <c r="F36" s="10"/>
    </row>
    <row r="37" spans="1:6" s="4" customFormat="1" ht="15" customHeight="1" x14ac:dyDescent="0.2">
      <c r="A37" s="68" t="str">
        <f>+A48</f>
        <v>1.1. Coletor Turno Dia</v>
      </c>
      <c r="B37" s="69"/>
      <c r="C37" s="69"/>
      <c r="D37" s="70"/>
      <c r="E37" s="71">
        <v>8</v>
      </c>
      <c r="F37" s="10"/>
    </row>
    <row r="38" spans="1:6" s="4" customFormat="1" ht="15" customHeight="1" x14ac:dyDescent="0.2">
      <c r="A38" s="62" t="str">
        <f>+A58</f>
        <v>1.2. Motorista Turno do Dia</v>
      </c>
      <c r="B38" s="61"/>
      <c r="C38" s="61"/>
      <c r="D38" s="72"/>
      <c r="E38" s="65">
        <v>4</v>
      </c>
      <c r="F38" s="10"/>
    </row>
    <row r="39" spans="1:6" s="4" customFormat="1" x14ac:dyDescent="0.2">
      <c r="A39" s="62" t="str">
        <f>+A70</f>
        <v>1.3. Supervisor Administrativo (Encarregado)</v>
      </c>
      <c r="B39" s="61"/>
      <c r="C39" s="61"/>
      <c r="D39" s="72"/>
      <c r="E39" s="65">
        <f>C76</f>
        <v>1</v>
      </c>
      <c r="F39" s="10"/>
    </row>
    <row r="40" spans="1:6" s="4" customFormat="1" ht="15" customHeight="1" thickBot="1" x14ac:dyDescent="0.25">
      <c r="A40" s="66" t="s">
        <v>51</v>
      </c>
      <c r="B40" s="67"/>
      <c r="C40" s="67"/>
      <c r="D40" s="73"/>
      <c r="E40" s="74">
        <f>SUM(E37:E39)</f>
        <v>13</v>
      </c>
      <c r="F40" s="10"/>
    </row>
    <row r="41" spans="1:6" s="4" customFormat="1" ht="15" customHeight="1" thickBot="1" x14ac:dyDescent="0.25">
      <c r="A41" s="108"/>
      <c r="B41" s="109"/>
      <c r="C41" s="54"/>
      <c r="D41" s="54"/>
      <c r="E41" s="110"/>
      <c r="F41" s="10"/>
    </row>
    <row r="42" spans="1:6" s="4" customFormat="1" ht="15" customHeight="1" x14ac:dyDescent="0.2">
      <c r="A42" s="459" t="s">
        <v>48</v>
      </c>
      <c r="B42" s="460"/>
      <c r="C42" s="460"/>
      <c r="D42" s="460"/>
      <c r="E42" s="47" t="s">
        <v>32</v>
      </c>
      <c r="F42" s="9"/>
    </row>
    <row r="43" spans="1:6" s="4" customFormat="1" ht="15" customHeight="1" thickBot="1" x14ac:dyDescent="0.25">
      <c r="A43" s="111" t="str">
        <f>+A140</f>
        <v>3.1. Veículo Coletor Compactador .... m³</v>
      </c>
      <c r="B43" s="112"/>
      <c r="C43" s="112"/>
      <c r="D43" s="113"/>
      <c r="E43" s="234">
        <v>4</v>
      </c>
      <c r="F43" s="9"/>
    </row>
    <row r="44" spans="1:6" s="4" customFormat="1" ht="15" customHeight="1" thickBot="1" x14ac:dyDescent="0.25">
      <c r="A44" s="54"/>
      <c r="B44" s="54"/>
      <c r="C44" s="54"/>
      <c r="D44" s="9"/>
      <c r="E44" s="195"/>
      <c r="F44" s="9"/>
    </row>
    <row r="45" spans="1:6" s="11" customFormat="1" ht="15.75" customHeight="1" thickBot="1" x14ac:dyDescent="0.25">
      <c r="A45" s="202" t="s">
        <v>161</v>
      </c>
      <c r="B45" s="231">
        <f>'8.Horários'!F46</f>
        <v>0.89768181818181836</v>
      </c>
      <c r="C45" s="34"/>
      <c r="E45" s="127"/>
    </row>
    <row r="46" spans="1:6" s="4" customFormat="1" ht="15.75" customHeight="1" x14ac:dyDescent="0.2">
      <c r="A46" s="54"/>
      <c r="B46" s="54"/>
      <c r="C46" s="54"/>
      <c r="D46" s="9"/>
      <c r="E46" s="63"/>
      <c r="F46" s="9"/>
    </row>
    <row r="47" spans="1:6" ht="13.15" customHeight="1" x14ac:dyDescent="0.2">
      <c r="A47" s="11" t="s">
        <v>39</v>
      </c>
    </row>
    <row r="48" spans="1:6" ht="13.9" customHeight="1" thickBot="1" x14ac:dyDescent="0.25">
      <c r="A48" s="9" t="s">
        <v>85</v>
      </c>
    </row>
    <row r="49" spans="1:7" ht="13.9" customHeight="1" thickBot="1" x14ac:dyDescent="0.25">
      <c r="A49" s="55" t="s">
        <v>55</v>
      </c>
      <c r="B49" s="56" t="s">
        <v>56</v>
      </c>
      <c r="C49" s="56" t="s">
        <v>32</v>
      </c>
      <c r="D49" s="57" t="s">
        <v>188</v>
      </c>
      <c r="E49" s="57" t="s">
        <v>57</v>
      </c>
      <c r="F49" s="58" t="s">
        <v>58</v>
      </c>
    </row>
    <row r="50" spans="1:7" ht="13.15" customHeight="1" x14ac:dyDescent="0.2">
      <c r="A50" s="13" t="s">
        <v>176</v>
      </c>
      <c r="B50" s="14" t="s">
        <v>6</v>
      </c>
      <c r="C50" s="14">
        <v>1</v>
      </c>
      <c r="D50" s="78">
        <v>1949.91</v>
      </c>
      <c r="E50" s="15">
        <f>C50*D50</f>
        <v>1949.91</v>
      </c>
      <c r="G50" s="76"/>
    </row>
    <row r="51" spans="1:7" x14ac:dyDescent="0.2">
      <c r="A51" s="16" t="s">
        <v>0</v>
      </c>
      <c r="B51" s="17" t="s">
        <v>1</v>
      </c>
      <c r="C51" s="17">
        <v>40</v>
      </c>
      <c r="D51" s="75">
        <f>SUM(E50:E50)</f>
        <v>1949.91</v>
      </c>
      <c r="E51" s="18">
        <f>C51*D51/100</f>
        <v>779.96400000000006</v>
      </c>
    </row>
    <row r="52" spans="1:7" x14ac:dyDescent="0.2">
      <c r="A52" s="97" t="s">
        <v>2</v>
      </c>
      <c r="B52" s="98"/>
      <c r="C52" s="98"/>
      <c r="D52" s="99"/>
      <c r="E52" s="100">
        <f>SUM(E50:E51)</f>
        <v>2729.8740000000003</v>
      </c>
    </row>
    <row r="53" spans="1:7" x14ac:dyDescent="0.2">
      <c r="A53" s="16" t="s">
        <v>3</v>
      </c>
      <c r="B53" s="17" t="s">
        <v>1</v>
      </c>
      <c r="C53" s="116">
        <f>'4.Encargos Sociais'!$C$34*100</f>
        <v>71.639999999999986</v>
      </c>
      <c r="D53" s="18">
        <f>E52</f>
        <v>2729.8740000000003</v>
      </c>
      <c r="E53" s="18">
        <f>D53*C53/100</f>
        <v>1955.6817335999999</v>
      </c>
      <c r="G53" s="76"/>
    </row>
    <row r="54" spans="1:7" x14ac:dyDescent="0.2">
      <c r="A54" s="97" t="s">
        <v>63</v>
      </c>
      <c r="B54" s="98"/>
      <c r="C54" s="98"/>
      <c r="D54" s="99"/>
      <c r="E54" s="100">
        <f>E52+E53</f>
        <v>4685.5557336000002</v>
      </c>
      <c r="G54" s="10"/>
    </row>
    <row r="55" spans="1:7" ht="13.5" thickBot="1" x14ac:dyDescent="0.25">
      <c r="A55" s="16" t="s">
        <v>4</v>
      </c>
      <c r="B55" s="17" t="s">
        <v>5</v>
      </c>
      <c r="C55" s="342">
        <f>E37</f>
        <v>8</v>
      </c>
      <c r="D55" s="18">
        <f>E54</f>
        <v>4685.5557336000002</v>
      </c>
      <c r="E55" s="18">
        <f>C55*D55</f>
        <v>37484.445868800001</v>
      </c>
      <c r="G55" s="76"/>
    </row>
    <row r="56" spans="1:7" ht="13.9" customHeight="1" thickBot="1" x14ac:dyDescent="0.25">
      <c r="D56" s="102" t="s">
        <v>160</v>
      </c>
      <c r="E56" s="246">
        <f>$B$45</f>
        <v>0.89768181818181836</v>
      </c>
      <c r="F56" s="103">
        <f>(((E50+E53)*E56)+E51)*C55</f>
        <v>34287.541507951428</v>
      </c>
    </row>
    <row r="57" spans="1:7" ht="11.25" customHeight="1" x14ac:dyDescent="0.2"/>
    <row r="58" spans="1:7" ht="13.5" thickBot="1" x14ac:dyDescent="0.25">
      <c r="A58" s="7" t="s">
        <v>263</v>
      </c>
    </row>
    <row r="59" spans="1:7" s="12" customFormat="1" ht="13.15" customHeight="1" thickBot="1" x14ac:dyDescent="0.25">
      <c r="A59" s="55" t="s">
        <v>55</v>
      </c>
      <c r="B59" s="56" t="s">
        <v>56</v>
      </c>
      <c r="C59" s="56" t="s">
        <v>32</v>
      </c>
      <c r="D59" s="57" t="s">
        <v>188</v>
      </c>
      <c r="E59" s="57" t="s">
        <v>57</v>
      </c>
      <c r="F59" s="58" t="s">
        <v>58</v>
      </c>
    </row>
    <row r="60" spans="1:7" x14ac:dyDescent="0.2">
      <c r="A60" s="13" t="s">
        <v>178</v>
      </c>
      <c r="B60" s="14" t="s">
        <v>6</v>
      </c>
      <c r="C60" s="14">
        <v>1</v>
      </c>
      <c r="D60" s="78">
        <v>2684</v>
      </c>
      <c r="E60" s="15">
        <f>C60*D60</f>
        <v>2684</v>
      </c>
    </row>
    <row r="61" spans="1:7" x14ac:dyDescent="0.2">
      <c r="A61" s="13" t="s">
        <v>179</v>
      </c>
      <c r="B61" s="14" t="s">
        <v>6</v>
      </c>
      <c r="C61" s="14">
        <v>1</v>
      </c>
      <c r="D61" s="78">
        <v>1518</v>
      </c>
      <c r="E61" s="15"/>
    </row>
    <row r="62" spans="1:7" x14ac:dyDescent="0.2">
      <c r="A62" s="16" t="s">
        <v>177</v>
      </c>
      <c r="B62" s="17"/>
      <c r="C62" s="77">
        <v>1</v>
      </c>
      <c r="D62" s="18"/>
      <c r="E62" s="18"/>
    </row>
    <row r="63" spans="1:7" x14ac:dyDescent="0.2">
      <c r="A63" s="16" t="s">
        <v>0</v>
      </c>
      <c r="B63" s="17" t="s">
        <v>1</v>
      </c>
      <c r="C63" s="77">
        <v>40</v>
      </c>
      <c r="D63" s="75">
        <f>IF(C62=2,SUM(E60:E61),IF(C62=1,(SUM(E60:E61))*D61/D60,0))</f>
        <v>1518</v>
      </c>
      <c r="E63" s="18">
        <f>C63*D63/100</f>
        <v>607.20000000000005</v>
      </c>
    </row>
    <row r="64" spans="1:7" s="11" customFormat="1" x14ac:dyDescent="0.2">
      <c r="A64" s="88" t="s">
        <v>2</v>
      </c>
      <c r="B64" s="98"/>
      <c r="C64" s="98"/>
      <c r="D64" s="99"/>
      <c r="E64" s="90">
        <f>SUM(E60:E63)</f>
        <v>3291.2</v>
      </c>
      <c r="F64" s="43"/>
    </row>
    <row r="65" spans="1:8" x14ac:dyDescent="0.2">
      <c r="A65" s="16" t="s">
        <v>3</v>
      </c>
      <c r="B65" s="17" t="s">
        <v>1</v>
      </c>
      <c r="C65" s="116">
        <f>'4.Encargos Sociais'!$C$34*100</f>
        <v>71.639999999999986</v>
      </c>
      <c r="D65" s="18">
        <f>E64</f>
        <v>3291.2</v>
      </c>
      <c r="E65" s="18">
        <f>D65*C65/100</f>
        <v>2357.8156799999992</v>
      </c>
    </row>
    <row r="66" spans="1:8" s="11" customFormat="1" x14ac:dyDescent="0.2">
      <c r="A66" s="88" t="s">
        <v>196</v>
      </c>
      <c r="B66" s="208"/>
      <c r="C66" s="208"/>
      <c r="D66" s="209"/>
      <c r="E66" s="90">
        <f>E64+E65</f>
        <v>5649.0156799999986</v>
      </c>
      <c r="F66" s="43"/>
    </row>
    <row r="67" spans="1:8" ht="13.5" thickBot="1" x14ac:dyDescent="0.25">
      <c r="A67" s="232" t="s">
        <v>4</v>
      </c>
      <c r="B67" s="17" t="s">
        <v>5</v>
      </c>
      <c r="C67" s="342">
        <f>E38</f>
        <v>4</v>
      </c>
      <c r="D67" s="18">
        <f>E66</f>
        <v>5649.0156799999986</v>
      </c>
      <c r="E67" s="18">
        <f>C67*D67</f>
        <v>22596.062719999994</v>
      </c>
    </row>
    <row r="68" spans="1:8" ht="13.5" thickBot="1" x14ac:dyDescent="0.25">
      <c r="A68" s="7"/>
      <c r="D68" s="102" t="s">
        <v>160</v>
      </c>
      <c r="E68" s="246">
        <f>'8.Horários'!F58</f>
        <v>1.0000090909090908</v>
      </c>
      <c r="F68" s="103">
        <f>E67*E68</f>
        <v>22596.268138751992</v>
      </c>
    </row>
    <row r="69" spans="1:8" x14ac:dyDescent="0.2">
      <c r="A69" s="7"/>
      <c r="D69" s="102"/>
      <c r="E69" s="54"/>
    </row>
    <row r="70" spans="1:8" ht="13.5" thickBot="1" x14ac:dyDescent="0.25">
      <c r="A70" s="7" t="s">
        <v>265</v>
      </c>
    </row>
    <row r="71" spans="1:8" ht="13.5" thickBot="1" x14ac:dyDescent="0.25">
      <c r="A71" s="55" t="s">
        <v>55</v>
      </c>
      <c r="B71" s="56" t="s">
        <v>56</v>
      </c>
      <c r="C71" s="56" t="s">
        <v>32</v>
      </c>
      <c r="D71" s="57" t="s">
        <v>188</v>
      </c>
      <c r="E71" s="57" t="s">
        <v>57</v>
      </c>
      <c r="F71" s="58" t="s">
        <v>58</v>
      </c>
    </row>
    <row r="72" spans="1:8" x14ac:dyDescent="0.2">
      <c r="A72" s="13" t="s">
        <v>176</v>
      </c>
      <c r="B72" s="14" t="s">
        <v>6</v>
      </c>
      <c r="C72" s="14">
        <v>1</v>
      </c>
      <c r="D72" s="78">
        <v>2700</v>
      </c>
      <c r="E72" s="15">
        <f>C72*D72</f>
        <v>2700</v>
      </c>
      <c r="H72" s="7"/>
    </row>
    <row r="73" spans="1:8" s="11" customFormat="1" x14ac:dyDescent="0.2">
      <c r="A73" s="97" t="s">
        <v>2</v>
      </c>
      <c r="B73" s="98"/>
      <c r="C73" s="98"/>
      <c r="D73" s="99"/>
      <c r="E73" s="100">
        <f>SUM(E72:E72)</f>
        <v>2700</v>
      </c>
      <c r="F73" s="43"/>
    </row>
    <row r="74" spans="1:8" x14ac:dyDescent="0.2">
      <c r="A74" s="16" t="s">
        <v>3</v>
      </c>
      <c r="B74" s="17" t="s">
        <v>1</v>
      </c>
      <c r="C74" s="116">
        <f>'4.Encargos Sociais'!$C$34*100</f>
        <v>71.639999999999986</v>
      </c>
      <c r="D74" s="18">
        <f>E73</f>
        <v>2700</v>
      </c>
      <c r="E74" s="18">
        <f>D74*C74/100</f>
        <v>1934.2799999999997</v>
      </c>
    </row>
    <row r="75" spans="1:8" s="11" customFormat="1" x14ac:dyDescent="0.2">
      <c r="A75" s="97" t="s">
        <v>222</v>
      </c>
      <c r="B75" s="98"/>
      <c r="C75" s="98"/>
      <c r="D75" s="99"/>
      <c r="E75" s="100">
        <f>E73+E74</f>
        <v>4634.28</v>
      </c>
      <c r="F75" s="43"/>
    </row>
    <row r="76" spans="1:8" ht="13.5" thickBot="1" x14ac:dyDescent="0.25">
      <c r="A76" s="16" t="s">
        <v>4</v>
      </c>
      <c r="B76" s="17" t="s">
        <v>5</v>
      </c>
      <c r="C76" s="77">
        <v>1</v>
      </c>
      <c r="D76" s="18">
        <f>E75</f>
        <v>4634.28</v>
      </c>
      <c r="E76" s="18">
        <f>C76*D76</f>
        <v>4634.28</v>
      </c>
    </row>
    <row r="77" spans="1:8" ht="13.5" thickBot="1" x14ac:dyDescent="0.25">
      <c r="A77" s="7" t="s">
        <v>444</v>
      </c>
      <c r="D77" s="102" t="s">
        <v>160</v>
      </c>
      <c r="E77" s="246">
        <f>44/44</f>
        <v>1</v>
      </c>
      <c r="F77" s="103">
        <f>E76*E77</f>
        <v>4634.28</v>
      </c>
    </row>
    <row r="78" spans="1:8" x14ac:dyDescent="0.2">
      <c r="A78" s="7"/>
      <c r="D78" s="102"/>
      <c r="E78" s="54"/>
    </row>
    <row r="79" spans="1:8" ht="13.5" thickBot="1" x14ac:dyDescent="0.25">
      <c r="A79" s="7" t="s">
        <v>266</v>
      </c>
      <c r="B79" s="82"/>
      <c r="D79" s="9"/>
      <c r="E79" s="9"/>
    </row>
    <row r="80" spans="1:8" ht="13.5" thickBot="1" x14ac:dyDescent="0.25">
      <c r="A80" s="55" t="s">
        <v>55</v>
      </c>
      <c r="B80" s="56" t="s">
        <v>56</v>
      </c>
      <c r="C80" s="56" t="s">
        <v>32</v>
      </c>
      <c r="D80" s="57" t="s">
        <v>188</v>
      </c>
      <c r="E80" s="57" t="s">
        <v>57</v>
      </c>
      <c r="F80" s="58" t="s">
        <v>58</v>
      </c>
    </row>
    <row r="81" spans="1:8" x14ac:dyDescent="0.2">
      <c r="A81" s="16" t="s">
        <v>79</v>
      </c>
      <c r="B81" s="17" t="s">
        <v>28</v>
      </c>
      <c r="C81" s="83">
        <v>1</v>
      </c>
      <c r="D81" s="81">
        <v>3.5</v>
      </c>
      <c r="E81" s="18"/>
    </row>
    <row r="82" spans="1:8" x14ac:dyDescent="0.2">
      <c r="A82" s="16" t="s">
        <v>80</v>
      </c>
      <c r="B82" s="17" t="s">
        <v>81</v>
      </c>
      <c r="C82" s="80">
        <v>25</v>
      </c>
      <c r="D82" s="18"/>
      <c r="E82" s="18"/>
    </row>
    <row r="83" spans="1:8" x14ac:dyDescent="0.2">
      <c r="A83" s="16" t="s">
        <v>64</v>
      </c>
      <c r="B83" s="17" t="s">
        <v>7</v>
      </c>
      <c r="C83" s="36">
        <f>C82*C55*2</f>
        <v>400</v>
      </c>
      <c r="D83" s="272">
        <f>D81-(E50/50*0.06)</f>
        <v>1.1601079999999997</v>
      </c>
      <c r="E83" s="18">
        <f>IFERROR(C83*D83,"-")</f>
        <v>464.0431999999999</v>
      </c>
      <c r="G83" s="76"/>
    </row>
    <row r="84" spans="1:8" ht="13.5" thickBot="1" x14ac:dyDescent="0.25">
      <c r="A84" s="13" t="s">
        <v>36</v>
      </c>
      <c r="B84" s="14" t="s">
        <v>7</v>
      </c>
      <c r="C84" s="36">
        <f>C82*C67*2</f>
        <v>200</v>
      </c>
      <c r="D84" s="272">
        <f>D81-(E60/50*0.06)</f>
        <v>0.27920000000000034</v>
      </c>
      <c r="E84" s="15">
        <f>IFERROR(C84*D84,"-")</f>
        <v>55.840000000000067</v>
      </c>
    </row>
    <row r="85" spans="1:8" ht="13.5" thickBot="1" x14ac:dyDescent="0.25">
      <c r="A85" s="7" t="s">
        <v>250</v>
      </c>
      <c r="F85" s="22">
        <f>SUM(E83:E84)</f>
        <v>519.88319999999999</v>
      </c>
    </row>
    <row r="86" spans="1:8" ht="11.25" customHeight="1" x14ac:dyDescent="0.2"/>
    <row r="87" spans="1:8" ht="13.5" thickBot="1" x14ac:dyDescent="0.25">
      <c r="A87" s="7" t="s">
        <v>283</v>
      </c>
      <c r="F87" s="23"/>
    </row>
    <row r="88" spans="1:8" ht="13.5" thickBot="1" x14ac:dyDescent="0.25">
      <c r="A88" s="55" t="s">
        <v>55</v>
      </c>
      <c r="B88" s="56" t="s">
        <v>56</v>
      </c>
      <c r="C88" s="56" t="s">
        <v>32</v>
      </c>
      <c r="D88" s="57" t="s">
        <v>188</v>
      </c>
      <c r="E88" s="57" t="s">
        <v>57</v>
      </c>
      <c r="F88" s="58" t="s">
        <v>58</v>
      </c>
    </row>
    <row r="89" spans="1:8" x14ac:dyDescent="0.2">
      <c r="A89" s="16" t="str">
        <f>+A83</f>
        <v>Coletor</v>
      </c>
      <c r="B89" s="17" t="s">
        <v>8</v>
      </c>
      <c r="C89" s="87">
        <f>(C55)*C82</f>
        <v>200</v>
      </c>
      <c r="D89" s="238">
        <f>25.42*0.81</f>
        <v>20.590200000000003</v>
      </c>
      <c r="E89" s="49">
        <f>C89*D89</f>
        <v>4118.0400000000009</v>
      </c>
      <c r="F89" s="23"/>
      <c r="H89" s="76"/>
    </row>
    <row r="90" spans="1:8" x14ac:dyDescent="0.2">
      <c r="A90" s="232" t="s">
        <v>457</v>
      </c>
      <c r="B90" s="17" t="s">
        <v>8</v>
      </c>
      <c r="C90" s="87">
        <f>C67*C82</f>
        <v>100</v>
      </c>
      <c r="D90" s="238">
        <f>25.42*0.81</f>
        <v>20.590200000000003</v>
      </c>
      <c r="E90" s="49">
        <f>C90*D90</f>
        <v>2059.0200000000004</v>
      </c>
      <c r="F90" s="23"/>
      <c r="H90" s="76"/>
    </row>
    <row r="91" spans="1:8" ht="13.5" thickBot="1" x14ac:dyDescent="0.25">
      <c r="A91" s="232" t="s">
        <v>456</v>
      </c>
      <c r="B91" s="17" t="s">
        <v>8</v>
      </c>
      <c r="C91" s="87">
        <f>C76*C82</f>
        <v>25</v>
      </c>
      <c r="D91" s="238">
        <f>25.42*0.81</f>
        <v>20.590200000000003</v>
      </c>
      <c r="E91" s="49">
        <f>C91*D91</f>
        <v>514.75500000000011</v>
      </c>
      <c r="F91" s="23"/>
      <c r="H91" s="76"/>
    </row>
    <row r="92" spans="1:8" ht="13.5" thickBot="1" x14ac:dyDescent="0.25">
      <c r="A92" s="7"/>
      <c r="F92" s="22">
        <f>SUM(E89:E91)</f>
        <v>6691.8150000000014</v>
      </c>
    </row>
    <row r="93" spans="1:8" x14ac:dyDescent="0.2">
      <c r="A93" s="7"/>
    </row>
    <row r="94" spans="1:8" ht="13.5" thickBot="1" x14ac:dyDescent="0.25">
      <c r="A94" s="7" t="s">
        <v>446</v>
      </c>
      <c r="B94" s="7"/>
      <c r="C94" s="7"/>
      <c r="D94" s="273"/>
      <c r="E94" s="273"/>
      <c r="F94" s="23"/>
    </row>
    <row r="95" spans="1:8" ht="13.5" thickBot="1" x14ac:dyDescent="0.25">
      <c r="A95" s="55" t="s">
        <v>55</v>
      </c>
      <c r="B95" s="56" t="s">
        <v>56</v>
      </c>
      <c r="C95" s="56" t="s">
        <v>32</v>
      </c>
      <c r="D95" s="57" t="s">
        <v>188</v>
      </c>
      <c r="E95" s="57" t="s">
        <v>57</v>
      </c>
      <c r="F95" s="58" t="s">
        <v>58</v>
      </c>
    </row>
    <row r="96" spans="1:8" ht="13.5" thickBot="1" x14ac:dyDescent="0.25">
      <c r="A96" s="232" t="s">
        <v>445</v>
      </c>
      <c r="B96" s="233" t="s">
        <v>282</v>
      </c>
      <c r="C96" s="274">
        <f>C67</f>
        <v>4</v>
      </c>
      <c r="D96" s="238">
        <v>25</v>
      </c>
      <c r="E96" s="275">
        <f>C96*D96</f>
        <v>100</v>
      </c>
      <c r="F96" s="23"/>
    </row>
    <row r="97" spans="1:6" ht="13.5" thickBot="1" x14ac:dyDescent="0.25">
      <c r="A97" s="7"/>
      <c r="B97" s="7"/>
      <c r="C97" s="7"/>
      <c r="D97" s="276" t="s">
        <v>160</v>
      </c>
      <c r="E97" s="277">
        <f>E68</f>
        <v>1.0000090909090908</v>
      </c>
      <c r="F97" s="22">
        <f>SUM(E96:E96)*E97</f>
        <v>100.00090909090909</v>
      </c>
    </row>
    <row r="98" spans="1:6" x14ac:dyDescent="0.2">
      <c r="A98" s="7"/>
    </row>
    <row r="99" spans="1:6" ht="13.5" thickBot="1" x14ac:dyDescent="0.25">
      <c r="A99" s="7" t="s">
        <v>284</v>
      </c>
      <c r="F99" s="23"/>
    </row>
    <row r="100" spans="1:6" ht="13.5" thickBot="1" x14ac:dyDescent="0.25">
      <c r="A100" s="55" t="s">
        <v>55</v>
      </c>
      <c r="B100" s="56" t="s">
        <v>56</v>
      </c>
      <c r="C100" s="56" t="s">
        <v>32</v>
      </c>
      <c r="D100" s="57" t="s">
        <v>188</v>
      </c>
      <c r="E100" s="57" t="s">
        <v>57</v>
      </c>
      <c r="F100" s="58" t="s">
        <v>58</v>
      </c>
    </row>
    <row r="101" spans="1:6" ht="13.5" thickBot="1" x14ac:dyDescent="0.25">
      <c r="A101" s="232" t="s">
        <v>262</v>
      </c>
      <c r="B101" s="17" t="s">
        <v>8</v>
      </c>
      <c r="C101" s="87">
        <f>C55</f>
        <v>8</v>
      </c>
      <c r="D101" s="238">
        <v>24.1</v>
      </c>
      <c r="E101" s="49">
        <f>C101*D101</f>
        <v>192.8</v>
      </c>
      <c r="F101" s="23"/>
    </row>
    <row r="102" spans="1:6" ht="13.5" thickBot="1" x14ac:dyDescent="0.25">
      <c r="D102" s="102" t="s">
        <v>160</v>
      </c>
      <c r="E102" s="246">
        <v>1</v>
      </c>
      <c r="F102" s="22">
        <f>SUM(E101:E101)*E102</f>
        <v>192.8</v>
      </c>
    </row>
    <row r="103" spans="1:6" ht="13.5" thickBot="1" x14ac:dyDescent="0.25"/>
    <row r="104" spans="1:6" ht="13.5" thickBot="1" x14ac:dyDescent="0.25">
      <c r="A104" s="24" t="s">
        <v>82</v>
      </c>
      <c r="B104" s="25"/>
      <c r="C104" s="25"/>
      <c r="D104" s="26"/>
      <c r="E104" s="27"/>
      <c r="F104" s="22">
        <f>F102+F92+F85+F77+F68+F56+F97</f>
        <v>69022.588755794335</v>
      </c>
    </row>
    <row r="106" spans="1:6" x14ac:dyDescent="0.2">
      <c r="A106" s="11" t="s">
        <v>37</v>
      </c>
    </row>
    <row r="107" spans="1:6" ht="13.9" customHeight="1" thickBot="1" x14ac:dyDescent="0.25">
      <c r="A107" s="11" t="s">
        <v>162</v>
      </c>
    </row>
    <row r="108" spans="1:6" ht="27.75" customHeight="1" thickBot="1" x14ac:dyDescent="0.25">
      <c r="A108" s="55" t="s">
        <v>55</v>
      </c>
      <c r="B108" s="56" t="s">
        <v>56</v>
      </c>
      <c r="C108" s="210" t="s">
        <v>197</v>
      </c>
      <c r="D108" s="57" t="s">
        <v>188</v>
      </c>
      <c r="E108" s="57" t="s">
        <v>57</v>
      </c>
      <c r="F108" s="58" t="s">
        <v>58</v>
      </c>
    </row>
    <row r="109" spans="1:6" ht="13.15" customHeight="1" x14ac:dyDescent="0.2">
      <c r="A109" s="235" t="s">
        <v>59</v>
      </c>
      <c r="B109" s="236" t="s">
        <v>8</v>
      </c>
      <c r="C109" s="242">
        <v>12</v>
      </c>
      <c r="D109" s="237">
        <v>170</v>
      </c>
      <c r="E109" s="15">
        <f t="shared" ref="E109:E121" si="1">IFERROR(D109/C109,0)</f>
        <v>14.166666666666666</v>
      </c>
    </row>
    <row r="110" spans="1:6" ht="13.15" customHeight="1" x14ac:dyDescent="0.2">
      <c r="A110" s="16" t="s">
        <v>24</v>
      </c>
      <c r="B110" s="17" t="s">
        <v>8</v>
      </c>
      <c r="C110" s="242">
        <v>6</v>
      </c>
      <c r="D110" s="237">
        <v>75</v>
      </c>
      <c r="E110" s="15">
        <f t="shared" si="1"/>
        <v>12.5</v>
      </c>
    </row>
    <row r="111" spans="1:6" x14ac:dyDescent="0.2">
      <c r="A111" s="232" t="s">
        <v>285</v>
      </c>
      <c r="B111" s="233" t="s">
        <v>8</v>
      </c>
      <c r="C111" s="242">
        <v>4</v>
      </c>
      <c r="D111" s="278">
        <v>45</v>
      </c>
      <c r="E111" s="272">
        <f t="shared" si="1"/>
        <v>11.25</v>
      </c>
    </row>
    <row r="112" spans="1:6" x14ac:dyDescent="0.2">
      <c r="A112" s="232" t="s">
        <v>286</v>
      </c>
      <c r="B112" s="233" t="s">
        <v>8</v>
      </c>
      <c r="C112" s="242">
        <v>4</v>
      </c>
      <c r="D112" s="278">
        <v>43</v>
      </c>
      <c r="E112" s="272">
        <f t="shared" si="1"/>
        <v>10.75</v>
      </c>
    </row>
    <row r="113" spans="1:6" x14ac:dyDescent="0.2">
      <c r="A113" s="232" t="s">
        <v>220</v>
      </c>
      <c r="B113" s="17" t="s">
        <v>8</v>
      </c>
      <c r="C113" s="241">
        <v>6</v>
      </c>
      <c r="D113" s="237">
        <v>48</v>
      </c>
      <c r="E113" s="15">
        <f t="shared" si="1"/>
        <v>8</v>
      </c>
    </row>
    <row r="114" spans="1:6" ht="13.15" customHeight="1" x14ac:dyDescent="0.2">
      <c r="A114" s="232" t="s">
        <v>447</v>
      </c>
      <c r="B114" s="17" t="s">
        <v>8</v>
      </c>
      <c r="C114" s="241">
        <v>6</v>
      </c>
      <c r="D114" s="237">
        <v>50</v>
      </c>
      <c r="E114" s="15">
        <f t="shared" si="1"/>
        <v>8.3333333333333339</v>
      </c>
    </row>
    <row r="115" spans="1:6" ht="13.9" customHeight="1" x14ac:dyDescent="0.2">
      <c r="A115" s="232" t="s">
        <v>287</v>
      </c>
      <c r="B115" s="17" t="s">
        <v>40</v>
      </c>
      <c r="C115" s="241">
        <v>6</v>
      </c>
      <c r="D115" s="237">
        <v>75</v>
      </c>
      <c r="E115" s="15">
        <f t="shared" si="1"/>
        <v>12.5</v>
      </c>
    </row>
    <row r="116" spans="1:6" ht="13.15" customHeight="1" x14ac:dyDescent="0.2">
      <c r="A116" s="16" t="s">
        <v>83</v>
      </c>
      <c r="B116" s="17" t="s">
        <v>40</v>
      </c>
      <c r="C116" s="241">
        <v>2</v>
      </c>
      <c r="D116" s="237">
        <v>12</v>
      </c>
      <c r="E116" s="15">
        <f t="shared" si="1"/>
        <v>6</v>
      </c>
    </row>
    <row r="117" spans="1:6" x14ac:dyDescent="0.2">
      <c r="A117" s="16" t="s">
        <v>60</v>
      </c>
      <c r="B117" s="17" t="s">
        <v>8</v>
      </c>
      <c r="C117" s="241">
        <v>6</v>
      </c>
      <c r="D117" s="237">
        <v>55</v>
      </c>
      <c r="E117" s="15">
        <f t="shared" si="1"/>
        <v>9.1666666666666661</v>
      </c>
    </row>
    <row r="118" spans="1:6" s="1" customFormat="1" x14ac:dyDescent="0.2">
      <c r="A118" s="2" t="s">
        <v>9</v>
      </c>
      <c r="B118" s="3" t="s">
        <v>8</v>
      </c>
      <c r="C118" s="241">
        <v>6</v>
      </c>
      <c r="D118" s="237">
        <v>33</v>
      </c>
      <c r="E118" s="15">
        <f t="shared" si="1"/>
        <v>5.5</v>
      </c>
      <c r="F118" s="37"/>
    </row>
    <row r="119" spans="1:6" x14ac:dyDescent="0.2">
      <c r="A119" s="16" t="s">
        <v>26</v>
      </c>
      <c r="B119" s="17" t="s">
        <v>40</v>
      </c>
      <c r="C119" s="241">
        <v>0.5</v>
      </c>
      <c r="D119" s="237">
        <v>23.7</v>
      </c>
      <c r="E119" s="15">
        <f t="shared" si="1"/>
        <v>47.4</v>
      </c>
    </row>
    <row r="120" spans="1:6" x14ac:dyDescent="0.2">
      <c r="A120" s="232" t="s">
        <v>448</v>
      </c>
      <c r="B120" s="233" t="s">
        <v>56</v>
      </c>
      <c r="C120" s="241">
        <v>6</v>
      </c>
      <c r="D120" s="237">
        <v>15</v>
      </c>
      <c r="E120" s="15">
        <f t="shared" ref="E120" si="2">IFERROR(D120/C120,0)</f>
        <v>2.5</v>
      </c>
    </row>
    <row r="121" spans="1:6" ht="13.15" customHeight="1" x14ac:dyDescent="0.2">
      <c r="A121" s="16" t="s">
        <v>54</v>
      </c>
      <c r="B121" s="17" t="s">
        <v>41</v>
      </c>
      <c r="C121" s="241">
        <v>2</v>
      </c>
      <c r="D121" s="237">
        <v>26</v>
      </c>
      <c r="E121" s="15">
        <f t="shared" si="1"/>
        <v>13</v>
      </c>
    </row>
    <row r="122" spans="1:6" ht="13.5" thickBot="1" x14ac:dyDescent="0.25">
      <c r="A122" s="16" t="s">
        <v>4</v>
      </c>
      <c r="B122" s="17" t="s">
        <v>5</v>
      </c>
      <c r="C122" s="64">
        <f>E37</f>
        <v>8</v>
      </c>
      <c r="D122" s="18">
        <f>+SUM(E109:E121)</f>
        <v>161.06666666666666</v>
      </c>
      <c r="E122" s="18">
        <f t="shared" ref="E122" si="3">C122*D122</f>
        <v>1288.5333333333333</v>
      </c>
    </row>
    <row r="123" spans="1:6" ht="13.5" thickBot="1" x14ac:dyDescent="0.25">
      <c r="D123" s="102" t="s">
        <v>160</v>
      </c>
      <c r="E123" s="246">
        <f>$B$45</f>
        <v>0.89768181818181836</v>
      </c>
      <c r="F123" s="103">
        <f>E122*E123</f>
        <v>1156.6929454545457</v>
      </c>
    </row>
    <row r="124" spans="1:6" ht="11.25" customHeight="1" x14ac:dyDescent="0.2"/>
    <row r="125" spans="1:6" ht="13.9" customHeight="1" thickBot="1" x14ac:dyDescent="0.25">
      <c r="A125" s="9" t="s">
        <v>163</v>
      </c>
    </row>
    <row r="126" spans="1:6" ht="24.75" thickBot="1" x14ac:dyDescent="0.25">
      <c r="A126" s="55" t="s">
        <v>55</v>
      </c>
      <c r="B126" s="56" t="s">
        <v>56</v>
      </c>
      <c r="C126" s="210" t="s">
        <v>197</v>
      </c>
      <c r="D126" s="57" t="s">
        <v>188</v>
      </c>
      <c r="E126" s="57" t="s">
        <v>57</v>
      </c>
      <c r="F126" s="58" t="s">
        <v>58</v>
      </c>
    </row>
    <row r="127" spans="1:6" x14ac:dyDescent="0.2">
      <c r="A127" s="235" t="s">
        <v>59</v>
      </c>
      <c r="B127" s="236" t="s">
        <v>8</v>
      </c>
      <c r="C127" s="242">
        <v>12</v>
      </c>
      <c r="D127" s="237">
        <f>D109</f>
        <v>170</v>
      </c>
      <c r="E127" s="15">
        <f t="shared" ref="E127:E133" si="4">IFERROR(D127/C127,0)</f>
        <v>14.166666666666666</v>
      </c>
    </row>
    <row r="128" spans="1:6" x14ac:dyDescent="0.2">
      <c r="A128" s="16" t="s">
        <v>24</v>
      </c>
      <c r="B128" s="17" t="s">
        <v>8</v>
      </c>
      <c r="C128" s="241">
        <v>6</v>
      </c>
      <c r="D128" s="78">
        <f>D110</f>
        <v>75</v>
      </c>
      <c r="E128" s="15">
        <f t="shared" si="4"/>
        <v>12.5</v>
      </c>
    </row>
    <row r="129" spans="1:6" x14ac:dyDescent="0.2">
      <c r="A129" s="16" t="s">
        <v>25</v>
      </c>
      <c r="B129" s="17" t="s">
        <v>8</v>
      </c>
      <c r="C129" s="241">
        <v>4</v>
      </c>
      <c r="D129" s="78">
        <f>D111</f>
        <v>45</v>
      </c>
      <c r="E129" s="15">
        <f t="shared" si="4"/>
        <v>11.25</v>
      </c>
    </row>
    <row r="130" spans="1:6" x14ac:dyDescent="0.2">
      <c r="A130" s="232" t="s">
        <v>287</v>
      </c>
      <c r="B130" s="17" t="s">
        <v>40</v>
      </c>
      <c r="C130" s="241">
        <v>4</v>
      </c>
      <c r="D130" s="78">
        <f>D115</f>
        <v>75</v>
      </c>
      <c r="E130" s="15">
        <f t="shared" si="4"/>
        <v>18.75</v>
      </c>
    </row>
    <row r="131" spans="1:6" x14ac:dyDescent="0.2">
      <c r="A131" s="16" t="s">
        <v>60</v>
      </c>
      <c r="B131" s="17" t="s">
        <v>8</v>
      </c>
      <c r="C131" s="241">
        <v>6</v>
      </c>
      <c r="D131" s="78">
        <f>D117</f>
        <v>55</v>
      </c>
      <c r="E131" s="15">
        <f t="shared" si="4"/>
        <v>9.1666666666666661</v>
      </c>
    </row>
    <row r="132" spans="1:6" x14ac:dyDescent="0.2">
      <c r="A132" s="232" t="s">
        <v>448</v>
      </c>
      <c r="B132" s="233" t="s">
        <v>56</v>
      </c>
      <c r="C132" s="241">
        <v>6</v>
      </c>
      <c r="D132" s="237">
        <f>D120</f>
        <v>15</v>
      </c>
      <c r="E132" s="15">
        <f t="shared" si="4"/>
        <v>2.5</v>
      </c>
    </row>
    <row r="133" spans="1:6" x14ac:dyDescent="0.2">
      <c r="A133" s="16" t="s">
        <v>54</v>
      </c>
      <c r="B133" s="17" t="s">
        <v>41</v>
      </c>
      <c r="C133" s="241">
        <v>2</v>
      </c>
      <c r="D133" s="78">
        <f>D121</f>
        <v>26</v>
      </c>
      <c r="E133" s="15">
        <f t="shared" si="4"/>
        <v>13</v>
      </c>
    </row>
    <row r="134" spans="1:6" ht="13.5" thickBot="1" x14ac:dyDescent="0.25">
      <c r="A134" s="16" t="s">
        <v>4</v>
      </c>
      <c r="B134" s="17" t="s">
        <v>5</v>
      </c>
      <c r="C134" s="64">
        <f>C67</f>
        <v>4</v>
      </c>
      <c r="D134" s="18">
        <f>+SUM(E127:E133)</f>
        <v>81.333333333333329</v>
      </c>
      <c r="E134" s="18">
        <f t="shared" ref="E134" si="5">C134*D134</f>
        <v>325.33333333333331</v>
      </c>
    </row>
    <row r="135" spans="1:6" ht="13.5" thickBot="1" x14ac:dyDescent="0.25">
      <c r="D135" s="102" t="s">
        <v>160</v>
      </c>
      <c r="E135" s="246">
        <f>E68</f>
        <v>1.0000090909090908</v>
      </c>
      <c r="F135" s="103">
        <f>E134*E135</f>
        <v>325.33629090909085</v>
      </c>
    </row>
    <row r="136" spans="1:6" ht="11.25" customHeight="1" thickBot="1" x14ac:dyDescent="0.25"/>
    <row r="137" spans="1:6" ht="13.5" thickBot="1" x14ac:dyDescent="0.25">
      <c r="A137" s="24" t="s">
        <v>164</v>
      </c>
      <c r="B137" s="28"/>
      <c r="C137" s="28"/>
      <c r="D137" s="29"/>
      <c r="E137" s="30"/>
      <c r="F137" s="21">
        <f>+F123+F135</f>
        <v>1482.0292363636365</v>
      </c>
    </row>
    <row r="138" spans="1:6" ht="11.25" customHeight="1" x14ac:dyDescent="0.2"/>
    <row r="139" spans="1:6" x14ac:dyDescent="0.2">
      <c r="A139" s="11" t="s">
        <v>46</v>
      </c>
    </row>
    <row r="140" spans="1:6" x14ac:dyDescent="0.2">
      <c r="A140" s="7" t="s">
        <v>299</v>
      </c>
    </row>
    <row r="141" spans="1:6" ht="13.5" thickBot="1" x14ac:dyDescent="0.25">
      <c r="A141" s="92" t="s">
        <v>38</v>
      </c>
    </row>
    <row r="142" spans="1:6" ht="13.5" thickBot="1" x14ac:dyDescent="0.25">
      <c r="A142" s="55" t="s">
        <v>55</v>
      </c>
      <c r="B142" s="56" t="s">
        <v>56</v>
      </c>
      <c r="C142" s="56" t="s">
        <v>32</v>
      </c>
      <c r="D142" s="57" t="s">
        <v>188</v>
      </c>
      <c r="E142" s="57" t="s">
        <v>57</v>
      </c>
      <c r="F142" s="58" t="s">
        <v>58</v>
      </c>
    </row>
    <row r="143" spans="1:6" x14ac:dyDescent="0.2">
      <c r="A143" s="13" t="s">
        <v>92</v>
      </c>
      <c r="B143" s="14" t="s">
        <v>8</v>
      </c>
      <c r="C143" s="14">
        <v>1</v>
      </c>
      <c r="D143" s="237">
        <v>440000</v>
      </c>
      <c r="E143" s="15">
        <f>C143*D143</f>
        <v>440000</v>
      </c>
    </row>
    <row r="144" spans="1:6" x14ac:dyDescent="0.2">
      <c r="A144" s="16" t="s">
        <v>86</v>
      </c>
      <c r="B144" s="17" t="s">
        <v>87</v>
      </c>
      <c r="C144" s="77">
        <v>5</v>
      </c>
      <c r="D144" s="75"/>
      <c r="E144" s="18"/>
    </row>
    <row r="145" spans="1:6" x14ac:dyDescent="0.2">
      <c r="A145" s="16" t="s">
        <v>171</v>
      </c>
      <c r="B145" s="17" t="s">
        <v>87</v>
      </c>
      <c r="C145" s="77">
        <v>0</v>
      </c>
      <c r="D145" s="18"/>
      <c r="E145" s="18"/>
      <c r="F145" s="20"/>
    </row>
    <row r="146" spans="1:6" x14ac:dyDescent="0.2">
      <c r="A146" s="16" t="s">
        <v>90</v>
      </c>
      <c r="B146" s="17" t="s">
        <v>1</v>
      </c>
      <c r="C146" s="116">
        <f>IFERROR(VLOOKUP(C144,'6. Depreciação'!A3:B17,2,FALSE),0)</f>
        <v>55.679999999999993</v>
      </c>
      <c r="D146" s="18">
        <f>E143</f>
        <v>440000</v>
      </c>
      <c r="E146" s="18">
        <f>C146*D146/100</f>
        <v>244991.99999999997</v>
      </c>
    </row>
    <row r="147" spans="1:6" ht="13.5" thickBot="1" x14ac:dyDescent="0.25">
      <c r="A147" s="216" t="s">
        <v>42</v>
      </c>
      <c r="B147" s="217" t="s">
        <v>6</v>
      </c>
      <c r="C147" s="217">
        <f>C144*12</f>
        <v>60</v>
      </c>
      <c r="D147" s="218">
        <f>IF(C145&lt;=C144,E146,0)</f>
        <v>244991.99999999997</v>
      </c>
      <c r="E147" s="218">
        <f>IFERROR(D147/C147,0)</f>
        <v>4083.1999999999994</v>
      </c>
    </row>
    <row r="148" spans="1:6" ht="13.5" thickTop="1" x14ac:dyDescent="0.2">
      <c r="A148" s="13" t="s">
        <v>91</v>
      </c>
      <c r="B148" s="14" t="s">
        <v>8</v>
      </c>
      <c r="C148" s="14">
        <f>C143</f>
        <v>1</v>
      </c>
      <c r="D148" s="78">
        <v>160000</v>
      </c>
      <c r="E148" s="15">
        <f>C148*D148</f>
        <v>160000</v>
      </c>
    </row>
    <row r="149" spans="1:6" x14ac:dyDescent="0.2">
      <c r="A149" s="16" t="s">
        <v>88</v>
      </c>
      <c r="B149" s="17" t="s">
        <v>87</v>
      </c>
      <c r="C149" s="77">
        <v>5</v>
      </c>
      <c r="D149" s="18"/>
      <c r="E149" s="18"/>
    </row>
    <row r="150" spans="1:6" x14ac:dyDescent="0.2">
      <c r="A150" s="16" t="s">
        <v>172</v>
      </c>
      <c r="B150" s="17" t="s">
        <v>87</v>
      </c>
      <c r="C150" s="77">
        <v>0</v>
      </c>
      <c r="D150" s="18"/>
      <c r="E150" s="18"/>
      <c r="F150" s="20"/>
    </row>
    <row r="151" spans="1:6" x14ac:dyDescent="0.2">
      <c r="A151" s="16" t="s">
        <v>89</v>
      </c>
      <c r="B151" s="17" t="s">
        <v>1</v>
      </c>
      <c r="C151" s="117">
        <f>IFERROR(VLOOKUP(C149,'6. Depreciação'!A3:B17,2,FALSE),0)</f>
        <v>55.679999999999993</v>
      </c>
      <c r="D151" s="18">
        <f>E148</f>
        <v>160000</v>
      </c>
      <c r="E151" s="18">
        <f>C151*D151/100</f>
        <v>89087.999999999985</v>
      </c>
    </row>
    <row r="152" spans="1:6" x14ac:dyDescent="0.2">
      <c r="A152" s="88" t="s">
        <v>93</v>
      </c>
      <c r="B152" s="89" t="s">
        <v>6</v>
      </c>
      <c r="C152" s="89">
        <f>C149*12</f>
        <v>60</v>
      </c>
      <c r="D152" s="90">
        <f>IF(C150&lt;=C149,E151,0)</f>
        <v>89087.999999999985</v>
      </c>
      <c r="E152" s="90">
        <f>IFERROR(D152/C152,0)</f>
        <v>1484.7999999999997</v>
      </c>
    </row>
    <row r="153" spans="1:6" hidden="1" x14ac:dyDescent="0.2">
      <c r="A153" s="88" t="s">
        <v>288</v>
      </c>
      <c r="B153" s="89" t="s">
        <v>6</v>
      </c>
      <c r="C153" s="89">
        <v>1</v>
      </c>
      <c r="D153" s="90">
        <f>IF(C151&lt;=C150,E152,0)</f>
        <v>0</v>
      </c>
      <c r="E153" s="90">
        <v>0</v>
      </c>
    </row>
    <row r="154" spans="1:6" x14ac:dyDescent="0.2">
      <c r="A154" s="97" t="s">
        <v>200</v>
      </c>
      <c r="B154" s="98"/>
      <c r="C154" s="98"/>
      <c r="D154" s="99"/>
      <c r="E154" s="100">
        <f>E147+E152+E153</f>
        <v>5567.9999999999991</v>
      </c>
    </row>
    <row r="155" spans="1:6" ht="13.5" thickBot="1" x14ac:dyDescent="0.25">
      <c r="A155" s="88" t="s">
        <v>201</v>
      </c>
      <c r="B155" s="89" t="s">
        <v>8</v>
      </c>
      <c r="C155" s="342">
        <f>E43</f>
        <v>4</v>
      </c>
      <c r="D155" s="90">
        <f>E154</f>
        <v>5567.9999999999991</v>
      </c>
      <c r="E155" s="100">
        <f>C155*D155</f>
        <v>22271.999999999996</v>
      </c>
    </row>
    <row r="156" spans="1:6" ht="13.5" thickBot="1" x14ac:dyDescent="0.25">
      <c r="A156" s="215"/>
      <c r="B156" s="215"/>
      <c r="C156" s="215"/>
      <c r="D156" s="102" t="s">
        <v>160</v>
      </c>
      <c r="E156" s="246">
        <f>E135</f>
        <v>1.0000090909090908</v>
      </c>
      <c r="F156" s="21">
        <f>E155*E156</f>
        <v>22272.202472727269</v>
      </c>
    </row>
    <row r="157" spans="1:6" ht="11.25" customHeight="1" x14ac:dyDescent="0.2"/>
    <row r="158" spans="1:6" ht="13.5" thickBot="1" x14ac:dyDescent="0.25">
      <c r="A158" s="92" t="s">
        <v>96</v>
      </c>
    </row>
    <row r="159" spans="1:6" ht="13.5" thickBot="1" x14ac:dyDescent="0.25">
      <c r="A159" s="55" t="s">
        <v>55</v>
      </c>
      <c r="B159" s="56" t="s">
        <v>56</v>
      </c>
      <c r="C159" s="56" t="s">
        <v>32</v>
      </c>
      <c r="D159" s="57" t="s">
        <v>188</v>
      </c>
      <c r="E159" s="57" t="s">
        <v>57</v>
      </c>
      <c r="F159" s="58" t="s">
        <v>58</v>
      </c>
    </row>
    <row r="160" spans="1:6" x14ac:dyDescent="0.2">
      <c r="A160" s="13" t="s">
        <v>94</v>
      </c>
      <c r="B160" s="14" t="s">
        <v>8</v>
      </c>
      <c r="C160" s="14">
        <v>1</v>
      </c>
      <c r="D160" s="15">
        <f>D143</f>
        <v>440000</v>
      </c>
      <c r="E160" s="15">
        <f>C160*D160</f>
        <v>440000</v>
      </c>
      <c r="F160" s="20"/>
    </row>
    <row r="161" spans="1:6" x14ac:dyDescent="0.2">
      <c r="A161" s="16" t="s">
        <v>175</v>
      </c>
      <c r="B161" s="17" t="s">
        <v>1</v>
      </c>
      <c r="C161" s="440">
        <v>12</v>
      </c>
      <c r="D161" s="18"/>
      <c r="E161" s="18"/>
      <c r="F161" s="20"/>
    </row>
    <row r="162" spans="1:6" x14ac:dyDescent="0.2">
      <c r="A162" s="16" t="s">
        <v>173</v>
      </c>
      <c r="B162" s="17" t="s">
        <v>28</v>
      </c>
      <c r="C162" s="122">
        <f>IFERROR(IF(C145&lt;=C144,E143-(C146/(100*C144)*C145)*E143,E143-E146),0)</f>
        <v>440000</v>
      </c>
      <c r="D162" s="18"/>
      <c r="E162" s="18"/>
      <c r="F162" s="20"/>
    </row>
    <row r="163" spans="1:6" x14ac:dyDescent="0.2">
      <c r="A163" s="16" t="s">
        <v>98</v>
      </c>
      <c r="B163" s="17" t="s">
        <v>28</v>
      </c>
      <c r="C163" s="75">
        <f>IFERROR(IF(C145&gt;=C144,C162,((((C162)-(E143-E146))*(((C144-C145)+1)/(2*(C144-C145))))+(E143-E146))),0)</f>
        <v>342003.20000000001</v>
      </c>
      <c r="D163" s="18"/>
      <c r="E163" s="18"/>
      <c r="F163" s="20"/>
    </row>
    <row r="164" spans="1:6" ht="13.5" thickBot="1" x14ac:dyDescent="0.25">
      <c r="A164" s="216" t="s">
        <v>99</v>
      </c>
      <c r="B164" s="217" t="s">
        <v>28</v>
      </c>
      <c r="C164" s="217"/>
      <c r="D164" s="219">
        <f>C161*C163/12/100</f>
        <v>3420.0320000000002</v>
      </c>
      <c r="E164" s="218">
        <f>D164</f>
        <v>3420.0320000000002</v>
      </c>
      <c r="F164" s="20"/>
    </row>
    <row r="165" spans="1:6" ht="13.5" thickTop="1" x14ac:dyDescent="0.2">
      <c r="A165" s="13" t="s">
        <v>95</v>
      </c>
      <c r="B165" s="14" t="s">
        <v>8</v>
      </c>
      <c r="C165" s="14">
        <f>C148</f>
        <v>1</v>
      </c>
      <c r="D165" s="15">
        <f>D148</f>
        <v>160000</v>
      </c>
      <c r="E165" s="15">
        <f>C165*D165</f>
        <v>160000</v>
      </c>
      <c r="F165" s="20"/>
    </row>
    <row r="166" spans="1:6" x14ac:dyDescent="0.2">
      <c r="A166" s="16" t="s">
        <v>175</v>
      </c>
      <c r="B166" s="17" t="s">
        <v>1</v>
      </c>
      <c r="C166" s="17">
        <f>C161</f>
        <v>12</v>
      </c>
      <c r="D166" s="18"/>
      <c r="E166" s="18"/>
      <c r="F166" s="20"/>
    </row>
    <row r="167" spans="1:6" x14ac:dyDescent="0.2">
      <c r="A167" s="16" t="s">
        <v>174</v>
      </c>
      <c r="B167" s="17" t="s">
        <v>28</v>
      </c>
      <c r="C167" s="122">
        <f>IFERROR(IF(C150&lt;=C149,E148-(C151/(100*C149)*C150)*E148,E148-E151),0)</f>
        <v>160000</v>
      </c>
      <c r="D167" s="18"/>
      <c r="E167" s="18"/>
      <c r="F167" s="20"/>
    </row>
    <row r="168" spans="1:6" x14ac:dyDescent="0.2">
      <c r="A168" s="16" t="s">
        <v>100</v>
      </c>
      <c r="B168" s="17" t="s">
        <v>28</v>
      </c>
      <c r="C168" s="75">
        <f>IFERROR(IF(C150&gt;=C149,C167,((((C167)-(E148-E151))*(((C149-C150)+1)/(2*(C149-C150))))+(E148-E151))),0)</f>
        <v>124364.8</v>
      </c>
      <c r="D168" s="18"/>
      <c r="E168" s="18"/>
      <c r="F168" s="20"/>
    </row>
    <row r="169" spans="1:6" x14ac:dyDescent="0.2">
      <c r="A169" s="88" t="s">
        <v>97</v>
      </c>
      <c r="B169" s="89" t="s">
        <v>28</v>
      </c>
      <c r="C169" s="89"/>
      <c r="D169" s="94">
        <f>C166*C168/12/100</f>
        <v>1243.6480000000001</v>
      </c>
      <c r="E169" s="90">
        <f>D169</f>
        <v>1243.6480000000001</v>
      </c>
      <c r="F169" s="20"/>
    </row>
    <row r="170" spans="1:6" x14ac:dyDescent="0.2">
      <c r="A170" s="97" t="s">
        <v>200</v>
      </c>
      <c r="B170" s="98"/>
      <c r="C170" s="98"/>
      <c r="D170" s="99"/>
      <c r="E170" s="100">
        <f>E164+E169</f>
        <v>4663.68</v>
      </c>
      <c r="F170" s="20"/>
    </row>
    <row r="171" spans="1:6" ht="13.5" thickBot="1" x14ac:dyDescent="0.25">
      <c r="A171" s="88" t="s">
        <v>201</v>
      </c>
      <c r="B171" s="89" t="s">
        <v>8</v>
      </c>
      <c r="C171" s="17">
        <f>C155</f>
        <v>4</v>
      </c>
      <c r="D171" s="90">
        <f>E170</f>
        <v>4663.68</v>
      </c>
      <c r="E171" s="100">
        <f>C171*D171</f>
        <v>18654.72</v>
      </c>
      <c r="F171" s="20"/>
    </row>
    <row r="172" spans="1:6" ht="13.5" thickBot="1" x14ac:dyDescent="0.25">
      <c r="C172" s="19"/>
      <c r="D172" s="102" t="s">
        <v>160</v>
      </c>
      <c r="E172" s="246">
        <f>E156</f>
        <v>1.0000090909090908</v>
      </c>
      <c r="F172" s="21">
        <f>E171*E172</f>
        <v>18654.889588363636</v>
      </c>
    </row>
    <row r="173" spans="1:6" ht="11.25" customHeight="1" x14ac:dyDescent="0.2"/>
    <row r="174" spans="1:6" ht="13.5" thickBot="1" x14ac:dyDescent="0.25">
      <c r="A174" s="9" t="s">
        <v>43</v>
      </c>
    </row>
    <row r="175" spans="1:6" ht="13.5" thickBot="1" x14ac:dyDescent="0.25">
      <c r="A175" s="55" t="s">
        <v>55</v>
      </c>
      <c r="B175" s="56" t="s">
        <v>56</v>
      </c>
      <c r="C175" s="56" t="s">
        <v>32</v>
      </c>
      <c r="D175" s="57" t="s">
        <v>188</v>
      </c>
      <c r="E175" s="57" t="s">
        <v>57</v>
      </c>
      <c r="F175" s="58" t="s">
        <v>58</v>
      </c>
    </row>
    <row r="176" spans="1:6" x14ac:dyDescent="0.2">
      <c r="A176" s="13" t="s">
        <v>10</v>
      </c>
      <c r="B176" s="14" t="s">
        <v>8</v>
      </c>
      <c r="C176" s="15">
        <f>C155</f>
        <v>4</v>
      </c>
      <c r="D176" s="15">
        <f>0.01*($C$162)</f>
        <v>4400</v>
      </c>
      <c r="E176" s="15">
        <f>C176*D176</f>
        <v>17600</v>
      </c>
    </row>
    <row r="177" spans="1:6" x14ac:dyDescent="0.2">
      <c r="A177" s="16" t="s">
        <v>159</v>
      </c>
      <c r="B177" s="17" t="s">
        <v>8</v>
      </c>
      <c r="C177" s="15">
        <f>C155</f>
        <v>4</v>
      </c>
      <c r="D177" s="79">
        <v>104.36</v>
      </c>
      <c r="E177" s="18">
        <f>C177*D177</f>
        <v>417.44</v>
      </c>
    </row>
    <row r="178" spans="1:6" x14ac:dyDescent="0.2">
      <c r="A178" s="16" t="s">
        <v>11</v>
      </c>
      <c r="B178" s="17" t="s">
        <v>8</v>
      </c>
      <c r="C178" s="15">
        <f>C155</f>
        <v>4</v>
      </c>
      <c r="D178" s="79">
        <v>3600</v>
      </c>
      <c r="E178" s="18">
        <f>C178*D178</f>
        <v>14400</v>
      </c>
      <c r="F178" s="31"/>
    </row>
    <row r="179" spans="1:6" ht="13.5" thickBot="1" x14ac:dyDescent="0.25">
      <c r="A179" s="88" t="s">
        <v>12</v>
      </c>
      <c r="B179" s="89" t="s">
        <v>6</v>
      </c>
      <c r="C179" s="89">
        <v>12</v>
      </c>
      <c r="D179" s="90">
        <f>SUM(E176:E178)</f>
        <v>32417.439999999999</v>
      </c>
      <c r="E179" s="90">
        <f>D179/C179</f>
        <v>2701.4533333333334</v>
      </c>
    </row>
    <row r="180" spans="1:6" ht="13.5" thickBot="1" x14ac:dyDescent="0.25">
      <c r="D180" s="102" t="s">
        <v>160</v>
      </c>
      <c r="E180" s="246">
        <f>E172</f>
        <v>1.0000090909090908</v>
      </c>
      <c r="F180" s="103">
        <f>E179*E180</f>
        <v>2701.4778919999999</v>
      </c>
    </row>
    <row r="181" spans="1:6" ht="11.25" customHeight="1" x14ac:dyDescent="0.2"/>
    <row r="182" spans="1:6" x14ac:dyDescent="0.2">
      <c r="A182" s="9" t="s">
        <v>44</v>
      </c>
      <c r="B182" s="32"/>
    </row>
    <row r="183" spans="1:6" ht="13.5" thickBot="1" x14ac:dyDescent="0.25">
      <c r="A183" s="88" t="s">
        <v>102</v>
      </c>
      <c r="B183" s="250">
        <f>'7.Roteiros'!Z13+'7.Roteiros'!Z31</f>
        <v>8305.2488862428581</v>
      </c>
    </row>
    <row r="184" spans="1:6" ht="13.5" thickBot="1" x14ac:dyDescent="0.25">
      <c r="A184" s="55" t="s">
        <v>55</v>
      </c>
      <c r="B184" s="56" t="s">
        <v>56</v>
      </c>
      <c r="C184" s="56" t="s">
        <v>199</v>
      </c>
      <c r="D184" s="57" t="s">
        <v>188</v>
      </c>
      <c r="E184" s="57" t="s">
        <v>57</v>
      </c>
      <c r="F184" s="58" t="s">
        <v>58</v>
      </c>
    </row>
    <row r="185" spans="1:6" x14ac:dyDescent="0.2">
      <c r="A185" s="235" t="s">
        <v>257</v>
      </c>
      <c r="B185" s="14" t="s">
        <v>13</v>
      </c>
      <c r="C185" s="439">
        <v>2</v>
      </c>
      <c r="D185" s="85">
        <v>6.42</v>
      </c>
      <c r="E185" s="15"/>
    </row>
    <row r="186" spans="1:6" x14ac:dyDescent="0.2">
      <c r="A186" s="16" t="s">
        <v>14</v>
      </c>
      <c r="B186" s="17" t="s">
        <v>15</v>
      </c>
      <c r="C186" s="18">
        <f>B183-C188</f>
        <v>5177.2488862428581</v>
      </c>
      <c r="D186" s="214">
        <f>IFERROR(+D185/C185,"-")</f>
        <v>3.21</v>
      </c>
      <c r="E186" s="18">
        <f>IFERROR(C186*D186,"-")</f>
        <v>16618.968924839573</v>
      </c>
    </row>
    <row r="187" spans="1:6" x14ac:dyDescent="0.2">
      <c r="A187" s="235" t="s">
        <v>257</v>
      </c>
      <c r="B187" s="14" t="s">
        <v>13</v>
      </c>
      <c r="C187" s="439">
        <v>2.5</v>
      </c>
      <c r="D187" s="85">
        <v>6.42</v>
      </c>
      <c r="E187" s="15"/>
    </row>
    <row r="188" spans="1:6" x14ac:dyDescent="0.2">
      <c r="A188" s="16" t="s">
        <v>14</v>
      </c>
      <c r="B188" s="17" t="s">
        <v>15</v>
      </c>
      <c r="C188" s="18">
        <f>68*46</f>
        <v>3128</v>
      </c>
      <c r="D188" s="214">
        <f>IFERROR(+D187/C187,"-")</f>
        <v>2.5680000000000001</v>
      </c>
      <c r="E188" s="18">
        <f>IFERROR(C188*D188,"-")</f>
        <v>8032.7040000000006</v>
      </c>
    </row>
    <row r="189" spans="1:6" x14ac:dyDescent="0.2">
      <c r="A189" s="16" t="s">
        <v>189</v>
      </c>
      <c r="B189" s="17" t="s">
        <v>16</v>
      </c>
      <c r="C189" s="243">
        <v>1.33</v>
      </c>
      <c r="D189" s="238">
        <v>28</v>
      </c>
      <c r="E189" s="18"/>
    </row>
    <row r="190" spans="1:6" x14ac:dyDescent="0.2">
      <c r="A190" s="16" t="s">
        <v>17</v>
      </c>
      <c r="B190" s="17" t="s">
        <v>15</v>
      </c>
      <c r="C190" s="18">
        <f>B183</f>
        <v>8305.2488862428581</v>
      </c>
      <c r="D190" s="211">
        <f>+C189*D189/1000</f>
        <v>3.7240000000000002E-2</v>
      </c>
      <c r="E190" s="18">
        <f>C190*D190</f>
        <v>309.28746852368408</v>
      </c>
    </row>
    <row r="191" spans="1:6" x14ac:dyDescent="0.2">
      <c r="A191" s="16" t="s">
        <v>190</v>
      </c>
      <c r="B191" s="17" t="s">
        <v>16</v>
      </c>
      <c r="C191" s="243">
        <v>0.18</v>
      </c>
      <c r="D191" s="238">
        <v>29</v>
      </c>
      <c r="E191" s="18"/>
    </row>
    <row r="192" spans="1:6" x14ac:dyDescent="0.2">
      <c r="A192" s="16" t="s">
        <v>18</v>
      </c>
      <c r="B192" s="17" t="s">
        <v>15</v>
      </c>
      <c r="C192" s="18">
        <f>B183</f>
        <v>8305.2488862428581</v>
      </c>
      <c r="D192" s="211">
        <f>+C191*D191/1000</f>
        <v>5.2199999999999998E-3</v>
      </c>
      <c r="E192" s="18">
        <f>C192*D192</f>
        <v>43.353399186187715</v>
      </c>
    </row>
    <row r="193" spans="1:8" x14ac:dyDescent="0.2">
      <c r="A193" s="232" t="s">
        <v>260</v>
      </c>
      <c r="B193" s="233" t="s">
        <v>16</v>
      </c>
      <c r="C193" s="243">
        <v>2</v>
      </c>
      <c r="D193" s="238">
        <v>30</v>
      </c>
      <c r="E193" s="252"/>
    </row>
    <row r="194" spans="1:8" x14ac:dyDescent="0.2">
      <c r="A194" s="232" t="s">
        <v>261</v>
      </c>
      <c r="B194" s="233" t="s">
        <v>15</v>
      </c>
      <c r="C194" s="252">
        <f>B183</f>
        <v>8305.2488862428581</v>
      </c>
      <c r="D194" s="253">
        <f>+C193*D193/1000</f>
        <v>0.06</v>
      </c>
      <c r="E194" s="252">
        <f>C194*D194</f>
        <v>498.31493317457148</v>
      </c>
    </row>
    <row r="195" spans="1:8" x14ac:dyDescent="0.2">
      <c r="A195" s="232" t="s">
        <v>251</v>
      </c>
      <c r="B195" s="233" t="s">
        <v>16</v>
      </c>
      <c r="C195" s="243">
        <v>20</v>
      </c>
      <c r="D195" s="238">
        <v>3.8</v>
      </c>
      <c r="E195" s="18"/>
    </row>
    <row r="196" spans="1:8" x14ac:dyDescent="0.2">
      <c r="A196" s="232" t="s">
        <v>252</v>
      </c>
      <c r="B196" s="17" t="s">
        <v>15</v>
      </c>
      <c r="C196" s="18">
        <f>B183</f>
        <v>8305.2488862428581</v>
      </c>
      <c r="D196" s="211">
        <f>+C195*D195/1000</f>
        <v>7.5999999999999998E-2</v>
      </c>
      <c r="E196" s="18">
        <f>C196*D196</f>
        <v>631.1989153544572</v>
      </c>
    </row>
    <row r="197" spans="1:8" x14ac:dyDescent="0.2">
      <c r="A197" s="16" t="s">
        <v>19</v>
      </c>
      <c r="B197" s="17" t="s">
        <v>20</v>
      </c>
      <c r="C197" s="243">
        <v>1.5</v>
      </c>
      <c r="D197" s="238">
        <v>27</v>
      </c>
      <c r="E197" s="18"/>
    </row>
    <row r="198" spans="1:8" x14ac:dyDescent="0.2">
      <c r="A198" s="16" t="s">
        <v>21</v>
      </c>
      <c r="B198" s="17" t="s">
        <v>15</v>
      </c>
      <c r="C198" s="18">
        <f>B183</f>
        <v>8305.2488862428581</v>
      </c>
      <c r="D198" s="211">
        <f>+C197*D197/1000</f>
        <v>4.0500000000000001E-2</v>
      </c>
      <c r="E198" s="18">
        <f>C198*D198</f>
        <v>336.36257989283575</v>
      </c>
    </row>
    <row r="199" spans="1:8" ht="13.5" thickBot="1" x14ac:dyDescent="0.25">
      <c r="A199" s="88" t="s">
        <v>198</v>
      </c>
      <c r="B199" s="89" t="s">
        <v>103</v>
      </c>
      <c r="C199" s="212"/>
      <c r="D199" s="213">
        <f>IFERROR(D186+D190+D192+D196+D194+D198,0)</f>
        <v>3.4289600000000005</v>
      </c>
      <c r="E199" s="18"/>
    </row>
    <row r="200" spans="1:8" ht="13.5" thickBot="1" x14ac:dyDescent="0.25">
      <c r="F200" s="21">
        <f>SUM(E185:E198)</f>
        <v>26470.190220971312</v>
      </c>
    </row>
    <row r="201" spans="1:8" ht="13.5" thickBot="1" x14ac:dyDescent="0.25">
      <c r="A201" s="9" t="s">
        <v>45</v>
      </c>
    </row>
    <row r="202" spans="1:8" ht="13.5" thickBot="1" x14ac:dyDescent="0.25">
      <c r="A202" s="55" t="s">
        <v>55</v>
      </c>
      <c r="B202" s="56" t="s">
        <v>56</v>
      </c>
      <c r="C202" s="56" t="s">
        <v>32</v>
      </c>
      <c r="D202" s="57" t="s">
        <v>188</v>
      </c>
      <c r="E202" s="57" t="s">
        <v>57</v>
      </c>
      <c r="F202" s="58" t="s">
        <v>58</v>
      </c>
    </row>
    <row r="203" spans="1:8" ht="13.5" thickBot="1" x14ac:dyDescent="0.25">
      <c r="A203" s="13" t="s">
        <v>101</v>
      </c>
      <c r="B203" s="14" t="s">
        <v>103</v>
      </c>
      <c r="C203" s="18">
        <f>B183</f>
        <v>8305.2488862428581</v>
      </c>
      <c r="D203" s="78">
        <v>1</v>
      </c>
      <c r="E203" s="15">
        <f>C203*D203</f>
        <v>8305.2488862428581</v>
      </c>
    </row>
    <row r="204" spans="1:8" ht="13.5" thickBot="1" x14ac:dyDescent="0.25">
      <c r="F204" s="21">
        <f>E203</f>
        <v>8305.2488862428581</v>
      </c>
      <c r="H204" s="76"/>
    </row>
    <row r="205" spans="1:8" ht="13.5" thickBot="1" x14ac:dyDescent="0.25">
      <c r="A205" s="9" t="s">
        <v>53</v>
      </c>
    </row>
    <row r="206" spans="1:8" ht="13.5" thickBot="1" x14ac:dyDescent="0.25">
      <c r="A206" s="55" t="s">
        <v>55</v>
      </c>
      <c r="B206" s="56" t="s">
        <v>56</v>
      </c>
      <c r="C206" s="56" t="s">
        <v>32</v>
      </c>
      <c r="D206" s="57" t="s">
        <v>188</v>
      </c>
      <c r="E206" s="57" t="s">
        <v>57</v>
      </c>
      <c r="F206" s="58" t="s">
        <v>58</v>
      </c>
    </row>
    <row r="207" spans="1:8" x14ac:dyDescent="0.2">
      <c r="A207" s="235" t="s">
        <v>248</v>
      </c>
      <c r="B207" s="14" t="s">
        <v>8</v>
      </c>
      <c r="C207" s="84">
        <v>6</v>
      </c>
      <c r="D207" s="78">
        <v>2800</v>
      </c>
      <c r="E207" s="15">
        <f>C207*D207</f>
        <v>16800</v>
      </c>
    </row>
    <row r="208" spans="1:8" x14ac:dyDescent="0.2">
      <c r="A208" s="13" t="s">
        <v>104</v>
      </c>
      <c r="B208" s="14" t="s">
        <v>8</v>
      </c>
      <c r="C208" s="84">
        <v>2</v>
      </c>
      <c r="D208" s="91"/>
      <c r="E208" s="15"/>
    </row>
    <row r="209" spans="1:6" x14ac:dyDescent="0.2">
      <c r="A209" s="13" t="s">
        <v>62</v>
      </c>
      <c r="B209" s="14" t="s">
        <v>8</v>
      </c>
      <c r="C209" s="15">
        <f>C207*C208</f>
        <v>12</v>
      </c>
      <c r="D209" s="78">
        <v>800</v>
      </c>
      <c r="E209" s="15">
        <f>C209*D209</f>
        <v>9600</v>
      </c>
    </row>
    <row r="210" spans="1:6" x14ac:dyDescent="0.2">
      <c r="A210" s="232" t="s">
        <v>249</v>
      </c>
      <c r="B210" s="17" t="s">
        <v>22</v>
      </c>
      <c r="C210" s="86">
        <v>80000</v>
      </c>
      <c r="D210" s="18">
        <f>E207+E209</f>
        <v>26400</v>
      </c>
      <c r="E210" s="18">
        <f>IFERROR(D210/C210,"-")</f>
        <v>0.33</v>
      </c>
    </row>
    <row r="211" spans="1:6" ht="13.5" thickBot="1" x14ac:dyDescent="0.25">
      <c r="A211" s="16" t="s">
        <v>47</v>
      </c>
      <c r="B211" s="17" t="s">
        <v>15</v>
      </c>
      <c r="C211" s="18">
        <f>B183</f>
        <v>8305.2488862428581</v>
      </c>
      <c r="D211" s="18">
        <f>E210</f>
        <v>0.33</v>
      </c>
      <c r="E211" s="18">
        <f>IFERROR(C211*D211,0)</f>
        <v>2740.7321324601435</v>
      </c>
    </row>
    <row r="212" spans="1:6" ht="13.5" thickBot="1" x14ac:dyDescent="0.25">
      <c r="F212" s="21">
        <f>E211</f>
        <v>2740.7321324601435</v>
      </c>
    </row>
    <row r="213" spans="1:6" ht="11.25" customHeight="1" thickBot="1" x14ac:dyDescent="0.25"/>
    <row r="214" spans="1:6" ht="13.5" thickBot="1" x14ac:dyDescent="0.25">
      <c r="A214" s="24" t="s">
        <v>183</v>
      </c>
      <c r="B214" s="25"/>
      <c r="C214" s="25"/>
      <c r="D214" s="26"/>
      <c r="E214" s="27"/>
      <c r="F214" s="21">
        <f>+SUM(F143:F213)</f>
        <v>81144.741192765214</v>
      </c>
    </row>
    <row r="215" spans="1:6" ht="11.25" customHeight="1" x14ac:dyDescent="0.2"/>
    <row r="216" spans="1:6" ht="13.5" thickBot="1" x14ac:dyDescent="0.25">
      <c r="A216" s="11" t="s">
        <v>65</v>
      </c>
      <c r="B216" s="11"/>
      <c r="C216" s="11"/>
      <c r="D216" s="34"/>
      <c r="E216" s="34"/>
      <c r="F216" s="33"/>
    </row>
    <row r="217" spans="1:6" ht="13.5" thickBot="1" x14ac:dyDescent="0.25">
      <c r="A217" s="55" t="s">
        <v>55</v>
      </c>
      <c r="B217" s="56" t="s">
        <v>56</v>
      </c>
      <c r="C217" s="56" t="s">
        <v>253</v>
      </c>
      <c r="D217" s="57" t="s">
        <v>188</v>
      </c>
      <c r="E217" s="57" t="s">
        <v>57</v>
      </c>
      <c r="F217" s="58" t="s">
        <v>58</v>
      </c>
    </row>
    <row r="218" spans="1:6" x14ac:dyDescent="0.2">
      <c r="A218" s="232" t="s">
        <v>461</v>
      </c>
      <c r="B218" s="17" t="s">
        <v>8</v>
      </c>
      <c r="C218" s="244">
        <v>6</v>
      </c>
      <c r="D218" s="78">
        <v>45</v>
      </c>
      <c r="E218" s="18">
        <f>D218/C218</f>
        <v>7.5</v>
      </c>
      <c r="F218" s="52"/>
    </row>
    <row r="219" spans="1:6" x14ac:dyDescent="0.2">
      <c r="A219" s="232" t="s">
        <v>462</v>
      </c>
      <c r="B219" s="17" t="s">
        <v>8</v>
      </c>
      <c r="C219" s="244">
        <v>6</v>
      </c>
      <c r="D219" s="78">
        <v>35</v>
      </c>
      <c r="E219" s="18">
        <f t="shared" ref="E219:E222" si="6">D219/C219</f>
        <v>5.833333333333333</v>
      </c>
      <c r="F219" s="52"/>
    </row>
    <row r="220" spans="1:6" x14ac:dyDescent="0.2">
      <c r="A220" s="232" t="s">
        <v>463</v>
      </c>
      <c r="B220" s="17" t="s">
        <v>8</v>
      </c>
      <c r="C220" s="244">
        <v>6</v>
      </c>
      <c r="D220" s="78">
        <v>25</v>
      </c>
      <c r="E220" s="18">
        <f t="shared" si="6"/>
        <v>4.166666666666667</v>
      </c>
      <c r="F220" s="52"/>
    </row>
    <row r="221" spans="1:6" x14ac:dyDescent="0.2">
      <c r="A221" s="232" t="s">
        <v>49</v>
      </c>
      <c r="B221" s="17" t="s">
        <v>50</v>
      </c>
      <c r="C221" s="244">
        <v>12</v>
      </c>
      <c r="D221" s="78">
        <v>300</v>
      </c>
      <c r="E221" s="18">
        <f t="shared" si="6"/>
        <v>25</v>
      </c>
      <c r="F221" s="52"/>
    </row>
    <row r="222" spans="1:6" x14ac:dyDescent="0.2">
      <c r="A222" s="16" t="s">
        <v>52</v>
      </c>
      <c r="B222" s="17" t="s">
        <v>50</v>
      </c>
      <c r="C222" s="244">
        <v>12</v>
      </c>
      <c r="D222" s="78">
        <v>400</v>
      </c>
      <c r="E222" s="18">
        <f t="shared" si="6"/>
        <v>33.333333333333336</v>
      </c>
      <c r="F222" s="52"/>
    </row>
    <row r="223" spans="1:6" ht="13.5" thickBot="1" x14ac:dyDescent="0.25">
      <c r="A223" s="88" t="s">
        <v>201</v>
      </c>
      <c r="B223" s="89" t="s">
        <v>8</v>
      </c>
      <c r="C223" s="75">
        <f>C155</f>
        <v>4</v>
      </c>
      <c r="D223" s="90">
        <f>SUM(E218:E222)</f>
        <v>75.833333333333343</v>
      </c>
      <c r="E223" s="90">
        <f>C223*D223</f>
        <v>303.33333333333337</v>
      </c>
      <c r="F223" s="52"/>
    </row>
    <row r="224" spans="1:6" ht="13.5" thickBot="1" x14ac:dyDescent="0.25">
      <c r="A224" s="11"/>
      <c r="B224" s="11"/>
      <c r="C224" s="11"/>
      <c r="D224" s="11"/>
      <c r="E224" s="34"/>
      <c r="F224" s="21">
        <f>E223</f>
        <v>303.33333333333337</v>
      </c>
    </row>
    <row r="225" spans="1:6" ht="11.25" customHeight="1" thickBot="1" x14ac:dyDescent="0.25"/>
    <row r="226" spans="1:6" ht="13.5" thickBot="1" x14ac:dyDescent="0.25">
      <c r="A226" s="24" t="s">
        <v>184</v>
      </c>
      <c r="B226" s="25"/>
      <c r="C226" s="25"/>
      <c r="D226" s="26"/>
      <c r="E226" s="27"/>
      <c r="F226" s="21">
        <f>+F224</f>
        <v>303.33333333333337</v>
      </c>
    </row>
    <row r="227" spans="1:6" ht="11.25" customHeight="1" x14ac:dyDescent="0.2"/>
    <row r="228" spans="1:6" ht="13.5" thickBot="1" x14ac:dyDescent="0.25">
      <c r="A228" s="11" t="s">
        <v>273</v>
      </c>
      <c r="B228" s="11"/>
      <c r="C228" s="11"/>
      <c r="D228" s="34"/>
      <c r="E228" s="34"/>
      <c r="F228" s="33"/>
    </row>
    <row r="229" spans="1:6" ht="13.5" thickBot="1" x14ac:dyDescent="0.25">
      <c r="A229" s="55" t="s">
        <v>55</v>
      </c>
      <c r="B229" s="56" t="s">
        <v>56</v>
      </c>
      <c r="C229" s="56" t="s">
        <v>32</v>
      </c>
      <c r="D229" s="57" t="s">
        <v>188</v>
      </c>
      <c r="E229" s="57" t="s">
        <v>57</v>
      </c>
      <c r="F229" s="58" t="s">
        <v>58</v>
      </c>
    </row>
    <row r="230" spans="1:6" x14ac:dyDescent="0.2">
      <c r="A230" s="232" t="s">
        <v>274</v>
      </c>
      <c r="B230" s="51" t="s">
        <v>56</v>
      </c>
      <c r="C230" s="64">
        <v>8</v>
      </c>
      <c r="D230" s="79">
        <v>150</v>
      </c>
      <c r="E230" s="18">
        <f>+D230*C230</f>
        <v>1200</v>
      </c>
      <c r="F230" s="52"/>
    </row>
    <row r="231" spans="1:6" ht="25.5" x14ac:dyDescent="0.2">
      <c r="A231" s="441" t="s">
        <v>464</v>
      </c>
      <c r="B231" s="51" t="s">
        <v>8</v>
      </c>
      <c r="C231" s="307">
        <v>1</v>
      </c>
      <c r="D231" s="238">
        <v>3200</v>
      </c>
      <c r="E231" s="252">
        <f>+D231*C231</f>
        <v>3200</v>
      </c>
      <c r="F231" s="52"/>
    </row>
    <row r="232" spans="1:6" s="50" customFormat="1" ht="22.5" customHeight="1" thickBot="1" x14ac:dyDescent="0.25">
      <c r="A232" s="441" t="s">
        <v>451</v>
      </c>
      <c r="B232" s="51" t="s">
        <v>254</v>
      </c>
      <c r="C232" s="233">
        <f>C82*25</f>
        <v>625</v>
      </c>
      <c r="D232" s="238">
        <v>2.4</v>
      </c>
      <c r="E232" s="252">
        <f t="shared" ref="E232" si="7">+D232*C232</f>
        <v>1500</v>
      </c>
      <c r="F232" s="10"/>
    </row>
    <row r="233" spans="1:6" ht="13.5" thickBot="1" x14ac:dyDescent="0.25">
      <c r="A233" s="24" t="s">
        <v>275</v>
      </c>
      <c r="B233" s="25"/>
      <c r="C233" s="25"/>
      <c r="D233" s="26"/>
      <c r="E233" s="27"/>
      <c r="F233" s="21">
        <f>SUM(E230:E232)</f>
        <v>5900</v>
      </c>
    </row>
    <row r="234" spans="1:6" x14ac:dyDescent="0.2">
      <c r="A234" s="11"/>
      <c r="B234" s="11"/>
      <c r="C234" s="11"/>
      <c r="D234" s="34"/>
      <c r="E234" s="34"/>
    </row>
    <row r="235" spans="1:6" ht="13.5" thickBot="1" x14ac:dyDescent="0.25">
      <c r="A235" s="281" t="s">
        <v>291</v>
      </c>
      <c r="B235" s="281"/>
      <c r="C235" s="281"/>
      <c r="D235" s="282"/>
      <c r="E235" s="282"/>
      <c r="F235" s="283"/>
    </row>
    <row r="236" spans="1:6" ht="13.5" thickBot="1" x14ac:dyDescent="0.25">
      <c r="A236" s="284" t="s">
        <v>55</v>
      </c>
      <c r="B236" s="285" t="s">
        <v>56</v>
      </c>
      <c r="C236" s="285" t="s">
        <v>32</v>
      </c>
      <c r="D236" s="286" t="s">
        <v>188</v>
      </c>
      <c r="E236" s="286" t="s">
        <v>57</v>
      </c>
      <c r="F236" s="287" t="s">
        <v>268</v>
      </c>
    </row>
    <row r="237" spans="1:6" x14ac:dyDescent="0.2">
      <c r="A237" s="288" t="s">
        <v>292</v>
      </c>
      <c r="B237" s="289" t="s">
        <v>50</v>
      </c>
      <c r="C237" s="290">
        <v>1</v>
      </c>
      <c r="D237" s="291">
        <v>600</v>
      </c>
      <c r="E237" s="292">
        <f>+D237*C237</f>
        <v>600</v>
      </c>
      <c r="F237" s="293"/>
    </row>
    <row r="238" spans="1:6" x14ac:dyDescent="0.2">
      <c r="A238" s="288" t="s">
        <v>293</v>
      </c>
      <c r="B238" s="289" t="s">
        <v>6</v>
      </c>
      <c r="C238" s="294">
        <v>60</v>
      </c>
      <c r="D238" s="295">
        <f>SUM(E237)</f>
        <v>600</v>
      </c>
      <c r="E238" s="295">
        <f>+D238/C238</f>
        <v>10</v>
      </c>
      <c r="F238" s="293"/>
    </row>
    <row r="239" spans="1:6" x14ac:dyDescent="0.2">
      <c r="A239" s="288" t="s">
        <v>294</v>
      </c>
      <c r="B239" s="294" t="s">
        <v>8</v>
      </c>
      <c r="C239" s="290">
        <f>+C237</f>
        <v>1</v>
      </c>
      <c r="D239" s="291">
        <v>130</v>
      </c>
      <c r="E239" s="292">
        <f>C239*D239</f>
        <v>130</v>
      </c>
      <c r="F239" s="293"/>
    </row>
    <row r="240" spans="1:6" ht="13.5" thickBot="1" x14ac:dyDescent="0.25">
      <c r="A240" s="288" t="s">
        <v>295</v>
      </c>
      <c r="B240" s="289" t="s">
        <v>6</v>
      </c>
      <c r="C240" s="294">
        <v>1</v>
      </c>
      <c r="D240" s="295">
        <f>+E239</f>
        <v>130</v>
      </c>
      <c r="E240" s="295">
        <f>+D240/C240</f>
        <v>130</v>
      </c>
      <c r="F240" s="293"/>
    </row>
    <row r="241" spans="1:6" ht="13.5" thickBot="1" x14ac:dyDescent="0.25">
      <c r="A241" s="296"/>
      <c r="B241" s="296"/>
      <c r="C241" s="296"/>
      <c r="D241" s="297" t="s">
        <v>160</v>
      </c>
      <c r="E241" s="298">
        <f>E68</f>
        <v>1.0000090909090908</v>
      </c>
      <c r="F241" s="299">
        <f>(E238+E240)*E241</f>
        <v>140.00127272727272</v>
      </c>
    </row>
    <row r="242" spans="1:6" ht="13.5" thickBot="1" x14ac:dyDescent="0.25">
      <c r="A242" s="300"/>
      <c r="B242" s="300"/>
      <c r="C242" s="300"/>
      <c r="D242" s="301"/>
      <c r="E242" s="301"/>
      <c r="F242" s="301"/>
    </row>
    <row r="243" spans="1:6" ht="13.5" thickBot="1" x14ac:dyDescent="0.25">
      <c r="A243" s="302" t="s">
        <v>296</v>
      </c>
      <c r="B243" s="303"/>
      <c r="C243" s="303"/>
      <c r="D243" s="304"/>
      <c r="E243" s="305"/>
      <c r="F243" s="299">
        <f>+F241</f>
        <v>140.00127272727272</v>
      </c>
    </row>
    <row r="244" spans="1:6" ht="11.25" customHeight="1" thickBot="1" x14ac:dyDescent="0.25"/>
    <row r="245" spans="1:6" ht="17.25" customHeight="1" thickBot="1" x14ac:dyDescent="0.25">
      <c r="A245" s="24" t="s">
        <v>185</v>
      </c>
      <c r="B245" s="28"/>
      <c r="C245" s="28"/>
      <c r="D245" s="29"/>
      <c r="E245" s="30"/>
      <c r="F245" s="22">
        <f>+F104+F137+F214+F226+F233+F243</f>
        <v>157992.69379098379</v>
      </c>
    </row>
    <row r="246" spans="1:6" ht="11.25" customHeight="1" x14ac:dyDescent="0.2"/>
    <row r="247" spans="1:6" ht="13.5" thickBot="1" x14ac:dyDescent="0.25">
      <c r="A247" s="11" t="s">
        <v>297</v>
      </c>
    </row>
    <row r="248" spans="1:6" ht="13.5" thickBot="1" x14ac:dyDescent="0.25">
      <c r="A248" s="55" t="s">
        <v>55</v>
      </c>
      <c r="B248" s="56" t="s">
        <v>56</v>
      </c>
      <c r="C248" s="56" t="s">
        <v>32</v>
      </c>
      <c r="D248" s="57" t="s">
        <v>188</v>
      </c>
      <c r="E248" s="57" t="s">
        <v>57</v>
      </c>
      <c r="F248" s="58" t="s">
        <v>58</v>
      </c>
    </row>
    <row r="249" spans="1:6" ht="13.5" thickBot="1" x14ac:dyDescent="0.25">
      <c r="A249" s="13" t="s">
        <v>29</v>
      </c>
      <c r="B249" s="14" t="s">
        <v>1</v>
      </c>
      <c r="C249" s="116">
        <f>'5.BDI'!C18*100</f>
        <v>25.580000000000002</v>
      </c>
      <c r="D249" s="15">
        <f>+F245</f>
        <v>157992.69379098379</v>
      </c>
      <c r="E249" s="15">
        <f>C249*D249/100</f>
        <v>40414.531071733654</v>
      </c>
    </row>
    <row r="250" spans="1:6" ht="13.5" thickBot="1" x14ac:dyDescent="0.25">
      <c r="F250" s="21">
        <f>+E249</f>
        <v>40414.531071733654</v>
      </c>
    </row>
    <row r="251" spans="1:6" ht="11.25" customHeight="1" thickBot="1" x14ac:dyDescent="0.25"/>
    <row r="252" spans="1:6" ht="13.5" thickBot="1" x14ac:dyDescent="0.25">
      <c r="A252" s="24" t="s">
        <v>192</v>
      </c>
      <c r="B252" s="28"/>
      <c r="C252" s="28"/>
      <c r="D252" s="29"/>
      <c r="E252" s="30"/>
      <c r="F252" s="22">
        <f>F250</f>
        <v>40414.531071733654</v>
      </c>
    </row>
    <row r="253" spans="1:6" ht="13.5" thickBot="1" x14ac:dyDescent="0.25">
      <c r="A253" s="11"/>
      <c r="B253" s="11"/>
      <c r="C253" s="11"/>
      <c r="D253" s="34"/>
      <c r="E253" s="34"/>
      <c r="F253" s="33"/>
    </row>
    <row r="254" spans="1:6" ht="24.75" customHeight="1" thickBot="1" x14ac:dyDescent="0.25">
      <c r="A254" s="24" t="s">
        <v>186</v>
      </c>
      <c r="B254" s="28"/>
      <c r="C254" s="28"/>
      <c r="D254" s="29"/>
      <c r="E254" s="30"/>
      <c r="F254" s="22">
        <f>F245+F252</f>
        <v>198407.22486271744</v>
      </c>
    </row>
    <row r="255" spans="1:6" ht="14.25" x14ac:dyDescent="0.2">
      <c r="A255" s="8"/>
      <c r="B255" s="8"/>
      <c r="C255" s="8"/>
      <c r="D255" s="35"/>
      <c r="E255" s="35"/>
    </row>
    <row r="256" spans="1:6" ht="16.149999999999999" hidden="1" customHeight="1" x14ac:dyDescent="0.2">
      <c r="A256" s="88" t="s">
        <v>182</v>
      </c>
      <c r="B256" s="16"/>
      <c r="C256" s="16"/>
      <c r="D256" s="247"/>
      <c r="E256" s="248" t="s">
        <v>23</v>
      </c>
    </row>
    <row r="257" spans="1:6" ht="13.5" hidden="1" thickBot="1" x14ac:dyDescent="0.25"/>
    <row r="258" spans="1:6" ht="25.5" hidden="1" customHeight="1" thickBot="1" x14ac:dyDescent="0.25">
      <c r="A258" s="24" t="s">
        <v>61</v>
      </c>
      <c r="B258" s="25"/>
      <c r="C258" s="25"/>
      <c r="D258" s="26"/>
      <c r="E258" s="196" t="s">
        <v>27</v>
      </c>
      <c r="F258" s="197" t="str">
        <f>IFERROR(F254/D256,"-")</f>
        <v>-</v>
      </c>
    </row>
    <row r="259" spans="1:6" s="4" customFormat="1" ht="9.75" customHeight="1" x14ac:dyDescent="0.2">
      <c r="A259" s="38"/>
      <c r="B259" s="10"/>
      <c r="C259" s="10"/>
      <c r="D259" s="10"/>
      <c r="E259" s="10"/>
      <c r="F259" s="10"/>
    </row>
    <row r="289" s="9" customFormat="1" ht="9" customHeight="1" x14ac:dyDescent="0.2"/>
  </sheetData>
  <mergeCells count="7">
    <mergeCell ref="A42:D42"/>
    <mergeCell ref="A6:F6"/>
    <mergeCell ref="A7:F7"/>
    <mergeCell ref="A9:F9"/>
    <mergeCell ref="A19:C19"/>
    <mergeCell ref="A35:E35"/>
    <mergeCell ref="A36:D36"/>
  </mergeCells>
  <hyperlinks>
    <hyperlink ref="A158" location="AbaRemun" display="3.1.2. Remuneração do Capital" xr:uid="{00000000-0004-0000-0100-000000000000}"/>
    <hyperlink ref="A141" location="AbaDeprec" display="3.1.1. Depreciação" xr:uid="{00000000-0004-0000-0100-000001000000}"/>
  </hyperlinks>
  <pageMargins left="0.9055118110236221" right="0.51181102362204722" top="0.74803149606299213" bottom="0.74803149606299213" header="0.31496062992125984" footer="0.31496062992125984"/>
  <pageSetup paperSize="9" scale="74" fitToHeight="4" orientation="portrait" r:id="rId1"/>
  <headerFooter alignWithMargins="0">
    <oddFooter>&amp;R&amp;P de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83"/>
  <sheetViews>
    <sheetView topLeftCell="A11" zoomScale="130" zoomScaleNormal="130" zoomScaleSheetLayoutView="100" workbookViewId="0"/>
  </sheetViews>
  <sheetFormatPr defaultColWidth="9.140625" defaultRowHeight="12.75" x14ac:dyDescent="0.2"/>
  <cols>
    <col min="1" max="1" width="44.5703125" style="7" customWidth="1"/>
    <col min="2" max="2" width="16" style="7" bestFit="1" customWidth="1"/>
    <col min="3" max="3" width="11.85546875" style="7" customWidth="1"/>
    <col min="4" max="4" width="14.7109375" style="273" customWidth="1"/>
    <col min="5" max="5" width="15.42578125" style="273" customWidth="1"/>
    <col min="6" max="6" width="13.28515625" style="273" customWidth="1"/>
    <col min="7" max="7" width="28.140625" style="273" customWidth="1"/>
    <col min="8" max="8" width="9.140625" style="7"/>
    <col min="9" max="9" width="14.5703125" style="7" customWidth="1"/>
    <col min="10" max="10" width="13.42578125" style="7" customWidth="1"/>
    <col min="11" max="16384" width="9.140625" style="7"/>
  </cols>
  <sheetData>
    <row r="1" spans="1:7" ht="15.75" hidden="1" x14ac:dyDescent="0.2">
      <c r="A1" s="308" t="s">
        <v>167</v>
      </c>
    </row>
    <row r="2" spans="1:7" ht="15.75" hidden="1" x14ac:dyDescent="0.2">
      <c r="A2" s="356" t="s">
        <v>384</v>
      </c>
    </row>
    <row r="3" spans="1:7" ht="15.75" hidden="1" x14ac:dyDescent="0.2">
      <c r="A3" s="356" t="s">
        <v>385</v>
      </c>
    </row>
    <row r="4" spans="1:7" ht="15.75" hidden="1" x14ac:dyDescent="0.2">
      <c r="A4" s="356" t="s">
        <v>391</v>
      </c>
    </row>
    <row r="5" spans="1:7" s="4" customFormat="1" ht="15.6" hidden="1" customHeight="1" x14ac:dyDescent="0.2">
      <c r="A5" s="308" t="s">
        <v>386</v>
      </c>
      <c r="C5" s="5"/>
      <c r="D5" s="5"/>
      <c r="E5" s="5"/>
      <c r="F5" s="5"/>
      <c r="G5" s="6"/>
    </row>
    <row r="6" spans="1:7" s="4" customFormat="1" ht="15.6" hidden="1" customHeight="1" x14ac:dyDescent="0.2">
      <c r="A6" s="357" t="s">
        <v>387</v>
      </c>
      <c r="B6" s="5"/>
      <c r="C6" s="5"/>
      <c r="D6" s="5"/>
      <c r="E6" s="5"/>
      <c r="F6" s="5"/>
      <c r="G6" s="6"/>
    </row>
    <row r="7" spans="1:7" s="4" customFormat="1" ht="15.6" hidden="1" customHeight="1" x14ac:dyDescent="0.2">
      <c r="A7" s="7"/>
      <c r="B7" s="5"/>
      <c r="C7" s="5"/>
      <c r="D7" s="5"/>
      <c r="E7" s="5"/>
      <c r="F7" s="5"/>
      <c r="G7" s="6"/>
    </row>
    <row r="8" spans="1:7" s="4" customFormat="1" ht="15.6" hidden="1" customHeight="1" x14ac:dyDescent="0.2">
      <c r="A8" s="358" t="s">
        <v>392</v>
      </c>
      <c r="B8" s="5"/>
      <c r="C8" s="5"/>
      <c r="D8" s="5"/>
      <c r="E8" s="5"/>
      <c r="F8" s="5"/>
      <c r="G8" s="6"/>
    </row>
    <row r="9" spans="1:7" s="4" customFormat="1" ht="15.6" hidden="1" customHeight="1" x14ac:dyDescent="0.2">
      <c r="A9" s="356" t="s">
        <v>388</v>
      </c>
      <c r="B9" s="5"/>
      <c r="C9" s="5"/>
      <c r="D9" s="5"/>
      <c r="E9" s="5"/>
      <c r="F9" s="5"/>
      <c r="G9" s="6"/>
    </row>
    <row r="10" spans="1:7" s="4" customFormat="1" ht="16.5" hidden="1" customHeight="1" x14ac:dyDescent="0.2">
      <c r="A10" s="7"/>
      <c r="B10" s="5"/>
      <c r="C10" s="5"/>
      <c r="D10" s="6"/>
      <c r="E10" s="6"/>
      <c r="F10" s="6"/>
      <c r="G10" s="6"/>
    </row>
    <row r="11" spans="1:7" s="4" customFormat="1" ht="16.5" customHeight="1" thickBot="1" x14ac:dyDescent="0.25">
      <c r="A11" s="123" t="s">
        <v>383</v>
      </c>
      <c r="B11" s="5"/>
      <c r="C11" s="5"/>
      <c r="D11" s="6"/>
      <c r="E11" s="6"/>
      <c r="F11" s="6"/>
      <c r="G11" s="6"/>
    </row>
    <row r="12" spans="1:7" s="8" customFormat="1" ht="18" x14ac:dyDescent="0.2">
      <c r="A12" s="461" t="s">
        <v>465</v>
      </c>
      <c r="B12" s="462"/>
      <c r="C12" s="462"/>
      <c r="D12" s="462"/>
      <c r="E12" s="462"/>
      <c r="F12" s="463"/>
      <c r="G12" s="35"/>
    </row>
    <row r="13" spans="1:7" s="8" customFormat="1" ht="21.75" customHeight="1" x14ac:dyDescent="0.2">
      <c r="A13" s="464" t="s">
        <v>35</v>
      </c>
      <c r="B13" s="465"/>
      <c r="C13" s="465"/>
      <c r="D13" s="465"/>
      <c r="E13" s="465"/>
      <c r="F13" s="466"/>
      <c r="G13" s="35"/>
    </row>
    <row r="14" spans="1:7" s="4" customFormat="1" ht="10.9" customHeight="1" thickBot="1" x14ac:dyDescent="0.25">
      <c r="A14" s="124"/>
      <c r="B14" s="5"/>
      <c r="C14" s="5"/>
      <c r="D14" s="125"/>
      <c r="E14" s="125"/>
      <c r="F14" s="126"/>
      <c r="G14" s="6"/>
    </row>
    <row r="15" spans="1:7" s="4" customFormat="1" ht="15.75" customHeight="1" thickBot="1" x14ac:dyDescent="0.25">
      <c r="A15" s="467" t="s">
        <v>166</v>
      </c>
      <c r="B15" s="468"/>
      <c r="C15" s="468"/>
      <c r="D15" s="468"/>
      <c r="E15" s="468"/>
      <c r="F15" s="469"/>
      <c r="G15" s="6"/>
    </row>
    <row r="16" spans="1:7" s="4" customFormat="1" ht="15.75" customHeight="1" x14ac:dyDescent="0.2">
      <c r="A16" s="59" t="s">
        <v>165</v>
      </c>
      <c r="B16" s="39"/>
      <c r="C16" s="39"/>
      <c r="D16" s="201"/>
      <c r="E16" s="96" t="s">
        <v>30</v>
      </c>
      <c r="F16" s="40" t="s">
        <v>1</v>
      </c>
      <c r="G16" s="6"/>
    </row>
    <row r="17" spans="1:7" s="11" customFormat="1" ht="15.75" customHeight="1" x14ac:dyDescent="0.2">
      <c r="A17" s="104" t="str">
        <f>A43</f>
        <v>1. Mão-de-obra</v>
      </c>
      <c r="B17" s="105"/>
      <c r="C17" s="106"/>
      <c r="D17" s="106"/>
      <c r="E17" s="198">
        <f>+F70</f>
        <v>6202.7306799999988</v>
      </c>
      <c r="F17" s="107">
        <f t="shared" ref="F17:F30" si="0">IFERROR(E17/$E$31,0)</f>
        <v>0.32102771841766758</v>
      </c>
      <c r="G17" s="43"/>
    </row>
    <row r="18" spans="1:7" s="4" customFormat="1" ht="15.75" customHeight="1" x14ac:dyDescent="0.2">
      <c r="A18" s="48" t="str">
        <f>A44</f>
        <v xml:space="preserve">1.1. Operador de Máquinas </v>
      </c>
      <c r="B18" s="44"/>
      <c r="C18" s="46"/>
      <c r="D18" s="46"/>
      <c r="E18" s="199">
        <f>F52</f>
        <v>5649.0156799999986</v>
      </c>
      <c r="F18" s="53">
        <f t="shared" si="0"/>
        <v>0.29236971724460376</v>
      </c>
      <c r="G18" s="6"/>
    </row>
    <row r="19" spans="1:7" s="4" customFormat="1" ht="15.75" customHeight="1" x14ac:dyDescent="0.2">
      <c r="A19" s="48" t="str">
        <f>A54</f>
        <v>1.2. Vale Transporte</v>
      </c>
      <c r="B19" s="44"/>
      <c r="C19" s="46"/>
      <c r="D19" s="46"/>
      <c r="E19" s="199">
        <f>F59</f>
        <v>13.960000000000017</v>
      </c>
      <c r="F19" s="53">
        <f t="shared" si="0"/>
        <v>7.225119355191229E-4</v>
      </c>
      <c r="G19" s="6"/>
    </row>
    <row r="20" spans="1:7" s="4" customFormat="1" ht="15.75" customHeight="1" x14ac:dyDescent="0.2">
      <c r="A20" s="48" t="str">
        <f>A61</f>
        <v xml:space="preserve">1.3. Vale Alimentação </v>
      </c>
      <c r="B20" s="44"/>
      <c r="C20" s="46"/>
      <c r="D20" s="46"/>
      <c r="E20" s="199">
        <f>F64</f>
        <v>514.75500000000011</v>
      </c>
      <c r="F20" s="53">
        <f t="shared" si="0"/>
        <v>2.66415925048815E-2</v>
      </c>
      <c r="G20" s="6"/>
    </row>
    <row r="21" spans="1:7" s="4" customFormat="1" ht="15.75" customHeight="1" x14ac:dyDescent="0.2">
      <c r="A21" s="48" t="str">
        <f>A65</f>
        <v xml:space="preserve">1.4. Plano de Benefício Social  (Seguro de vida) </v>
      </c>
      <c r="B21" s="44"/>
      <c r="C21" s="46"/>
      <c r="D21" s="46"/>
      <c r="E21" s="199">
        <f>F68</f>
        <v>25</v>
      </c>
      <c r="F21" s="53">
        <f t="shared" si="0"/>
        <v>1.2938967326631841E-3</v>
      </c>
      <c r="G21" s="6"/>
    </row>
    <row r="22" spans="1:7" s="11" customFormat="1" ht="15.75" customHeight="1" x14ac:dyDescent="0.2">
      <c r="A22" s="470" t="str">
        <f>A72</f>
        <v>2. Uniformes e Equipamentos de Proteção Individual</v>
      </c>
      <c r="B22" s="471"/>
      <c r="C22" s="471"/>
      <c r="D22" s="106"/>
      <c r="E22" s="198">
        <f>+F90</f>
        <v>131.53333333333333</v>
      </c>
      <c r="F22" s="107">
        <f t="shared" si="0"/>
        <v>6.8076220094518995E-3</v>
      </c>
      <c r="G22" s="43"/>
    </row>
    <row r="23" spans="1:7" s="11" customFormat="1" ht="15.75" customHeight="1" x14ac:dyDescent="0.2">
      <c r="A23" s="340" t="str">
        <f>A92</f>
        <v xml:space="preserve">3. Veículos e Máquinas </v>
      </c>
      <c r="B23" s="114"/>
      <c r="C23" s="106"/>
      <c r="D23" s="106"/>
      <c r="E23" s="198">
        <f>+F132</f>
        <v>9051.5299999999988</v>
      </c>
      <c r="F23" s="107">
        <f t="shared" si="0"/>
        <v>0.46846980370411162</v>
      </c>
      <c r="G23" s="43"/>
    </row>
    <row r="24" spans="1:7" s="4" customFormat="1" ht="15.75" customHeight="1" x14ac:dyDescent="0.2">
      <c r="A24" s="60" t="str">
        <f>A93</f>
        <v>3.1. Retroescavadeira</v>
      </c>
      <c r="B24" s="45"/>
      <c r="C24" s="46"/>
      <c r="D24" s="46"/>
      <c r="E24" s="199">
        <f>SUM(E25:E29)</f>
        <v>9051.5299999999988</v>
      </c>
      <c r="F24" s="359">
        <f t="shared" si="0"/>
        <v>0.46846980370411162</v>
      </c>
      <c r="G24" s="6"/>
    </row>
    <row r="25" spans="1:7" s="4" customFormat="1" ht="15.75" customHeight="1" x14ac:dyDescent="0.2">
      <c r="A25" s="60" t="str">
        <f>A94</f>
        <v>3.1.1. Depreciação</v>
      </c>
      <c r="B25" s="45"/>
      <c r="C25" s="46"/>
      <c r="D25" s="46"/>
      <c r="E25" s="199">
        <f>F102</f>
        <v>1178.8333333333333</v>
      </c>
      <c r="F25" s="359">
        <f t="shared" si="0"/>
        <v>6.1011543934178007E-2</v>
      </c>
      <c r="G25" s="6"/>
    </row>
    <row r="26" spans="1:7" s="4" customFormat="1" ht="15.75" customHeight="1" x14ac:dyDescent="0.2">
      <c r="A26" s="60" t="str">
        <f>A104</f>
        <v>3.1.2. Remuneração do Capital</v>
      </c>
      <c r="B26" s="45"/>
      <c r="C26" s="46"/>
      <c r="D26" s="46"/>
      <c r="E26" s="199">
        <f>F112</f>
        <v>969.78</v>
      </c>
      <c r="F26" s="359">
        <f t="shared" si="0"/>
        <v>5.0191806936084112E-2</v>
      </c>
      <c r="G26" s="6"/>
    </row>
    <row r="27" spans="1:7" s="4" customFormat="1" ht="15.75" customHeight="1" x14ac:dyDescent="0.2">
      <c r="A27" s="60" t="str">
        <f>A114</f>
        <v>3.1.3. Impostos e Seguros</v>
      </c>
      <c r="B27" s="45"/>
      <c r="C27" s="46"/>
      <c r="D27" s="46"/>
      <c r="E27" s="199">
        <f>F118</f>
        <v>291.66666666666669</v>
      </c>
      <c r="F27" s="359">
        <f t="shared" si="0"/>
        <v>1.5095461881070483E-2</v>
      </c>
      <c r="G27" s="6"/>
    </row>
    <row r="28" spans="1:7" s="4" customFormat="1" ht="15.75" customHeight="1" x14ac:dyDescent="0.2">
      <c r="A28" s="60" t="str">
        <f>A119</f>
        <v>3.1.4. Consumos de óleo diesel</v>
      </c>
      <c r="B28" s="45"/>
      <c r="C28" s="46"/>
      <c r="D28" s="46"/>
      <c r="E28" s="199">
        <f>F125</f>
        <v>3611.25</v>
      </c>
      <c r="F28" s="359">
        <f t="shared" si="0"/>
        <v>0.18690338303319695</v>
      </c>
      <c r="G28" s="6"/>
    </row>
    <row r="29" spans="1:7" s="4" customFormat="1" ht="15.75" customHeight="1" x14ac:dyDescent="0.2">
      <c r="A29" s="60" t="str">
        <f>A127</f>
        <v xml:space="preserve">3.1.5. Manutenção/Consumos </v>
      </c>
      <c r="B29" s="45"/>
      <c r="C29" s="46"/>
      <c r="D29" s="46"/>
      <c r="E29" s="199">
        <f>F130</f>
        <v>3000</v>
      </c>
      <c r="F29" s="359">
        <f t="shared" si="0"/>
        <v>0.15526760791958211</v>
      </c>
      <c r="G29" s="6"/>
    </row>
    <row r="30" spans="1:7" s="11" customFormat="1" ht="15.75" customHeight="1" thickBot="1" x14ac:dyDescent="0.25">
      <c r="A30" s="340" t="str">
        <f>A137</f>
        <v>4. Benefícios e Despesas Indiretas - BDI</v>
      </c>
      <c r="B30" s="114"/>
      <c r="C30" s="106"/>
      <c r="D30" s="106"/>
      <c r="E30" s="200">
        <f>+F142</f>
        <v>3935.6861086106669</v>
      </c>
      <c r="F30" s="107">
        <f t="shared" si="0"/>
        <v>0.20369485586876895</v>
      </c>
      <c r="G30" s="43"/>
    </row>
    <row r="31" spans="1:7" s="4" customFormat="1" ht="15.75" customHeight="1" thickBot="1" x14ac:dyDescent="0.25">
      <c r="A31" s="41" t="s">
        <v>191</v>
      </c>
      <c r="B31" s="42"/>
      <c r="C31" s="26"/>
      <c r="D31" s="26"/>
      <c r="E31" s="95">
        <f>E17+E22+E23+E30</f>
        <v>19321.480121943998</v>
      </c>
      <c r="F31" s="118">
        <f>F17+F22+F23+F30</f>
        <v>1</v>
      </c>
      <c r="G31" s="6"/>
    </row>
    <row r="32" spans="1:7" ht="13.5" thickBot="1" x14ac:dyDescent="0.25"/>
    <row r="33" spans="1:7" s="4" customFormat="1" ht="15" customHeight="1" thickBot="1" x14ac:dyDescent="0.25">
      <c r="A33" s="467" t="s">
        <v>84</v>
      </c>
      <c r="B33" s="468"/>
      <c r="C33" s="468"/>
      <c r="D33" s="468"/>
      <c r="E33" s="469"/>
      <c r="F33" s="273"/>
      <c r="G33" s="6"/>
    </row>
    <row r="34" spans="1:7" s="4" customFormat="1" ht="15" customHeight="1" thickBot="1" x14ac:dyDescent="0.25">
      <c r="A34" s="472" t="s">
        <v>31</v>
      </c>
      <c r="B34" s="473"/>
      <c r="C34" s="473"/>
      <c r="D34" s="474"/>
      <c r="E34" s="47" t="s">
        <v>32</v>
      </c>
      <c r="F34" s="273"/>
      <c r="G34" s="6"/>
    </row>
    <row r="35" spans="1:7" s="4" customFormat="1" ht="15" customHeight="1" x14ac:dyDescent="0.2">
      <c r="A35" s="360" t="str">
        <f>+A44</f>
        <v xml:space="preserve">1.1. Operador de Máquinas </v>
      </c>
      <c r="B35" s="361"/>
      <c r="C35" s="361"/>
      <c r="D35" s="72"/>
      <c r="E35" s="362">
        <f>C51</f>
        <v>1</v>
      </c>
      <c r="F35" s="273"/>
      <c r="G35" s="6"/>
    </row>
    <row r="36" spans="1:7" s="4" customFormat="1" ht="15" customHeight="1" thickBot="1" x14ac:dyDescent="0.25">
      <c r="A36" s="66" t="s">
        <v>51</v>
      </c>
      <c r="B36" s="67"/>
      <c r="C36" s="67"/>
      <c r="D36" s="73"/>
      <c r="E36" s="74">
        <f>SUM(E35:E35)</f>
        <v>1</v>
      </c>
      <c r="F36" s="273"/>
      <c r="G36" s="6"/>
    </row>
    <row r="37" spans="1:7" s="4" customFormat="1" ht="15" customHeight="1" thickBot="1" x14ac:dyDescent="0.25">
      <c r="A37" s="108"/>
      <c r="B37" s="109"/>
      <c r="C37" s="343"/>
      <c r="D37" s="343"/>
      <c r="E37" s="363"/>
      <c r="F37" s="273"/>
      <c r="G37" s="6"/>
    </row>
    <row r="38" spans="1:7" s="4" customFormat="1" ht="15" customHeight="1" x14ac:dyDescent="0.2">
      <c r="A38" s="459" t="s">
        <v>48</v>
      </c>
      <c r="B38" s="460"/>
      <c r="C38" s="460"/>
      <c r="D38" s="460"/>
      <c r="E38" s="47" t="s">
        <v>32</v>
      </c>
      <c r="F38" s="7"/>
      <c r="G38" s="6"/>
    </row>
    <row r="39" spans="1:7" s="4" customFormat="1" ht="15" customHeight="1" thickBot="1" x14ac:dyDescent="0.25">
      <c r="A39" s="364" t="str">
        <f>+A93</f>
        <v>3.1. Retroescavadeira</v>
      </c>
      <c r="B39" s="365"/>
      <c r="C39" s="365"/>
      <c r="D39" s="366"/>
      <c r="E39" s="367">
        <f>C101</f>
        <v>1</v>
      </c>
      <c r="F39" s="7"/>
      <c r="G39" s="6"/>
    </row>
    <row r="40" spans="1:7" s="4" customFormat="1" ht="13.5" thickBot="1" x14ac:dyDescent="0.25">
      <c r="A40" s="343"/>
      <c r="B40" s="343"/>
      <c r="C40" s="343"/>
      <c r="D40" s="7"/>
      <c r="E40" s="344"/>
      <c r="F40" s="7"/>
      <c r="G40" s="6"/>
    </row>
    <row r="41" spans="1:7" s="11" customFormat="1" ht="15.75" customHeight="1" thickBot="1" x14ac:dyDescent="0.25">
      <c r="A41" s="202" t="s">
        <v>161</v>
      </c>
      <c r="B41" s="231">
        <v>1</v>
      </c>
      <c r="C41" s="34"/>
      <c r="E41" s="127"/>
      <c r="G41" s="43"/>
    </row>
    <row r="42" spans="1:7" s="4" customFormat="1" ht="15.75" customHeight="1" x14ac:dyDescent="0.2">
      <c r="A42" s="343"/>
      <c r="B42" s="343"/>
      <c r="C42" s="343"/>
      <c r="D42" s="7"/>
      <c r="E42" s="344"/>
      <c r="F42" s="7"/>
      <c r="G42" s="6"/>
    </row>
    <row r="43" spans="1:7" ht="13.15" customHeight="1" x14ac:dyDescent="0.2">
      <c r="A43" s="11" t="s">
        <v>39</v>
      </c>
    </row>
    <row r="44" spans="1:7" ht="13.5" thickBot="1" x14ac:dyDescent="0.25">
      <c r="A44" s="7" t="s">
        <v>393</v>
      </c>
    </row>
    <row r="45" spans="1:7" ht="13.5" thickBot="1" x14ac:dyDescent="0.25">
      <c r="A45" s="55" t="s">
        <v>55</v>
      </c>
      <c r="B45" s="56" t="s">
        <v>56</v>
      </c>
      <c r="C45" s="56" t="s">
        <v>32</v>
      </c>
      <c r="D45" s="57" t="s">
        <v>188</v>
      </c>
      <c r="E45" s="57" t="s">
        <v>57</v>
      </c>
      <c r="F45" s="58" t="s">
        <v>58</v>
      </c>
    </row>
    <row r="46" spans="1:7" x14ac:dyDescent="0.2">
      <c r="A46" s="235" t="s">
        <v>459</v>
      </c>
      <c r="B46" s="236" t="s">
        <v>6</v>
      </c>
      <c r="C46" s="236">
        <v>1</v>
      </c>
      <c r="D46" s="78">
        <v>2684</v>
      </c>
      <c r="E46" s="272">
        <f>C46*D46</f>
        <v>2684</v>
      </c>
    </row>
    <row r="47" spans="1:7" x14ac:dyDescent="0.2">
      <c r="A47" s="232" t="s">
        <v>0</v>
      </c>
      <c r="B47" s="233" t="s">
        <v>1</v>
      </c>
      <c r="C47" s="345">
        <v>40</v>
      </c>
      <c r="D47" s="345">
        <v>1518</v>
      </c>
      <c r="E47" s="252">
        <f>C47*D47/100</f>
        <v>607.20000000000005</v>
      </c>
    </row>
    <row r="48" spans="1:7" s="11" customFormat="1" x14ac:dyDescent="0.2">
      <c r="A48" s="97" t="s">
        <v>2</v>
      </c>
      <c r="B48" s="98"/>
      <c r="C48" s="98"/>
      <c r="D48" s="99"/>
      <c r="E48" s="100">
        <f>SUM(E46:E47)</f>
        <v>3291.2</v>
      </c>
      <c r="F48" s="43"/>
      <c r="G48" s="43"/>
    </row>
    <row r="49" spans="1:7" x14ac:dyDescent="0.2">
      <c r="A49" s="232" t="s">
        <v>3</v>
      </c>
      <c r="B49" s="233" t="s">
        <v>1</v>
      </c>
      <c r="C49" s="346">
        <f>'4.Encargos Sociais'!C34*100</f>
        <v>71.639999999999986</v>
      </c>
      <c r="D49" s="252">
        <f>E48</f>
        <v>3291.2</v>
      </c>
      <c r="E49" s="252">
        <f>D49*C49/100</f>
        <v>2357.8156799999992</v>
      </c>
    </row>
    <row r="50" spans="1:7" s="11" customFormat="1" x14ac:dyDescent="0.2">
      <c r="A50" s="97" t="s">
        <v>394</v>
      </c>
      <c r="B50" s="98"/>
      <c r="C50" s="98"/>
      <c r="D50" s="99"/>
      <c r="E50" s="100">
        <f>E48+E49</f>
        <v>5649.0156799999986</v>
      </c>
      <c r="F50" s="43"/>
      <c r="G50" s="43"/>
    </row>
    <row r="51" spans="1:7" ht="13.5" thickBot="1" x14ac:dyDescent="0.25">
      <c r="A51" s="232" t="s">
        <v>4</v>
      </c>
      <c r="B51" s="233" t="s">
        <v>5</v>
      </c>
      <c r="C51" s="369">
        <v>1</v>
      </c>
      <c r="D51" s="252">
        <f>E50</f>
        <v>5649.0156799999986</v>
      </c>
      <c r="E51" s="252">
        <f>C51*D51</f>
        <v>5649.0156799999986</v>
      </c>
    </row>
    <row r="52" spans="1:7" ht="13.5" thickBot="1" x14ac:dyDescent="0.25">
      <c r="D52" s="276" t="s">
        <v>160</v>
      </c>
      <c r="E52" s="277">
        <f>B41</f>
        <v>1</v>
      </c>
      <c r="F52" s="103">
        <f>E51*E52</f>
        <v>5649.0156799999986</v>
      </c>
    </row>
    <row r="53" spans="1:7" ht="11.25" customHeight="1" x14ac:dyDescent="0.2">
      <c r="G53" s="7"/>
    </row>
    <row r="54" spans="1:7" ht="13.5" thickBot="1" x14ac:dyDescent="0.25">
      <c r="A54" s="7" t="s">
        <v>390</v>
      </c>
      <c r="B54" s="370"/>
      <c r="D54" s="7"/>
      <c r="E54" s="371"/>
      <c r="G54" s="7"/>
    </row>
    <row r="55" spans="1:7" ht="13.5" thickBot="1" x14ac:dyDescent="0.25">
      <c r="A55" s="55" t="s">
        <v>55</v>
      </c>
      <c r="B55" s="56" t="s">
        <v>56</v>
      </c>
      <c r="C55" s="56" t="s">
        <v>32</v>
      </c>
      <c r="D55" s="57" t="s">
        <v>188</v>
      </c>
      <c r="E55" s="57" t="s">
        <v>57</v>
      </c>
      <c r="F55" s="58" t="s">
        <v>58</v>
      </c>
      <c r="G55" s="7"/>
    </row>
    <row r="56" spans="1:7" x14ac:dyDescent="0.2">
      <c r="A56" s="232" t="s">
        <v>79</v>
      </c>
      <c r="B56" s="233" t="s">
        <v>28</v>
      </c>
      <c r="C56" s="309">
        <v>1</v>
      </c>
      <c r="D56" s="347">
        <v>3.5</v>
      </c>
      <c r="E56" s="252"/>
      <c r="G56" s="7"/>
    </row>
    <row r="57" spans="1:7" x14ac:dyDescent="0.2">
      <c r="A57" s="232" t="s">
        <v>80</v>
      </c>
      <c r="B57" s="233" t="s">
        <v>81</v>
      </c>
      <c r="C57" s="372">
        <v>25</v>
      </c>
      <c r="D57" s="252"/>
      <c r="E57" s="252"/>
      <c r="G57" s="7"/>
    </row>
    <row r="58" spans="1:7" ht="13.5" thickBot="1" x14ac:dyDescent="0.25">
      <c r="A58" s="235" t="s">
        <v>395</v>
      </c>
      <c r="B58" s="236" t="s">
        <v>7</v>
      </c>
      <c r="C58" s="348">
        <f>$C$57*2*(C51)</f>
        <v>50</v>
      </c>
      <c r="D58" s="272">
        <f>D56-((E46*0.06)/C58)</f>
        <v>0.27920000000000034</v>
      </c>
      <c r="E58" s="272">
        <f>IFERROR(C58*D58,"-")</f>
        <v>13.960000000000017</v>
      </c>
      <c r="G58" s="7"/>
    </row>
    <row r="59" spans="1:7" ht="13.5" thickBot="1" x14ac:dyDescent="0.25">
      <c r="F59" s="22">
        <f>SUM(E58:E58)</f>
        <v>13.960000000000017</v>
      </c>
      <c r="G59" s="7"/>
    </row>
    <row r="60" spans="1:7" ht="11.25" customHeight="1" x14ac:dyDescent="0.2">
      <c r="G60" s="7"/>
    </row>
    <row r="61" spans="1:7" ht="13.5" thickBot="1" x14ac:dyDescent="0.25">
      <c r="A61" s="7" t="s">
        <v>449</v>
      </c>
      <c r="F61" s="23"/>
      <c r="G61" s="7"/>
    </row>
    <row r="62" spans="1:7" ht="13.5" thickBot="1" x14ac:dyDescent="0.25">
      <c r="A62" s="55" t="s">
        <v>55</v>
      </c>
      <c r="B62" s="56" t="s">
        <v>56</v>
      </c>
      <c r="C62" s="56" t="s">
        <v>32</v>
      </c>
      <c r="D62" s="57" t="s">
        <v>188</v>
      </c>
      <c r="E62" s="57" t="s">
        <v>57</v>
      </c>
      <c r="F62" s="58" t="s">
        <v>58</v>
      </c>
      <c r="G62" s="7"/>
    </row>
    <row r="63" spans="1:7" ht="13.5" thickBot="1" x14ac:dyDescent="0.25">
      <c r="A63" s="232" t="s">
        <v>460</v>
      </c>
      <c r="B63" s="233" t="s">
        <v>202</v>
      </c>
      <c r="C63" s="87">
        <f>C51*C57</f>
        <v>25</v>
      </c>
      <c r="D63" s="238">
        <f>25.42*0.81</f>
        <v>20.590200000000003</v>
      </c>
      <c r="E63" s="49">
        <f>C63*D63</f>
        <v>514.75500000000011</v>
      </c>
      <c r="F63" s="23"/>
      <c r="G63" s="7"/>
    </row>
    <row r="64" spans="1:7" ht="13.5" thickBot="1" x14ac:dyDescent="0.25">
      <c r="F64" s="22">
        <f>SUM(E63:E63)</f>
        <v>514.75500000000011</v>
      </c>
      <c r="G64" s="7"/>
    </row>
    <row r="65" spans="1:7" ht="13.5" thickBot="1" x14ac:dyDescent="0.25">
      <c r="A65" s="7" t="s">
        <v>450</v>
      </c>
      <c r="F65" s="23"/>
      <c r="G65" s="7"/>
    </row>
    <row r="66" spans="1:7" ht="13.5" thickBot="1" x14ac:dyDescent="0.25">
      <c r="A66" s="55" t="s">
        <v>55</v>
      </c>
      <c r="B66" s="56" t="s">
        <v>56</v>
      </c>
      <c r="C66" s="56" t="s">
        <v>32</v>
      </c>
      <c r="D66" s="57" t="s">
        <v>188</v>
      </c>
      <c r="E66" s="57" t="s">
        <v>57</v>
      </c>
      <c r="F66" s="58" t="s">
        <v>58</v>
      </c>
      <c r="G66" s="7"/>
    </row>
    <row r="67" spans="1:7" ht="13.5" thickBot="1" x14ac:dyDescent="0.25">
      <c r="A67" s="232" t="s">
        <v>396</v>
      </c>
      <c r="B67" s="233" t="s">
        <v>8</v>
      </c>
      <c r="C67" s="350">
        <v>1</v>
      </c>
      <c r="D67" s="238">
        <v>25</v>
      </c>
      <c r="E67" s="351">
        <f>C67*D67</f>
        <v>25</v>
      </c>
      <c r="F67" s="23"/>
      <c r="G67" s="7"/>
    </row>
    <row r="68" spans="1:7" ht="13.5" thickBot="1" x14ac:dyDescent="0.25">
      <c r="A68" s="373"/>
      <c r="B68" s="373"/>
      <c r="D68" s="276" t="s">
        <v>389</v>
      </c>
      <c r="E68" s="275">
        <v>1</v>
      </c>
      <c r="F68" s="352">
        <f>SUM(E67:E67)*E68</f>
        <v>25</v>
      </c>
      <c r="G68" s="7"/>
    </row>
    <row r="69" spans="1:7" ht="13.5" thickBot="1" x14ac:dyDescent="0.25">
      <c r="D69" s="276"/>
      <c r="E69" s="349"/>
      <c r="G69" s="7"/>
    </row>
    <row r="70" spans="1:7" ht="13.5" thickBot="1" x14ac:dyDescent="0.25">
      <c r="A70" s="24" t="s">
        <v>82</v>
      </c>
      <c r="B70" s="25"/>
      <c r="C70" s="25"/>
      <c r="D70" s="26"/>
      <c r="E70" s="27"/>
      <c r="F70" s="22">
        <f>F52+F59+F64+F68</f>
        <v>6202.7306799999988</v>
      </c>
      <c r="G70" s="7"/>
    </row>
    <row r="72" spans="1:7" x14ac:dyDescent="0.2">
      <c r="A72" s="11" t="s">
        <v>37</v>
      </c>
      <c r="G72" s="7"/>
    </row>
    <row r="73" spans="1:7" ht="13.9" customHeight="1" thickBot="1" x14ac:dyDescent="0.25">
      <c r="A73" s="7" t="s">
        <v>397</v>
      </c>
      <c r="G73" s="7"/>
    </row>
    <row r="74" spans="1:7" ht="27.75" customHeight="1" thickBot="1" x14ac:dyDescent="0.25">
      <c r="A74" s="55" t="s">
        <v>55</v>
      </c>
      <c r="B74" s="56" t="s">
        <v>56</v>
      </c>
      <c r="C74" s="210" t="s">
        <v>197</v>
      </c>
      <c r="D74" s="57" t="s">
        <v>188</v>
      </c>
      <c r="E74" s="57" t="s">
        <v>57</v>
      </c>
      <c r="F74" s="58" t="s">
        <v>58</v>
      </c>
      <c r="G74" s="7"/>
    </row>
    <row r="75" spans="1:7" x14ac:dyDescent="0.2">
      <c r="A75" s="235" t="s">
        <v>59</v>
      </c>
      <c r="B75" s="236" t="s">
        <v>8</v>
      </c>
      <c r="C75" s="242">
        <v>6</v>
      </c>
      <c r="D75" s="237">
        <v>170</v>
      </c>
      <c r="E75" s="272">
        <f>IFERROR(D75/C75,0)</f>
        <v>28.333333333333332</v>
      </c>
      <c r="G75" s="7"/>
    </row>
    <row r="76" spans="1:7" ht="13.15" customHeight="1" x14ac:dyDescent="0.2">
      <c r="A76" s="232" t="s">
        <v>24</v>
      </c>
      <c r="B76" s="233" t="s">
        <v>8</v>
      </c>
      <c r="C76" s="242">
        <v>6</v>
      </c>
      <c r="D76" s="278">
        <v>75</v>
      </c>
      <c r="E76" s="272">
        <f t="shared" ref="E76:E85" si="1">IFERROR(D76/C76,0)</f>
        <v>12.5</v>
      </c>
      <c r="G76" s="7"/>
    </row>
    <row r="77" spans="1:7" x14ac:dyDescent="0.2">
      <c r="A77" s="232" t="s">
        <v>285</v>
      </c>
      <c r="B77" s="233" t="s">
        <v>8</v>
      </c>
      <c r="C77" s="242">
        <v>4</v>
      </c>
      <c r="D77" s="278">
        <v>45</v>
      </c>
      <c r="E77" s="272">
        <f t="shared" si="1"/>
        <v>11.25</v>
      </c>
      <c r="G77" s="7"/>
    </row>
    <row r="78" spans="1:7" x14ac:dyDescent="0.2">
      <c r="A78" s="232" t="s">
        <v>286</v>
      </c>
      <c r="B78" s="233" t="s">
        <v>8</v>
      </c>
      <c r="C78" s="242">
        <v>4</v>
      </c>
      <c r="D78" s="278">
        <v>43</v>
      </c>
      <c r="E78" s="272">
        <f t="shared" si="1"/>
        <v>10.75</v>
      </c>
      <c r="G78" s="7"/>
    </row>
    <row r="79" spans="1:7" ht="13.15" customHeight="1" x14ac:dyDescent="0.2">
      <c r="A79" s="232" t="s">
        <v>447</v>
      </c>
      <c r="B79" s="17" t="s">
        <v>8</v>
      </c>
      <c r="C79" s="241">
        <v>6</v>
      </c>
      <c r="D79" s="237">
        <v>50</v>
      </c>
      <c r="E79" s="15">
        <f t="shared" si="1"/>
        <v>8.3333333333333339</v>
      </c>
      <c r="G79" s="7"/>
    </row>
    <row r="80" spans="1:7" ht="13.9" customHeight="1" x14ac:dyDescent="0.2">
      <c r="A80" s="232" t="s">
        <v>398</v>
      </c>
      <c r="B80" s="233" t="s">
        <v>40</v>
      </c>
      <c r="C80" s="242">
        <v>6</v>
      </c>
      <c r="D80" s="278">
        <v>75</v>
      </c>
      <c r="E80" s="272">
        <f t="shared" si="1"/>
        <v>12.5</v>
      </c>
      <c r="G80" s="7"/>
    </row>
    <row r="81" spans="1:7" ht="13.15" customHeight="1" x14ac:dyDescent="0.2">
      <c r="A81" s="232" t="s">
        <v>399</v>
      </c>
      <c r="B81" s="233" t="s">
        <v>40</v>
      </c>
      <c r="C81" s="242">
        <v>2</v>
      </c>
      <c r="D81" s="278">
        <v>12</v>
      </c>
      <c r="E81" s="272">
        <f t="shared" si="1"/>
        <v>6</v>
      </c>
    </row>
    <row r="82" spans="1:7" x14ac:dyDescent="0.2">
      <c r="A82" s="232" t="s">
        <v>60</v>
      </c>
      <c r="B82" s="233" t="s">
        <v>8</v>
      </c>
      <c r="C82" s="242">
        <v>6</v>
      </c>
      <c r="D82" s="278">
        <v>55</v>
      </c>
      <c r="E82" s="272">
        <f t="shared" si="1"/>
        <v>9.1666666666666661</v>
      </c>
    </row>
    <row r="83" spans="1:7" x14ac:dyDescent="0.2">
      <c r="A83" s="232" t="s">
        <v>26</v>
      </c>
      <c r="B83" s="233" t="s">
        <v>40</v>
      </c>
      <c r="C83" s="242">
        <v>1</v>
      </c>
      <c r="D83" s="278">
        <v>23.7</v>
      </c>
      <c r="E83" s="272">
        <f t="shared" si="1"/>
        <v>23.7</v>
      </c>
    </row>
    <row r="84" spans="1:7" x14ac:dyDescent="0.2">
      <c r="A84" s="232" t="s">
        <v>448</v>
      </c>
      <c r="B84" s="233" t="s">
        <v>56</v>
      </c>
      <c r="C84" s="241">
        <v>6</v>
      </c>
      <c r="D84" s="237">
        <v>15</v>
      </c>
      <c r="E84" s="15">
        <f t="shared" si="1"/>
        <v>2.5</v>
      </c>
    </row>
    <row r="85" spans="1:7" ht="13.15" customHeight="1" x14ac:dyDescent="0.2">
      <c r="A85" s="232" t="s">
        <v>54</v>
      </c>
      <c r="B85" s="233" t="s">
        <v>41</v>
      </c>
      <c r="C85" s="242">
        <v>4</v>
      </c>
      <c r="D85" s="278">
        <v>26</v>
      </c>
      <c r="E85" s="272">
        <f t="shared" si="1"/>
        <v>6.5</v>
      </c>
    </row>
    <row r="86" spans="1:7" ht="13.5" thickBot="1" x14ac:dyDescent="0.25">
      <c r="A86" s="232" t="s">
        <v>4</v>
      </c>
      <c r="B86" s="233" t="s">
        <v>5</v>
      </c>
      <c r="C86" s="307">
        <f>E35</f>
        <v>1</v>
      </c>
      <c r="D86" s="252">
        <f>+SUM(E75:E85)</f>
        <v>131.53333333333333</v>
      </c>
      <c r="E86" s="252">
        <f t="shared" ref="E86" si="2">C86*D86</f>
        <v>131.53333333333333</v>
      </c>
    </row>
    <row r="87" spans="1:7" ht="13.5" thickBot="1" x14ac:dyDescent="0.25">
      <c r="D87" s="276" t="s">
        <v>160</v>
      </c>
      <c r="E87" s="277">
        <f>$B$41</f>
        <v>1</v>
      </c>
      <c r="F87" s="103">
        <f>E86*E87</f>
        <v>131.53333333333333</v>
      </c>
    </row>
    <row r="88" spans="1:7" ht="11.25" customHeight="1" x14ac:dyDescent="0.2"/>
    <row r="89" spans="1:7" ht="11.25" customHeight="1" thickBot="1" x14ac:dyDescent="0.25">
      <c r="G89" s="7"/>
    </row>
    <row r="90" spans="1:7" ht="13.5" thickBot="1" x14ac:dyDescent="0.25">
      <c r="A90" s="24" t="s">
        <v>164</v>
      </c>
      <c r="B90" s="374"/>
      <c r="C90" s="374"/>
      <c r="D90" s="353"/>
      <c r="E90" s="354"/>
      <c r="F90" s="21">
        <f>+F87</f>
        <v>131.53333333333333</v>
      </c>
      <c r="G90" s="7"/>
    </row>
    <row r="91" spans="1:7" ht="11.25" customHeight="1" x14ac:dyDescent="0.2">
      <c r="G91" s="7"/>
    </row>
    <row r="92" spans="1:7" x14ac:dyDescent="0.2">
      <c r="A92" s="11" t="s">
        <v>400</v>
      </c>
      <c r="G92" s="7"/>
    </row>
    <row r="93" spans="1:7" x14ac:dyDescent="0.2">
      <c r="A93" s="7" t="s">
        <v>437</v>
      </c>
      <c r="G93" s="7"/>
    </row>
    <row r="94" spans="1:7" ht="13.5" thickBot="1" x14ac:dyDescent="0.25">
      <c r="A94" s="92" t="s">
        <v>38</v>
      </c>
      <c r="G94" s="7"/>
    </row>
    <row r="95" spans="1:7" ht="13.5" thickBot="1" x14ac:dyDescent="0.25">
      <c r="A95" s="55" t="s">
        <v>55</v>
      </c>
      <c r="B95" s="56" t="s">
        <v>56</v>
      </c>
      <c r="C95" s="56" t="s">
        <v>32</v>
      </c>
      <c r="D95" s="57" t="s">
        <v>188</v>
      </c>
      <c r="E95" s="57" t="s">
        <v>57</v>
      </c>
      <c r="F95" s="58" t="s">
        <v>58</v>
      </c>
      <c r="G95" s="7"/>
    </row>
    <row r="96" spans="1:7" x14ac:dyDescent="0.2">
      <c r="A96" s="235" t="s">
        <v>92</v>
      </c>
      <c r="B96" s="236" t="s">
        <v>8</v>
      </c>
      <c r="C96" s="236">
        <v>1</v>
      </c>
      <c r="D96" s="237">
        <v>300000</v>
      </c>
      <c r="E96" s="272">
        <f>C96*D96</f>
        <v>300000</v>
      </c>
      <c r="G96" s="7"/>
    </row>
    <row r="97" spans="1:10" x14ac:dyDescent="0.2">
      <c r="A97" s="232" t="s">
        <v>86</v>
      </c>
      <c r="B97" s="233" t="s">
        <v>87</v>
      </c>
      <c r="C97" s="369">
        <v>15</v>
      </c>
      <c r="D97" s="345"/>
      <c r="E97" s="252"/>
      <c r="G97" s="7"/>
    </row>
    <row r="98" spans="1:10" x14ac:dyDescent="0.2">
      <c r="A98" s="232" t="s">
        <v>171</v>
      </c>
      <c r="B98" s="233" t="s">
        <v>87</v>
      </c>
      <c r="C98" s="369">
        <v>0</v>
      </c>
      <c r="D98" s="252"/>
      <c r="E98" s="252"/>
      <c r="F98" s="375"/>
      <c r="I98" s="376"/>
      <c r="J98" s="376"/>
    </row>
    <row r="99" spans="1:10" x14ac:dyDescent="0.2">
      <c r="A99" s="232" t="s">
        <v>90</v>
      </c>
      <c r="B99" s="233" t="s">
        <v>1</v>
      </c>
      <c r="C99" s="346">
        <f>'6. Depreciação'!B17</f>
        <v>70.73</v>
      </c>
      <c r="D99" s="252">
        <f>E96</f>
        <v>300000</v>
      </c>
      <c r="E99" s="252">
        <f>C99*D99/100</f>
        <v>212190</v>
      </c>
    </row>
    <row r="100" spans="1:10" ht="13.5" thickBot="1" x14ac:dyDescent="0.25">
      <c r="A100" s="216" t="s">
        <v>401</v>
      </c>
      <c r="B100" s="217" t="s">
        <v>6</v>
      </c>
      <c r="C100" s="217">
        <f>C97*12</f>
        <v>180</v>
      </c>
      <c r="D100" s="218">
        <f>IF(C98&lt;=C97,E99,0)</f>
        <v>212190</v>
      </c>
      <c r="E100" s="218">
        <f>IFERROR(D100/C100,0)</f>
        <v>1178.8333333333333</v>
      </c>
    </row>
    <row r="101" spans="1:10" ht="14.25" thickTop="1" thickBot="1" x14ac:dyDescent="0.25">
      <c r="A101" s="88" t="s">
        <v>201</v>
      </c>
      <c r="B101" s="89" t="s">
        <v>8</v>
      </c>
      <c r="C101" s="369">
        <v>1</v>
      </c>
      <c r="D101" s="90">
        <f>E100</f>
        <v>1178.8333333333333</v>
      </c>
      <c r="E101" s="100">
        <f>C101*D101</f>
        <v>1178.8333333333333</v>
      </c>
    </row>
    <row r="102" spans="1:10" ht="13.5" thickBot="1" x14ac:dyDescent="0.25">
      <c r="A102" s="215"/>
      <c r="B102" s="215"/>
      <c r="C102" s="215"/>
      <c r="D102" s="276" t="s">
        <v>160</v>
      </c>
      <c r="E102" s="277">
        <f>B41</f>
        <v>1</v>
      </c>
      <c r="F102" s="21">
        <f>E101*E102</f>
        <v>1178.8333333333333</v>
      </c>
    </row>
    <row r="103" spans="1:10" ht="11.25" customHeight="1" x14ac:dyDescent="0.2"/>
    <row r="104" spans="1:10" ht="13.5" thickBot="1" x14ac:dyDescent="0.25">
      <c r="A104" s="92" t="s">
        <v>96</v>
      </c>
    </row>
    <row r="105" spans="1:10" ht="13.5" thickBot="1" x14ac:dyDescent="0.25">
      <c r="A105" s="377" t="s">
        <v>55</v>
      </c>
      <c r="B105" s="378" t="s">
        <v>56</v>
      </c>
      <c r="C105" s="378" t="s">
        <v>32</v>
      </c>
      <c r="D105" s="57" t="s">
        <v>188</v>
      </c>
      <c r="E105" s="379" t="s">
        <v>57</v>
      </c>
      <c r="F105" s="58" t="s">
        <v>58</v>
      </c>
      <c r="I105" s="376"/>
      <c r="J105" s="376"/>
    </row>
    <row r="106" spans="1:10" x14ac:dyDescent="0.2">
      <c r="A106" s="232" t="s">
        <v>94</v>
      </c>
      <c r="B106" s="233" t="s">
        <v>8</v>
      </c>
      <c r="C106" s="233">
        <v>1</v>
      </c>
      <c r="D106" s="252">
        <f>D96</f>
        <v>300000</v>
      </c>
      <c r="E106" s="252">
        <f>C106*D106</f>
        <v>300000</v>
      </c>
      <c r="F106" s="375"/>
      <c r="I106" s="376"/>
      <c r="J106" s="376"/>
    </row>
    <row r="107" spans="1:10" x14ac:dyDescent="0.2">
      <c r="A107" s="232" t="s">
        <v>175</v>
      </c>
      <c r="B107" s="233" t="s">
        <v>1</v>
      </c>
      <c r="C107" s="368">
        <v>12</v>
      </c>
      <c r="D107" s="252"/>
      <c r="E107" s="252"/>
      <c r="F107" s="375"/>
      <c r="I107" s="376"/>
      <c r="J107" s="376"/>
    </row>
    <row r="108" spans="1:10" x14ac:dyDescent="0.2">
      <c r="A108" s="232" t="s">
        <v>173</v>
      </c>
      <c r="B108" s="233" t="s">
        <v>28</v>
      </c>
      <c r="C108" s="380">
        <f>IFERROR(IF(C98&lt;=C97,E96-(C99/(100*C97)*C98)*E96,E96-E99),0)*0.35</f>
        <v>105000</v>
      </c>
      <c r="D108" s="252"/>
      <c r="E108" s="252"/>
      <c r="F108" s="375"/>
      <c r="I108" s="376"/>
      <c r="J108" s="376"/>
    </row>
    <row r="109" spans="1:10" x14ac:dyDescent="0.2">
      <c r="A109" s="232" t="s">
        <v>98</v>
      </c>
      <c r="B109" s="233" t="s">
        <v>28</v>
      </c>
      <c r="C109" s="345">
        <f>IFERROR(IF(C98&gt;=C97,C108,((((C108)-(E96-E99))*(((C97-C98)+1)/(2*(C97-C98))))+(E96-E99))),0)</f>
        <v>96978</v>
      </c>
      <c r="D109" s="252"/>
      <c r="E109" s="252"/>
      <c r="F109" s="375"/>
      <c r="I109" s="376"/>
      <c r="J109" s="376"/>
    </row>
    <row r="110" spans="1:10" ht="13.5" thickBot="1" x14ac:dyDescent="0.25">
      <c r="A110" s="216" t="s">
        <v>99</v>
      </c>
      <c r="B110" s="217" t="s">
        <v>28</v>
      </c>
      <c r="C110" s="217"/>
      <c r="D110" s="219">
        <f>C107*C109/12/100</f>
        <v>969.78</v>
      </c>
      <c r="E110" s="218">
        <f>D110</f>
        <v>969.78</v>
      </c>
      <c r="F110" s="375"/>
      <c r="I110" s="376"/>
      <c r="J110" s="376"/>
    </row>
    <row r="111" spans="1:10" ht="14.25" thickTop="1" thickBot="1" x14ac:dyDescent="0.25">
      <c r="A111" s="88" t="s">
        <v>402</v>
      </c>
      <c r="B111" s="89" t="s">
        <v>8</v>
      </c>
      <c r="C111" s="233">
        <v>1</v>
      </c>
      <c r="D111" s="90">
        <f>E110</f>
        <v>969.78</v>
      </c>
      <c r="E111" s="100">
        <f>C111*D111</f>
        <v>969.78</v>
      </c>
      <c r="F111" s="375"/>
      <c r="I111" s="376"/>
      <c r="J111" s="376"/>
    </row>
    <row r="112" spans="1:10" ht="13.5" thickBot="1" x14ac:dyDescent="0.25">
      <c r="C112" s="381"/>
      <c r="D112" s="276" t="s">
        <v>160</v>
      </c>
      <c r="E112" s="277">
        <f>E102</f>
        <v>1</v>
      </c>
      <c r="F112" s="21">
        <f>E111*E112</f>
        <v>969.78</v>
      </c>
      <c r="I112" s="376"/>
      <c r="J112" s="376"/>
    </row>
    <row r="113" spans="1:10" ht="11.25" customHeight="1" x14ac:dyDescent="0.2">
      <c r="I113" s="376"/>
      <c r="J113" s="376"/>
    </row>
    <row r="114" spans="1:10" ht="13.5" thickBot="1" x14ac:dyDescent="0.25">
      <c r="A114" s="7" t="s">
        <v>43</v>
      </c>
      <c r="I114" s="376"/>
      <c r="J114" s="376"/>
    </row>
    <row r="115" spans="1:10" ht="13.5" thickBot="1" x14ac:dyDescent="0.25">
      <c r="A115" s="55" t="s">
        <v>55</v>
      </c>
      <c r="B115" s="56" t="s">
        <v>56</v>
      </c>
      <c r="C115" s="56" t="s">
        <v>32</v>
      </c>
      <c r="D115" s="57" t="s">
        <v>188</v>
      </c>
      <c r="E115" s="57" t="s">
        <v>57</v>
      </c>
      <c r="F115" s="58" t="s">
        <v>58</v>
      </c>
      <c r="I115" s="376"/>
      <c r="J115" s="376"/>
    </row>
    <row r="116" spans="1:10" x14ac:dyDescent="0.2">
      <c r="A116" s="232" t="s">
        <v>11</v>
      </c>
      <c r="B116" s="233" t="s">
        <v>8</v>
      </c>
      <c r="C116" s="272">
        <f>C101</f>
        <v>1</v>
      </c>
      <c r="D116" s="238">
        <v>3500</v>
      </c>
      <c r="E116" s="252">
        <f>C116*D116</f>
        <v>3500</v>
      </c>
      <c r="F116" s="31"/>
      <c r="I116" s="376"/>
      <c r="J116" s="376"/>
    </row>
    <row r="117" spans="1:10" ht="13.5" thickBot="1" x14ac:dyDescent="0.25">
      <c r="A117" s="88" t="s">
        <v>12</v>
      </c>
      <c r="B117" s="89" t="s">
        <v>6</v>
      </c>
      <c r="C117" s="89">
        <v>12</v>
      </c>
      <c r="D117" s="90">
        <f>SUM(E116:E116)</f>
        <v>3500</v>
      </c>
      <c r="E117" s="90">
        <f>D117/C117</f>
        <v>291.66666666666669</v>
      </c>
      <c r="I117" s="376"/>
      <c r="J117" s="376"/>
    </row>
    <row r="118" spans="1:10" ht="13.5" thickBot="1" x14ac:dyDescent="0.25">
      <c r="D118" s="276" t="s">
        <v>160</v>
      </c>
      <c r="E118" s="277">
        <f>E112</f>
        <v>1</v>
      </c>
      <c r="F118" s="103">
        <f>E117*E118</f>
        <v>291.66666666666669</v>
      </c>
      <c r="I118" s="376"/>
      <c r="J118" s="376"/>
    </row>
    <row r="119" spans="1:10" x14ac:dyDescent="0.2">
      <c r="A119" s="7" t="s">
        <v>403</v>
      </c>
      <c r="B119" s="382"/>
      <c r="I119" s="376"/>
      <c r="J119" s="376"/>
    </row>
    <row r="120" spans="1:10" ht="13.5" thickBot="1" x14ac:dyDescent="0.25">
      <c r="A120" s="88" t="s">
        <v>404</v>
      </c>
      <c r="B120" s="383">
        <f>3*25</f>
        <v>75</v>
      </c>
      <c r="I120" s="376"/>
      <c r="J120" s="376"/>
    </row>
    <row r="121" spans="1:10" ht="13.5" thickBot="1" x14ac:dyDescent="0.25">
      <c r="A121" s="55" t="s">
        <v>55</v>
      </c>
      <c r="B121" s="56" t="s">
        <v>56</v>
      </c>
      <c r="C121" s="56" t="s">
        <v>199</v>
      </c>
      <c r="D121" s="57" t="s">
        <v>188</v>
      </c>
      <c r="E121" s="57" t="s">
        <v>57</v>
      </c>
      <c r="F121" s="58" t="s">
        <v>58</v>
      </c>
      <c r="I121" s="376"/>
      <c r="J121" s="376"/>
    </row>
    <row r="122" spans="1:10" x14ac:dyDescent="0.2">
      <c r="A122" s="235" t="s">
        <v>405</v>
      </c>
      <c r="B122" s="236" t="s">
        <v>406</v>
      </c>
      <c r="C122" s="384">
        <v>7.5</v>
      </c>
      <c r="D122" s="385">
        <v>6.42</v>
      </c>
      <c r="E122" s="272"/>
      <c r="I122" s="376"/>
      <c r="J122" s="376"/>
    </row>
    <row r="123" spans="1:10" x14ac:dyDescent="0.2">
      <c r="A123" s="232" t="s">
        <v>14</v>
      </c>
      <c r="B123" s="233" t="s">
        <v>407</v>
      </c>
      <c r="C123" s="252">
        <f>B120</f>
        <v>75</v>
      </c>
      <c r="D123" s="253">
        <f>C122*D122</f>
        <v>48.15</v>
      </c>
      <c r="E123" s="252">
        <f>IFERROR(C123*D123,"-")</f>
        <v>3611.25</v>
      </c>
      <c r="I123" s="376"/>
      <c r="J123" s="376"/>
    </row>
    <row r="124" spans="1:10" ht="13.5" thickBot="1" x14ac:dyDescent="0.25">
      <c r="A124" s="88" t="s">
        <v>408</v>
      </c>
      <c r="B124" s="89"/>
      <c r="C124" s="212"/>
      <c r="D124" s="213"/>
      <c r="E124" s="252"/>
      <c r="G124" s="386"/>
      <c r="I124" s="376"/>
      <c r="J124" s="376"/>
    </row>
    <row r="125" spans="1:10" ht="13.5" thickBot="1" x14ac:dyDescent="0.25">
      <c r="F125" s="21">
        <f>SUM(E122:E123)</f>
        <v>3611.25</v>
      </c>
      <c r="I125" s="376"/>
      <c r="J125" s="376"/>
    </row>
    <row r="126" spans="1:10" ht="11.25" customHeight="1" x14ac:dyDescent="0.2">
      <c r="I126" s="376"/>
      <c r="J126" s="376"/>
    </row>
    <row r="127" spans="1:10" ht="13.5" thickBot="1" x14ac:dyDescent="0.25">
      <c r="A127" s="7" t="s">
        <v>409</v>
      </c>
      <c r="I127" s="376"/>
      <c r="J127" s="376"/>
    </row>
    <row r="128" spans="1:10" ht="13.5" thickBot="1" x14ac:dyDescent="0.25">
      <c r="A128" s="55" t="s">
        <v>55</v>
      </c>
      <c r="B128" s="56" t="s">
        <v>56</v>
      </c>
      <c r="C128" s="56" t="s">
        <v>32</v>
      </c>
      <c r="D128" s="57" t="s">
        <v>188</v>
      </c>
      <c r="E128" s="57" t="s">
        <v>57</v>
      </c>
      <c r="F128" s="58" t="s">
        <v>58</v>
      </c>
      <c r="I128" s="376"/>
      <c r="J128" s="376"/>
    </row>
    <row r="129" spans="1:10" ht="13.5" thickBot="1" x14ac:dyDescent="0.25">
      <c r="A129" s="235" t="s">
        <v>410</v>
      </c>
      <c r="B129" s="236" t="s">
        <v>411</v>
      </c>
      <c r="C129" s="252">
        <f>C123</f>
        <v>75</v>
      </c>
      <c r="D129" s="237">
        <v>40</v>
      </c>
      <c r="E129" s="272">
        <f>C129*D129</f>
        <v>3000</v>
      </c>
      <c r="I129" s="376"/>
      <c r="J129" s="376"/>
    </row>
    <row r="130" spans="1:10" ht="13.5" thickBot="1" x14ac:dyDescent="0.25">
      <c r="F130" s="21">
        <f>E129</f>
        <v>3000</v>
      </c>
      <c r="H130" s="376"/>
      <c r="I130" s="376"/>
      <c r="J130" s="376"/>
    </row>
    <row r="131" spans="1:10" ht="11.25" customHeight="1" thickBot="1" x14ac:dyDescent="0.25">
      <c r="I131" s="376"/>
      <c r="J131" s="376"/>
    </row>
    <row r="132" spans="1:10" ht="13.5" thickBot="1" x14ac:dyDescent="0.25">
      <c r="A132" s="24" t="s">
        <v>183</v>
      </c>
      <c r="B132" s="25"/>
      <c r="C132" s="25"/>
      <c r="D132" s="26"/>
      <c r="E132" s="27"/>
      <c r="F132" s="21">
        <f>+SUM(F96:F131)</f>
        <v>9051.5299999999988</v>
      </c>
      <c r="G132" s="7"/>
    </row>
    <row r="133" spans="1:10" ht="11.25" customHeight="1" x14ac:dyDescent="0.2">
      <c r="G133" s="7"/>
    </row>
    <row r="134" spans="1:10" ht="11.25" customHeight="1" thickBot="1" x14ac:dyDescent="0.25"/>
    <row r="135" spans="1:10" ht="17.25" customHeight="1" thickBot="1" x14ac:dyDescent="0.25">
      <c r="A135" s="24" t="s">
        <v>185</v>
      </c>
      <c r="B135" s="374"/>
      <c r="C135" s="374"/>
      <c r="D135" s="353"/>
      <c r="E135" s="354"/>
      <c r="F135" s="22">
        <f>+F70+F90+F132</f>
        <v>15385.794013333332</v>
      </c>
      <c r="G135" s="7"/>
    </row>
    <row r="136" spans="1:10" ht="11.25" customHeight="1" x14ac:dyDescent="0.2">
      <c r="G136" s="7"/>
    </row>
    <row r="137" spans="1:10" ht="13.5" thickBot="1" x14ac:dyDescent="0.25">
      <c r="A137" s="11" t="s">
        <v>412</v>
      </c>
      <c r="G137" s="7"/>
    </row>
    <row r="138" spans="1:10" ht="13.5" thickBot="1" x14ac:dyDescent="0.25">
      <c r="A138" s="55" t="s">
        <v>55</v>
      </c>
      <c r="B138" s="56" t="s">
        <v>56</v>
      </c>
      <c r="C138" s="56" t="s">
        <v>32</v>
      </c>
      <c r="D138" s="57" t="s">
        <v>188</v>
      </c>
      <c r="E138" s="57" t="s">
        <v>57</v>
      </c>
      <c r="F138" s="58" t="s">
        <v>58</v>
      </c>
      <c r="G138" s="7"/>
    </row>
    <row r="139" spans="1:10" ht="13.5" thickBot="1" x14ac:dyDescent="0.25">
      <c r="A139" s="235" t="s">
        <v>29</v>
      </c>
      <c r="B139" s="236" t="s">
        <v>1</v>
      </c>
      <c r="C139" s="346">
        <f>'5.BDI'!C18*100</f>
        <v>25.580000000000002</v>
      </c>
      <c r="D139" s="272">
        <f>+F135</f>
        <v>15385.794013333332</v>
      </c>
      <c r="E139" s="272">
        <f>C139*D139/100</f>
        <v>3935.6861086106669</v>
      </c>
      <c r="G139" s="7"/>
    </row>
    <row r="140" spans="1:10" ht="13.5" thickBot="1" x14ac:dyDescent="0.25">
      <c r="F140" s="21">
        <f>+E139</f>
        <v>3935.6861086106669</v>
      </c>
      <c r="G140" s="7"/>
    </row>
    <row r="141" spans="1:10" ht="11.25" customHeight="1" thickBot="1" x14ac:dyDescent="0.25">
      <c r="G141" s="7"/>
    </row>
    <row r="142" spans="1:10" ht="13.5" thickBot="1" x14ac:dyDescent="0.25">
      <c r="A142" s="24" t="s">
        <v>192</v>
      </c>
      <c r="B142" s="374"/>
      <c r="C142" s="374"/>
      <c r="D142" s="353"/>
      <c r="E142" s="354"/>
      <c r="F142" s="22">
        <f>F140</f>
        <v>3935.6861086106669</v>
      </c>
      <c r="G142" s="7"/>
    </row>
    <row r="143" spans="1:10" ht="13.5" thickBot="1" x14ac:dyDescent="0.25">
      <c r="A143" s="11"/>
      <c r="B143" s="11"/>
      <c r="C143" s="11"/>
      <c r="D143" s="34"/>
      <c r="E143" s="34"/>
      <c r="F143" s="33"/>
      <c r="G143" s="7"/>
    </row>
    <row r="144" spans="1:10" ht="24.75" customHeight="1" thickBot="1" x14ac:dyDescent="0.25">
      <c r="A144" s="24" t="s">
        <v>186</v>
      </c>
      <c r="B144" s="374"/>
      <c r="C144" s="374"/>
      <c r="D144" s="353"/>
      <c r="E144" s="354"/>
      <c r="F144" s="22">
        <f>F135+F142</f>
        <v>19321.480121943998</v>
      </c>
      <c r="G144" s="7"/>
    </row>
    <row r="145" spans="1:7" ht="12.6" customHeight="1" x14ac:dyDescent="0.2">
      <c r="A145" s="308"/>
      <c r="B145" s="308"/>
      <c r="C145" s="308"/>
      <c r="D145" s="355"/>
      <c r="E145" s="355"/>
      <c r="F145" s="355"/>
      <c r="G145" s="7"/>
    </row>
    <row r="146" spans="1:7" ht="14.25" hidden="1" x14ac:dyDescent="0.2">
      <c r="A146" s="8"/>
      <c r="B146" s="8"/>
      <c r="C146" s="8"/>
      <c r="D146" s="35"/>
      <c r="E146" s="35"/>
      <c r="G146" s="7"/>
    </row>
    <row r="147" spans="1:7" ht="16.149999999999999" hidden="1" customHeight="1" x14ac:dyDescent="0.2">
      <c r="A147" s="388" t="s">
        <v>413</v>
      </c>
      <c r="B147" s="389"/>
      <c r="C147" s="389"/>
      <c r="D147" s="390">
        <f>B120</f>
        <v>75</v>
      </c>
      <c r="E147" s="391" t="s">
        <v>414</v>
      </c>
      <c r="G147" s="7"/>
    </row>
    <row r="148" spans="1:7" ht="13.5" hidden="1" thickBot="1" x14ac:dyDescent="0.25">
      <c r="G148" s="7"/>
    </row>
    <row r="149" spans="1:7" ht="25.5" hidden="1" customHeight="1" thickBot="1" x14ac:dyDescent="0.25">
      <c r="A149" s="24" t="s">
        <v>415</v>
      </c>
      <c r="B149" s="25"/>
      <c r="C149" s="25"/>
      <c r="D149" s="26"/>
      <c r="E149" s="196" t="s">
        <v>416</v>
      </c>
      <c r="F149" s="197">
        <f>F144/D147</f>
        <v>257.61973495925332</v>
      </c>
    </row>
    <row r="150" spans="1:7" ht="12.6" hidden="1" customHeight="1" x14ac:dyDescent="0.2">
      <c r="A150" s="11"/>
      <c r="B150" s="11"/>
      <c r="C150" s="11"/>
      <c r="D150" s="34"/>
      <c r="E150" s="34"/>
      <c r="F150" s="392"/>
    </row>
    <row r="151" spans="1:7" s="4" customFormat="1" ht="13.9" customHeight="1" x14ac:dyDescent="0.2">
      <c r="A151" s="38"/>
      <c r="B151" s="273"/>
      <c r="C151" s="273"/>
      <c r="D151" s="273"/>
      <c r="E151" s="273"/>
      <c r="F151" s="273"/>
      <c r="G151" s="6"/>
    </row>
    <row r="152" spans="1:7" s="4" customFormat="1" ht="9.75" customHeight="1" x14ac:dyDescent="0.2">
      <c r="A152" s="38"/>
      <c r="B152" s="273"/>
      <c r="C152" s="273"/>
      <c r="D152" s="273"/>
      <c r="E152" s="273"/>
      <c r="F152" s="273"/>
      <c r="G152" s="6"/>
    </row>
    <row r="153" spans="1:7" s="4" customFormat="1" ht="9.75" customHeight="1" x14ac:dyDescent="0.2">
      <c r="A153" s="38"/>
      <c r="B153" s="273"/>
      <c r="C153" s="273"/>
      <c r="D153" s="273"/>
      <c r="E153" s="273"/>
      <c r="F153" s="273"/>
      <c r="G153" s="6"/>
    </row>
    <row r="154" spans="1:7" x14ac:dyDescent="0.2">
      <c r="B154" s="376"/>
      <c r="D154" s="386"/>
      <c r="E154" s="386"/>
      <c r="F154" s="386"/>
    </row>
    <row r="155" spans="1:7" x14ac:dyDescent="0.2">
      <c r="D155" s="386"/>
      <c r="E155" s="386"/>
      <c r="F155" s="386"/>
    </row>
    <row r="156" spans="1:7" x14ac:dyDescent="0.2">
      <c r="B156" s="376"/>
      <c r="D156" s="386"/>
      <c r="E156" s="386"/>
      <c r="F156" s="386"/>
    </row>
    <row r="157" spans="1:7" x14ac:dyDescent="0.2">
      <c r="C157" s="376"/>
      <c r="D157" s="386"/>
      <c r="E157" s="386"/>
      <c r="F157" s="386"/>
    </row>
    <row r="158" spans="1:7" x14ac:dyDescent="0.2">
      <c r="D158" s="386"/>
      <c r="E158" s="386"/>
      <c r="F158" s="386"/>
    </row>
    <row r="159" spans="1:7" x14ac:dyDescent="0.2">
      <c r="D159" s="386"/>
      <c r="E159" s="386"/>
      <c r="F159" s="386"/>
      <c r="G159" s="7"/>
    </row>
    <row r="160" spans="1:7" x14ac:dyDescent="0.2">
      <c r="D160" s="386"/>
      <c r="E160" s="386"/>
      <c r="F160" s="386"/>
      <c r="G160" s="7"/>
    </row>
    <row r="161" spans="4:7" x14ac:dyDescent="0.2">
      <c r="D161" s="386"/>
      <c r="E161" s="386"/>
      <c r="F161" s="386"/>
      <c r="G161" s="7"/>
    </row>
    <row r="183" s="7" customFormat="1" ht="9" customHeight="1" x14ac:dyDescent="0.2"/>
  </sheetData>
  <mergeCells count="7">
    <mergeCell ref="A38:D38"/>
    <mergeCell ref="A12:F12"/>
    <mergeCell ref="A13:F13"/>
    <mergeCell ref="A15:F15"/>
    <mergeCell ref="A22:C22"/>
    <mergeCell ref="A33:E33"/>
    <mergeCell ref="A34:D34"/>
  </mergeCells>
  <hyperlinks>
    <hyperlink ref="A104" location="AbaRemun" display="3.1.2. Remuneração do Capital" xr:uid="{00000000-0004-0000-0200-000000000000}"/>
    <hyperlink ref="A94" location="AbaDeprec" display="3.1.1. Depreciação" xr:uid="{00000000-0004-0000-0200-000001000000}"/>
  </hyperlinks>
  <pageMargins left="0.9055118110236221" right="0.51181102362204722" top="0.74803149606299213" bottom="0.74803149606299213" header="0.31496062992125984" footer="0.31496062992125984"/>
  <pageSetup paperSize="9" scale="75" fitToHeight="2" orientation="portrait" r:id="rId1"/>
  <headerFooter alignWithMargins="0">
    <oddFooter>&amp;R&amp;P de &amp;N</oddFooter>
  </headerFooter>
  <rowBreaks count="2" manualBreakCount="2">
    <brk id="53" max="5" man="1"/>
    <brk id="103" max="5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41"/>
  <sheetViews>
    <sheetView zoomScale="130" zoomScaleNormal="130" workbookViewId="0"/>
  </sheetViews>
  <sheetFormatPr defaultColWidth="9.140625" defaultRowHeight="12.75" x14ac:dyDescent="0.2"/>
  <cols>
    <col min="1" max="1" width="44.5703125" style="7" customWidth="1"/>
    <col min="2" max="2" width="16" style="7" bestFit="1" customWidth="1"/>
    <col min="3" max="3" width="11.85546875" style="7" customWidth="1"/>
    <col min="4" max="4" width="14.7109375" style="273" customWidth="1"/>
    <col min="5" max="5" width="15.42578125" style="273" customWidth="1"/>
    <col min="6" max="6" width="13.28515625" style="273" customWidth="1"/>
    <col min="7" max="7" width="28.140625" style="273" customWidth="1"/>
    <col min="8" max="8" width="9.140625" style="7"/>
    <col min="9" max="9" width="14.5703125" style="7" customWidth="1"/>
    <col min="10" max="10" width="13.42578125" style="7" customWidth="1"/>
    <col min="11" max="16384" width="9.140625" style="7"/>
  </cols>
  <sheetData>
    <row r="1" spans="1:7" s="4" customFormat="1" ht="22.5" customHeight="1" thickBot="1" x14ac:dyDescent="0.25">
      <c r="A1" s="123" t="s">
        <v>383</v>
      </c>
      <c r="B1" s="398"/>
      <c r="C1" s="398"/>
      <c r="D1" s="399"/>
      <c r="E1" s="399"/>
      <c r="F1" s="6"/>
      <c r="G1" s="6"/>
    </row>
    <row r="2" spans="1:7" s="8" customFormat="1" ht="18" x14ac:dyDescent="0.2">
      <c r="A2" s="461" t="s">
        <v>436</v>
      </c>
      <c r="B2" s="462"/>
      <c r="C2" s="462"/>
      <c r="D2" s="462"/>
      <c r="E2" s="462"/>
      <c r="F2" s="463"/>
      <c r="G2" s="35"/>
    </row>
    <row r="3" spans="1:7" s="8" customFormat="1" ht="18.600000000000001" customHeight="1" x14ac:dyDescent="0.2">
      <c r="A3" s="464" t="s">
        <v>35</v>
      </c>
      <c r="B3" s="465"/>
      <c r="C3" s="465"/>
      <c r="D3" s="465"/>
      <c r="E3" s="465"/>
      <c r="F3" s="466"/>
      <c r="G3" s="35"/>
    </row>
    <row r="4" spans="1:7" s="4" customFormat="1" ht="7.15" customHeight="1" thickBot="1" x14ac:dyDescent="0.25">
      <c r="A4" s="124"/>
      <c r="B4" s="5"/>
      <c r="C4" s="5"/>
      <c r="D4" s="125"/>
      <c r="E4" s="125"/>
      <c r="F4" s="126"/>
      <c r="G4" s="6"/>
    </row>
    <row r="5" spans="1:7" s="4" customFormat="1" ht="15.75" customHeight="1" thickBot="1" x14ac:dyDescent="0.25">
      <c r="A5" s="467" t="s">
        <v>166</v>
      </c>
      <c r="B5" s="468"/>
      <c r="C5" s="468"/>
      <c r="D5" s="468"/>
      <c r="E5" s="468"/>
      <c r="F5" s="469"/>
      <c r="G5" s="6"/>
    </row>
    <row r="6" spans="1:7" s="4" customFormat="1" ht="15.75" customHeight="1" x14ac:dyDescent="0.2">
      <c r="A6" s="59" t="s">
        <v>165</v>
      </c>
      <c r="B6" s="39"/>
      <c r="C6" s="39"/>
      <c r="D6" s="201"/>
      <c r="E6" s="96" t="s">
        <v>30</v>
      </c>
      <c r="F6" s="40" t="s">
        <v>1</v>
      </c>
      <c r="G6" s="6"/>
    </row>
    <row r="7" spans="1:7" s="4" customFormat="1" ht="15.75" customHeight="1" x14ac:dyDescent="0.2">
      <c r="A7" s="340" t="str">
        <f>A18</f>
        <v xml:space="preserve">1. Contentores </v>
      </c>
      <c r="B7" s="45"/>
      <c r="C7" s="46"/>
      <c r="D7" s="46"/>
      <c r="E7" s="198">
        <f>SUM(E8:E8)</f>
        <v>3833.2</v>
      </c>
      <c r="F7" s="107">
        <f>IFERROR(E7/$E$10,0)</f>
        <v>0.79630514413123099</v>
      </c>
      <c r="G7" s="6"/>
    </row>
    <row r="8" spans="1:7" s="4" customFormat="1" ht="15.75" customHeight="1" x14ac:dyDescent="0.2">
      <c r="A8" s="60" t="str">
        <f>A19</f>
        <v xml:space="preserve">1.1 Higienização e manutenção dos contentores </v>
      </c>
      <c r="B8" s="45"/>
      <c r="C8" s="46"/>
      <c r="D8" s="46"/>
      <c r="E8" s="199">
        <f>F25</f>
        <v>3833.2</v>
      </c>
      <c r="F8" s="359">
        <f>IFERROR(E8/$E$10,0)</f>
        <v>0.79630514413123099</v>
      </c>
      <c r="G8" s="6"/>
    </row>
    <row r="9" spans="1:7" s="11" customFormat="1" ht="15.75" customHeight="1" thickBot="1" x14ac:dyDescent="0.25">
      <c r="A9" s="340" t="str">
        <f>A29</f>
        <v>2. Benefícios e Despesas Indiretas - BDI</v>
      </c>
      <c r="B9" s="114"/>
      <c r="C9" s="106"/>
      <c r="D9" s="106"/>
      <c r="E9" s="200">
        <f>+F34</f>
        <v>980.5325600000001</v>
      </c>
      <c r="F9" s="107">
        <f>IFERROR(E9/$E$10,0)</f>
        <v>0.20369485586876893</v>
      </c>
      <c r="G9" s="43"/>
    </row>
    <row r="10" spans="1:7" s="4" customFormat="1" ht="15.75" customHeight="1" thickBot="1" x14ac:dyDescent="0.25">
      <c r="A10" s="41" t="s">
        <v>423</v>
      </c>
      <c r="B10" s="42"/>
      <c r="C10" s="26"/>
      <c r="D10" s="26"/>
      <c r="E10" s="95">
        <f>E9+E7</f>
        <v>4813.7325600000004</v>
      </c>
      <c r="F10" s="118">
        <f>F7+F9</f>
        <v>0.99999999999999989</v>
      </c>
      <c r="G10" s="6"/>
    </row>
    <row r="11" spans="1:7" ht="14.25" customHeight="1" thickBot="1" x14ac:dyDescent="0.25"/>
    <row r="12" spans="1:7" s="4" customFormat="1" ht="15" customHeight="1" x14ac:dyDescent="0.2">
      <c r="A12" s="475" t="s">
        <v>424</v>
      </c>
      <c r="B12" s="476"/>
      <c r="C12" s="476"/>
      <c r="D12" s="477"/>
      <c r="E12" s="47" t="s">
        <v>32</v>
      </c>
      <c r="F12" s="7"/>
      <c r="G12" s="6"/>
    </row>
    <row r="13" spans="1:7" s="4" customFormat="1" ht="15" customHeight="1" x14ac:dyDescent="0.2">
      <c r="A13" s="360" t="str">
        <f>+A18</f>
        <v xml:space="preserve">1. Contentores </v>
      </c>
      <c r="B13" s="361"/>
      <c r="C13" s="361"/>
      <c r="D13" s="72"/>
      <c r="E13" s="362">
        <v>100</v>
      </c>
      <c r="F13" s="7"/>
      <c r="G13" s="6"/>
    </row>
    <row r="14" spans="1:7" s="4" customFormat="1" ht="15" customHeight="1" thickBot="1" x14ac:dyDescent="0.25">
      <c r="A14" s="66" t="s">
        <v>425</v>
      </c>
      <c r="B14" s="67"/>
      <c r="C14" s="67"/>
      <c r="D14" s="73"/>
      <c r="E14" s="74">
        <f>SUM(E13)</f>
        <v>100</v>
      </c>
      <c r="F14" s="7"/>
      <c r="G14" s="6"/>
    </row>
    <row r="15" spans="1:7" s="4" customFormat="1" ht="8.4499999999999993" customHeight="1" thickBot="1" x14ac:dyDescent="0.25">
      <c r="A15" s="343"/>
      <c r="B15" s="343"/>
      <c r="C15" s="343"/>
      <c r="D15" s="7"/>
      <c r="E15" s="344"/>
      <c r="F15" s="7"/>
      <c r="G15" s="6"/>
    </row>
    <row r="16" spans="1:7" s="11" customFormat="1" ht="15.75" customHeight="1" thickBot="1" x14ac:dyDescent="0.25">
      <c r="A16" s="202" t="s">
        <v>161</v>
      </c>
      <c r="B16" s="400">
        <v>1</v>
      </c>
      <c r="C16" s="34"/>
      <c r="E16" s="127"/>
      <c r="G16" s="43"/>
    </row>
    <row r="17" spans="1:10" x14ac:dyDescent="0.2">
      <c r="A17" s="11"/>
      <c r="B17" s="11"/>
      <c r="C17" s="11"/>
      <c r="D17" s="34"/>
      <c r="E17" s="34"/>
      <c r="F17" s="33"/>
      <c r="G17" s="7"/>
    </row>
    <row r="18" spans="1:10" x14ac:dyDescent="0.2">
      <c r="A18" s="11" t="s">
        <v>426</v>
      </c>
      <c r="G18" s="7"/>
    </row>
    <row r="19" spans="1:10" ht="13.5" thickBot="1" x14ac:dyDescent="0.25">
      <c r="A19" s="7" t="s">
        <v>466</v>
      </c>
      <c r="G19" s="7"/>
    </row>
    <row r="20" spans="1:10" ht="13.5" thickBot="1" x14ac:dyDescent="0.25">
      <c r="A20" s="55" t="s">
        <v>55</v>
      </c>
      <c r="B20" s="56" t="s">
        <v>56</v>
      </c>
      <c r="C20" s="56" t="s">
        <v>32</v>
      </c>
      <c r="D20" s="57" t="s">
        <v>188</v>
      </c>
      <c r="E20" s="57" t="s">
        <v>57</v>
      </c>
      <c r="F20" s="58" t="s">
        <v>58</v>
      </c>
      <c r="G20" s="7"/>
    </row>
    <row r="21" spans="1:10" x14ac:dyDescent="0.2">
      <c r="A21" s="235" t="s">
        <v>427</v>
      </c>
      <c r="B21" s="236" t="s">
        <v>56</v>
      </c>
      <c r="C21" s="307">
        <f>E13</f>
        <v>100</v>
      </c>
      <c r="D21" s="237">
        <v>40</v>
      </c>
      <c r="E21" s="272">
        <f>C21*D21</f>
        <v>4000</v>
      </c>
      <c r="G21" s="7"/>
    </row>
    <row r="22" spans="1:10" x14ac:dyDescent="0.2">
      <c r="A22" s="235" t="s">
        <v>428</v>
      </c>
      <c r="B22" s="236" t="s">
        <v>1</v>
      </c>
      <c r="C22" s="401">
        <v>33.33</v>
      </c>
      <c r="D22" s="387">
        <f>E21</f>
        <v>4000</v>
      </c>
      <c r="E22" s="415">
        <f>D22*C22/100</f>
        <v>1333.2</v>
      </c>
      <c r="G22" s="7"/>
    </row>
    <row r="23" spans="1:10" ht="18.75" customHeight="1" x14ac:dyDescent="0.2">
      <c r="A23" s="402" t="s">
        <v>429</v>
      </c>
      <c r="B23" s="236" t="s">
        <v>56</v>
      </c>
      <c r="C23" s="307">
        <f>E13</f>
        <v>100</v>
      </c>
      <c r="D23" s="237">
        <v>25</v>
      </c>
      <c r="E23" s="272">
        <f>D23*C23</f>
        <v>2500</v>
      </c>
      <c r="G23" s="7"/>
    </row>
    <row r="24" spans="1:10" ht="13.5" thickBot="1" x14ac:dyDescent="0.25">
      <c r="A24" s="235" t="s">
        <v>430</v>
      </c>
      <c r="B24" s="236" t="s">
        <v>6</v>
      </c>
      <c r="C24" s="233">
        <v>1</v>
      </c>
      <c r="D24" s="387">
        <f>E23</f>
        <v>2500</v>
      </c>
      <c r="E24" s="415">
        <f>C24*D24</f>
        <v>2500</v>
      </c>
      <c r="G24" s="7"/>
    </row>
    <row r="25" spans="1:10" ht="13.5" thickBot="1" x14ac:dyDescent="0.25">
      <c r="F25" s="21">
        <f>SUM(E22+E24)</f>
        <v>3833.2</v>
      </c>
      <c r="G25" s="7"/>
    </row>
    <row r="26" spans="1:10" s="273" customFormat="1" ht="11.25" customHeight="1" thickBot="1" x14ac:dyDescent="0.25">
      <c r="A26" s="7"/>
      <c r="B26" s="7"/>
      <c r="C26" s="7"/>
      <c r="H26" s="7"/>
      <c r="I26" s="7"/>
      <c r="J26" s="7"/>
    </row>
    <row r="27" spans="1:10" s="273" customFormat="1" ht="17.25" customHeight="1" thickBot="1" x14ac:dyDescent="0.25">
      <c r="A27" s="24" t="s">
        <v>185</v>
      </c>
      <c r="B27" s="374"/>
      <c r="C27" s="374"/>
      <c r="D27" s="353"/>
      <c r="E27" s="354"/>
      <c r="F27" s="22">
        <f>F25</f>
        <v>3833.2</v>
      </c>
      <c r="H27" s="7"/>
      <c r="I27" s="7"/>
      <c r="J27" s="7"/>
    </row>
    <row r="28" spans="1:10" s="273" customFormat="1" ht="11.25" customHeight="1" x14ac:dyDescent="0.2">
      <c r="A28" s="7"/>
      <c r="B28" s="7"/>
      <c r="C28" s="7"/>
      <c r="H28" s="7"/>
      <c r="I28" s="7"/>
      <c r="J28" s="7"/>
    </row>
    <row r="29" spans="1:10" s="273" customFormat="1" ht="13.5" thickBot="1" x14ac:dyDescent="0.25">
      <c r="A29" s="11" t="s">
        <v>431</v>
      </c>
      <c r="B29" s="7"/>
      <c r="C29" s="7"/>
      <c r="H29" s="7"/>
      <c r="I29" s="7"/>
      <c r="J29" s="7"/>
    </row>
    <row r="30" spans="1:10" s="273" customFormat="1" ht="13.5" thickBot="1" x14ac:dyDescent="0.25">
      <c r="A30" s="55" t="s">
        <v>55</v>
      </c>
      <c r="B30" s="56" t="s">
        <v>56</v>
      </c>
      <c r="C30" s="56" t="s">
        <v>32</v>
      </c>
      <c r="D30" s="57" t="s">
        <v>188</v>
      </c>
      <c r="E30" s="57" t="s">
        <v>57</v>
      </c>
      <c r="F30" s="58" t="s">
        <v>58</v>
      </c>
      <c r="H30" s="7"/>
      <c r="I30" s="7"/>
      <c r="J30" s="7"/>
    </row>
    <row r="31" spans="1:10" s="273" customFormat="1" ht="13.5" thickBot="1" x14ac:dyDescent="0.25">
      <c r="A31" s="235" t="s">
        <v>29</v>
      </c>
      <c r="B31" s="236" t="s">
        <v>1</v>
      </c>
      <c r="C31" s="403">
        <f>'5.BDI'!C18</f>
        <v>0.25580000000000003</v>
      </c>
      <c r="D31" s="272">
        <f>+F27</f>
        <v>3833.2</v>
      </c>
      <c r="E31" s="272">
        <f>C31*D31</f>
        <v>980.5325600000001</v>
      </c>
      <c r="H31" s="7"/>
      <c r="I31" s="7"/>
      <c r="J31" s="7"/>
    </row>
    <row r="32" spans="1:10" s="273" customFormat="1" ht="13.5" thickBot="1" x14ac:dyDescent="0.25">
      <c r="A32" s="7"/>
      <c r="B32" s="7"/>
      <c r="C32" s="7"/>
      <c r="F32" s="21">
        <f>+E31</f>
        <v>980.5325600000001</v>
      </c>
      <c r="H32" s="7"/>
      <c r="I32" s="7"/>
      <c r="J32" s="7"/>
    </row>
    <row r="33" spans="1:10" s="273" customFormat="1" ht="11.25" customHeight="1" thickBot="1" x14ac:dyDescent="0.25">
      <c r="A33" s="7"/>
      <c r="B33" s="7"/>
      <c r="C33" s="7"/>
      <c r="H33" s="7"/>
      <c r="I33" s="7"/>
      <c r="J33" s="7"/>
    </row>
    <row r="34" spans="1:10" s="273" customFormat="1" ht="13.5" thickBot="1" x14ac:dyDescent="0.25">
      <c r="A34" s="24" t="s">
        <v>192</v>
      </c>
      <c r="B34" s="374"/>
      <c r="C34" s="374"/>
      <c r="D34" s="353"/>
      <c r="E34" s="354"/>
      <c r="F34" s="22">
        <f>F32</f>
        <v>980.5325600000001</v>
      </c>
      <c r="H34" s="7"/>
      <c r="I34" s="7"/>
      <c r="J34" s="7"/>
    </row>
    <row r="35" spans="1:10" s="273" customFormat="1" ht="13.5" thickBot="1" x14ac:dyDescent="0.25">
      <c r="A35" s="11"/>
      <c r="B35" s="11"/>
      <c r="C35" s="11"/>
      <c r="D35" s="34"/>
      <c r="E35" s="34"/>
      <c r="F35" s="33"/>
      <c r="H35" s="7"/>
      <c r="I35" s="7"/>
      <c r="J35" s="7"/>
    </row>
    <row r="36" spans="1:10" s="273" customFormat="1" ht="19.5" customHeight="1" thickBot="1" x14ac:dyDescent="0.25">
      <c r="A36" s="24" t="s">
        <v>186</v>
      </c>
      <c r="B36" s="374"/>
      <c r="C36" s="374"/>
      <c r="D36" s="353"/>
      <c r="E36" s="354"/>
      <c r="F36" s="22">
        <f>F27+F34</f>
        <v>4813.7325600000004</v>
      </c>
      <c r="H36" s="7"/>
      <c r="I36" s="7"/>
      <c r="J36" s="7"/>
    </row>
    <row r="37" spans="1:10" s="273" customFormat="1" ht="15" thickBot="1" x14ac:dyDescent="0.25">
      <c r="A37" s="404"/>
      <c r="B37" s="404"/>
      <c r="C37" s="404"/>
      <c r="D37" s="405"/>
      <c r="E37" s="405"/>
      <c r="F37" s="406"/>
      <c r="H37" s="7"/>
      <c r="I37" s="7"/>
      <c r="J37" s="7"/>
    </row>
    <row r="38" spans="1:10" ht="16.149999999999999" customHeight="1" thickBot="1" x14ac:dyDescent="0.25">
      <c r="A38" s="407" t="s">
        <v>432</v>
      </c>
      <c r="B38" s="414"/>
      <c r="C38" s="414"/>
      <c r="D38" s="416">
        <f>E13</f>
        <v>100</v>
      </c>
      <c r="E38" s="417" t="s">
        <v>433</v>
      </c>
      <c r="F38" s="406"/>
    </row>
    <row r="39" spans="1:10" ht="13.5" thickBot="1" x14ac:dyDescent="0.25">
      <c r="A39" s="397"/>
      <c r="B39" s="397"/>
      <c r="C39" s="397"/>
      <c r="D39" s="406"/>
      <c r="E39" s="406"/>
      <c r="F39" s="406"/>
    </row>
    <row r="40" spans="1:10" ht="25.5" customHeight="1" thickBot="1" x14ac:dyDescent="0.25">
      <c r="A40" s="407" t="s">
        <v>434</v>
      </c>
      <c r="B40" s="408"/>
      <c r="C40" s="408"/>
      <c r="D40" s="409"/>
      <c r="E40" s="410" t="s">
        <v>435</v>
      </c>
      <c r="F40" s="411">
        <f>IFERROR(F36/D38,"-")</f>
        <v>48.137325600000004</v>
      </c>
    </row>
    <row r="41" spans="1:10" ht="12.6" customHeight="1" x14ac:dyDescent="0.2">
      <c r="A41" s="412"/>
      <c r="B41" s="412"/>
      <c r="C41" s="412"/>
      <c r="D41" s="413"/>
      <c r="E41" s="413"/>
      <c r="F41" s="413"/>
    </row>
  </sheetData>
  <mergeCells count="4">
    <mergeCell ref="A2:F2"/>
    <mergeCell ref="A3:F3"/>
    <mergeCell ref="A5:F5"/>
    <mergeCell ref="A12:D12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6"/>
  <sheetViews>
    <sheetView topLeftCell="A13" zoomScale="120" zoomScaleNormal="120" workbookViewId="0"/>
  </sheetViews>
  <sheetFormatPr defaultColWidth="9.140625" defaultRowHeight="12.75" x14ac:dyDescent="0.2"/>
  <cols>
    <col min="1" max="1" width="7.7109375" style="1" customWidth="1"/>
    <col min="2" max="2" width="37.5703125" style="1" customWidth="1"/>
    <col min="3" max="3" width="18.710937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6" hidden="1" x14ac:dyDescent="0.2">
      <c r="A1" s="11" t="s">
        <v>167</v>
      </c>
    </row>
    <row r="2" spans="1:6" hidden="1" x14ac:dyDescent="0.2">
      <c r="A2" s="115" t="s">
        <v>194</v>
      </c>
    </row>
    <row r="3" spans="1:6" ht="13.5" thickBot="1" x14ac:dyDescent="0.25">
      <c r="A3" s="93" t="s">
        <v>258</v>
      </c>
    </row>
    <row r="4" spans="1:6" ht="18" x14ac:dyDescent="0.2">
      <c r="A4" s="478" t="s">
        <v>290</v>
      </c>
      <c r="B4" s="479"/>
      <c r="C4" s="480"/>
      <c r="D4" s="123"/>
      <c r="E4" s="123"/>
      <c r="F4" s="123"/>
    </row>
    <row r="5" spans="1:6" ht="14.25" x14ac:dyDescent="0.2">
      <c r="A5" s="132" t="s">
        <v>105</v>
      </c>
      <c r="B5" s="133" t="s">
        <v>106</v>
      </c>
      <c r="C5" s="134" t="s">
        <v>107</v>
      </c>
      <c r="D5" s="135"/>
    </row>
    <row r="6" spans="1:6" ht="14.25" x14ac:dyDescent="0.2">
      <c r="A6" s="132" t="s">
        <v>108</v>
      </c>
      <c r="B6" s="133" t="s">
        <v>33</v>
      </c>
      <c r="C6" s="136">
        <v>0.2</v>
      </c>
      <c r="D6" s="135"/>
    </row>
    <row r="7" spans="1:6" ht="14.25" x14ac:dyDescent="0.2">
      <c r="A7" s="132" t="s">
        <v>109</v>
      </c>
      <c r="B7" s="133" t="s">
        <v>110</v>
      </c>
      <c r="C7" s="136">
        <v>1.4999999999999999E-2</v>
      </c>
      <c r="D7" s="135"/>
    </row>
    <row r="8" spans="1:6" ht="14.25" x14ac:dyDescent="0.2">
      <c r="A8" s="132" t="s">
        <v>111</v>
      </c>
      <c r="B8" s="133" t="s">
        <v>112</v>
      </c>
      <c r="C8" s="136">
        <v>0.01</v>
      </c>
      <c r="D8" s="135"/>
    </row>
    <row r="9" spans="1:6" ht="14.25" x14ac:dyDescent="0.2">
      <c r="A9" s="132" t="s">
        <v>113</v>
      </c>
      <c r="B9" s="133" t="s">
        <v>114</v>
      </c>
      <c r="C9" s="136">
        <v>2E-3</v>
      </c>
      <c r="D9" s="135"/>
    </row>
    <row r="10" spans="1:6" ht="14.25" x14ac:dyDescent="0.2">
      <c r="A10" s="132" t="s">
        <v>115</v>
      </c>
      <c r="B10" s="133" t="s">
        <v>116</v>
      </c>
      <c r="C10" s="136">
        <v>6.0000000000000001E-3</v>
      </c>
      <c r="D10" s="135"/>
    </row>
    <row r="11" spans="1:6" ht="14.25" x14ac:dyDescent="0.2">
      <c r="A11" s="132" t="s">
        <v>117</v>
      </c>
      <c r="B11" s="133" t="s">
        <v>118</v>
      </c>
      <c r="C11" s="136">
        <v>2.5000000000000001E-2</v>
      </c>
      <c r="D11" s="135"/>
    </row>
    <row r="12" spans="1:6" ht="14.25" x14ac:dyDescent="0.2">
      <c r="A12" s="132" t="s">
        <v>119</v>
      </c>
      <c r="B12" s="133" t="s">
        <v>120</v>
      </c>
      <c r="C12" s="136">
        <v>0.03</v>
      </c>
      <c r="D12" s="135"/>
    </row>
    <row r="13" spans="1:6" ht="14.25" x14ac:dyDescent="0.2">
      <c r="A13" s="132" t="s">
        <v>121</v>
      </c>
      <c r="B13" s="133" t="s">
        <v>34</v>
      </c>
      <c r="C13" s="136">
        <v>0.08</v>
      </c>
      <c r="D13" s="135"/>
    </row>
    <row r="14" spans="1:6" ht="15" x14ac:dyDescent="0.2">
      <c r="A14" s="132" t="s">
        <v>122</v>
      </c>
      <c r="B14" s="137" t="s">
        <v>123</v>
      </c>
      <c r="C14" s="138">
        <f>SUM(C6:C13)</f>
        <v>0.36800000000000005</v>
      </c>
      <c r="D14" s="135"/>
    </row>
    <row r="15" spans="1:6" ht="15" x14ac:dyDescent="0.2">
      <c r="A15" s="139"/>
      <c r="B15" s="140"/>
      <c r="C15" s="141"/>
      <c r="D15" s="135"/>
    </row>
    <row r="16" spans="1:6" ht="14.25" x14ac:dyDescent="0.2">
      <c r="A16" s="132" t="s">
        <v>124</v>
      </c>
      <c r="B16" s="142" t="s">
        <v>125</v>
      </c>
      <c r="C16" s="136">
        <v>5.74E-2</v>
      </c>
      <c r="D16" s="135"/>
    </row>
    <row r="17" spans="1:8" ht="14.25" x14ac:dyDescent="0.2">
      <c r="A17" s="132" t="s">
        <v>126</v>
      </c>
      <c r="B17" s="142" t="s">
        <v>127</v>
      </c>
      <c r="C17" s="136">
        <v>8.3299999999999999E-2</v>
      </c>
      <c r="D17" s="135"/>
    </row>
    <row r="18" spans="1:8" ht="14.25" x14ac:dyDescent="0.2">
      <c r="A18" s="132" t="s">
        <v>181</v>
      </c>
      <c r="B18" s="142" t="s">
        <v>129</v>
      </c>
      <c r="C18" s="136">
        <v>5.9999999999999995E-4</v>
      </c>
      <c r="D18" s="135"/>
    </row>
    <row r="19" spans="1:8" ht="14.25" x14ac:dyDescent="0.2">
      <c r="A19" s="132" t="s">
        <v>128</v>
      </c>
      <c r="B19" s="142" t="s">
        <v>131</v>
      </c>
      <c r="C19" s="136">
        <v>8.2000000000000007E-3</v>
      </c>
      <c r="D19" s="135"/>
    </row>
    <row r="20" spans="1:8" ht="14.25" x14ac:dyDescent="0.2">
      <c r="A20" s="132" t="s">
        <v>130</v>
      </c>
      <c r="B20" s="142" t="s">
        <v>133</v>
      </c>
      <c r="C20" s="136">
        <v>3.0999999999999999E-3</v>
      </c>
      <c r="D20" s="135"/>
    </row>
    <row r="21" spans="1:8" ht="14.25" x14ac:dyDescent="0.2">
      <c r="A21" s="132" t="s">
        <v>132</v>
      </c>
      <c r="B21" s="142" t="s">
        <v>134</v>
      </c>
      <c r="C21" s="136">
        <v>1.66E-2</v>
      </c>
      <c r="D21" s="135"/>
    </row>
    <row r="22" spans="1:8" ht="15" x14ac:dyDescent="0.2">
      <c r="A22" s="132" t="s">
        <v>135</v>
      </c>
      <c r="B22" s="137" t="s">
        <v>136</v>
      </c>
      <c r="C22" s="138">
        <f>SUM(C16:C21)</f>
        <v>0.16919999999999999</v>
      </c>
      <c r="D22" s="143"/>
    </row>
    <row r="23" spans="1:8" ht="15" x14ac:dyDescent="0.2">
      <c r="A23" s="139"/>
      <c r="B23" s="140"/>
      <c r="C23" s="141"/>
      <c r="D23" s="143"/>
    </row>
    <row r="24" spans="1:8" ht="14.25" x14ac:dyDescent="0.2">
      <c r="A24" s="132" t="s">
        <v>137</v>
      </c>
      <c r="B24" s="133" t="s">
        <v>138</v>
      </c>
      <c r="C24" s="136">
        <v>2.5000000000000001E-2</v>
      </c>
      <c r="D24" s="135"/>
      <c r="E24" s="144"/>
    </row>
    <row r="25" spans="1:8" ht="14.25" x14ac:dyDescent="0.2">
      <c r="A25" s="132" t="s">
        <v>180</v>
      </c>
      <c r="B25" s="133" t="s">
        <v>140</v>
      </c>
      <c r="C25" s="136">
        <v>5.3699999999999998E-2</v>
      </c>
      <c r="D25" s="135"/>
      <c r="H25" s="145"/>
    </row>
    <row r="26" spans="1:8" ht="14.25" x14ac:dyDescent="0.2">
      <c r="A26" s="132" t="s">
        <v>139</v>
      </c>
      <c r="B26" s="133" t="s">
        <v>142</v>
      </c>
      <c r="C26" s="136">
        <v>4.3E-3</v>
      </c>
      <c r="D26" s="135"/>
    </row>
    <row r="27" spans="1:8" ht="14.25" x14ac:dyDescent="0.2">
      <c r="A27" s="132" t="s">
        <v>141</v>
      </c>
      <c r="B27" s="133" t="s">
        <v>144</v>
      </c>
      <c r="C27" s="136">
        <v>2.1999999999999999E-2</v>
      </c>
      <c r="D27" s="135"/>
      <c r="G27" s="144"/>
    </row>
    <row r="28" spans="1:8" ht="14.25" x14ac:dyDescent="0.2">
      <c r="A28" s="132" t="s">
        <v>143</v>
      </c>
      <c r="B28" s="133" t="s">
        <v>145</v>
      </c>
      <c r="C28" s="136">
        <v>2.7000000000000001E-3</v>
      </c>
      <c r="D28" s="135"/>
    </row>
    <row r="29" spans="1:8" ht="15" x14ac:dyDescent="0.2">
      <c r="A29" s="132" t="s">
        <v>146</v>
      </c>
      <c r="B29" s="137" t="s">
        <v>147</v>
      </c>
      <c r="C29" s="138">
        <f>SUM(C24:C28)</f>
        <v>0.10769999999999998</v>
      </c>
      <c r="D29" s="143"/>
    </row>
    <row r="30" spans="1:8" ht="15" x14ac:dyDescent="0.2">
      <c r="A30" s="139"/>
      <c r="B30" s="140"/>
      <c r="C30" s="141"/>
      <c r="D30" s="143"/>
    </row>
    <row r="31" spans="1:8" ht="14.25" x14ac:dyDescent="0.2">
      <c r="A31" s="132" t="s">
        <v>148</v>
      </c>
      <c r="B31" s="133" t="s">
        <v>149</v>
      </c>
      <c r="C31" s="136">
        <f>ROUND(C14*C22,4)</f>
        <v>6.2300000000000001E-2</v>
      </c>
      <c r="D31" s="135"/>
    </row>
    <row r="32" spans="1:8" ht="28.5" x14ac:dyDescent="0.2">
      <c r="A32" s="132" t="s">
        <v>150</v>
      </c>
      <c r="B32" s="146" t="s">
        <v>151</v>
      </c>
      <c r="C32" s="136">
        <f>ROUND((C24*C14),4)</f>
        <v>9.1999999999999998E-3</v>
      </c>
      <c r="D32" s="135"/>
    </row>
    <row r="33" spans="1:4" ht="15" x14ac:dyDescent="0.2">
      <c r="A33" s="132" t="s">
        <v>152</v>
      </c>
      <c r="B33" s="137" t="s">
        <v>153</v>
      </c>
      <c r="C33" s="138">
        <f>SUM(C31:C32)</f>
        <v>7.1500000000000008E-2</v>
      </c>
      <c r="D33" s="143"/>
    </row>
    <row r="34" spans="1:4" ht="15.75" thickBot="1" x14ac:dyDescent="0.25">
      <c r="A34" s="147"/>
      <c r="B34" s="148" t="s">
        <v>154</v>
      </c>
      <c r="C34" s="149">
        <f>C33+C29+C22+C14</f>
        <v>0.71639999999999993</v>
      </c>
      <c r="D34" s="143"/>
    </row>
    <row r="35" spans="1:4" ht="15" x14ac:dyDescent="0.2">
      <c r="A35" s="135"/>
      <c r="B35" s="150"/>
      <c r="C35" s="151"/>
      <c r="D35" s="152"/>
    </row>
    <row r="36" spans="1:4" ht="14.25" x14ac:dyDescent="0.2">
      <c r="A36" s="135"/>
      <c r="B36" s="135"/>
      <c r="C36" s="153"/>
      <c r="D36" s="154"/>
    </row>
    <row r="37" spans="1:4" ht="14.25" x14ac:dyDescent="0.2">
      <c r="A37" s="135"/>
      <c r="B37" s="135"/>
      <c r="C37" s="153"/>
      <c r="D37" s="135"/>
    </row>
    <row r="38" spans="1:4" ht="14.25" x14ac:dyDescent="0.2">
      <c r="A38" s="135"/>
      <c r="B38" s="135"/>
      <c r="C38" s="153"/>
      <c r="D38" s="135"/>
    </row>
    <row r="39" spans="1:4" ht="14.25" x14ac:dyDescent="0.2">
      <c r="A39" s="135"/>
      <c r="B39" s="135"/>
      <c r="C39" s="153"/>
      <c r="D39" s="135"/>
    </row>
    <row r="40" spans="1:4" ht="15" x14ac:dyDescent="0.2">
      <c r="A40" s="135"/>
      <c r="B40" s="150"/>
      <c r="C40" s="151"/>
      <c r="D40" s="135"/>
    </row>
    <row r="41" spans="1:4" ht="15" x14ac:dyDescent="0.2">
      <c r="A41" s="143"/>
      <c r="B41" s="150"/>
      <c r="C41" s="151"/>
      <c r="D41" s="143"/>
    </row>
    <row r="42" spans="1:4" ht="16.5" x14ac:dyDescent="0.2">
      <c r="A42" s="155"/>
    </row>
    <row r="43" spans="1:4" x14ac:dyDescent="0.2">
      <c r="A43" s="156"/>
      <c r="B43" s="157"/>
      <c r="C43" s="157"/>
    </row>
    <row r="44" spans="1:4" ht="14.25" x14ac:dyDescent="0.2">
      <c r="A44" s="135"/>
      <c r="B44" s="158"/>
      <c r="C44" s="157"/>
    </row>
    <row r="45" spans="1:4" ht="14.25" x14ac:dyDescent="0.2">
      <c r="A45" s="135"/>
      <c r="B45" s="158"/>
      <c r="C45" s="135"/>
    </row>
    <row r="46" spans="1:4" ht="14.25" x14ac:dyDescent="0.2">
      <c r="A46" s="135"/>
      <c r="B46" s="153"/>
      <c r="C46" s="157"/>
    </row>
    <row r="47" spans="1:4" ht="14.25" x14ac:dyDescent="0.2">
      <c r="A47" s="135"/>
      <c r="B47" s="158"/>
      <c r="C47" s="135"/>
    </row>
    <row r="48" spans="1:4" ht="14.25" x14ac:dyDescent="0.2">
      <c r="A48" s="135"/>
      <c r="B48" s="153"/>
      <c r="C48" s="157"/>
    </row>
    <row r="49" spans="1:3" ht="14.25" x14ac:dyDescent="0.2">
      <c r="A49" s="135"/>
      <c r="B49" s="158"/>
      <c r="C49" s="135"/>
    </row>
    <row r="50" spans="1:3" ht="14.25" x14ac:dyDescent="0.2">
      <c r="A50" s="135"/>
      <c r="B50" s="153"/>
      <c r="C50" s="157"/>
    </row>
    <row r="51" spans="1:3" ht="14.25" x14ac:dyDescent="0.2">
      <c r="A51" s="135"/>
      <c r="B51" s="158"/>
      <c r="C51" s="135"/>
    </row>
    <row r="52" spans="1:3" ht="14.25" x14ac:dyDescent="0.2">
      <c r="A52" s="135"/>
      <c r="B52" s="153"/>
      <c r="C52" s="157"/>
    </row>
    <row r="53" spans="1:3" ht="16.5" x14ac:dyDescent="0.2">
      <c r="A53" s="155"/>
    </row>
    <row r="56" spans="1:3" x14ac:dyDescent="0.2">
      <c r="A56" s="159"/>
    </row>
  </sheetData>
  <mergeCells count="1">
    <mergeCell ref="A4:C4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9"/>
  <sheetViews>
    <sheetView topLeftCell="A4" zoomScale="120" zoomScaleNormal="120" workbookViewId="0"/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.42578125" style="101" bestFit="1" customWidth="1"/>
    <col min="6" max="6" width="9.7109375" bestFit="1" customWidth="1"/>
  </cols>
  <sheetData>
    <row r="1" spans="1:8" s="120" customFormat="1" ht="14.25" hidden="1" x14ac:dyDescent="0.2">
      <c r="A1" s="11" t="s">
        <v>167</v>
      </c>
      <c r="B1" s="8"/>
      <c r="C1" s="8"/>
      <c r="E1" s="121"/>
    </row>
    <row r="2" spans="1:8" s="120" customFormat="1" ht="14.25" hidden="1" x14ac:dyDescent="0.2">
      <c r="A2" s="115" t="s">
        <v>195</v>
      </c>
      <c r="B2" s="8"/>
      <c r="C2" s="8"/>
      <c r="E2" s="121"/>
    </row>
    <row r="3" spans="1:8" s="120" customFormat="1" ht="14.25" hidden="1" x14ac:dyDescent="0.2">
      <c r="A3" s="9" t="s">
        <v>168</v>
      </c>
      <c r="B3" s="8"/>
      <c r="C3" s="8"/>
      <c r="E3" s="121"/>
    </row>
    <row r="4" spans="1:8" s="120" customFormat="1" ht="14.25" x14ac:dyDescent="0.2">
      <c r="A4" s="93" t="s">
        <v>259</v>
      </c>
      <c r="B4" s="8"/>
      <c r="C4" s="8"/>
      <c r="E4" s="121"/>
    </row>
    <row r="5" spans="1:8" s="120" customFormat="1" ht="15" thickBot="1" x14ac:dyDescent="0.25">
      <c r="B5" s="8"/>
      <c r="C5" s="8"/>
      <c r="E5" s="121"/>
    </row>
    <row r="6" spans="1:8" ht="15.75" x14ac:dyDescent="0.2">
      <c r="A6" s="486" t="s">
        <v>289</v>
      </c>
      <c r="B6" s="487"/>
      <c r="C6" s="487"/>
      <c r="D6" s="487"/>
      <c r="E6" s="487"/>
      <c r="F6" s="488"/>
    </row>
    <row r="7" spans="1:8" ht="16.5" thickBot="1" x14ac:dyDescent="0.25">
      <c r="A7" s="203"/>
      <c r="B7" s="204"/>
      <c r="C7" s="204"/>
      <c r="D7" s="204"/>
      <c r="E7" s="204"/>
      <c r="F7" s="205"/>
    </row>
    <row r="8" spans="1:8" ht="15" x14ac:dyDescent="0.25">
      <c r="A8" s="162"/>
      <c r="B8" s="8"/>
      <c r="C8" s="8"/>
      <c r="D8" s="483" t="s">
        <v>193</v>
      </c>
      <c r="E8" s="484"/>
      <c r="F8" s="485"/>
      <c r="G8" s="120"/>
      <c r="H8" s="120"/>
    </row>
    <row r="9" spans="1:8" ht="15" thickBot="1" x14ac:dyDescent="0.25">
      <c r="A9" s="161"/>
      <c r="B9" s="120"/>
      <c r="C9" s="120"/>
      <c r="D9" s="163" t="s">
        <v>155</v>
      </c>
      <c r="E9" s="164" t="s">
        <v>156</v>
      </c>
      <c r="F9" s="165" t="s">
        <v>157</v>
      </c>
      <c r="G9" s="120"/>
      <c r="H9" s="120"/>
    </row>
    <row r="10" spans="1:8" ht="14.25" x14ac:dyDescent="0.2">
      <c r="A10" s="166" t="s">
        <v>66</v>
      </c>
      <c r="B10" s="167" t="s">
        <v>67</v>
      </c>
      <c r="C10" s="168">
        <v>0.05</v>
      </c>
      <c r="D10" s="189">
        <v>2.9700000000000001E-2</v>
      </c>
      <c r="E10" s="190">
        <v>5.0799999999999998E-2</v>
      </c>
      <c r="F10" s="191">
        <v>6.2700000000000006E-2</v>
      </c>
      <c r="G10" s="120"/>
      <c r="H10" s="120"/>
    </row>
    <row r="11" spans="1:8" ht="14.25" x14ac:dyDescent="0.2">
      <c r="A11" s="170" t="s">
        <v>68</v>
      </c>
      <c r="B11" s="171" t="s">
        <v>69</v>
      </c>
      <c r="C11" s="172">
        <v>1.3299999999999999E-2</v>
      </c>
      <c r="D11" s="189">
        <f>0.3%+0.56%</f>
        <v>8.6E-3</v>
      </c>
      <c r="E11" s="190">
        <f>0.48%+0.85%</f>
        <v>1.3299999999999999E-2</v>
      </c>
      <c r="F11" s="191">
        <f>0.82%+0.89%</f>
        <v>1.7099999999999997E-2</v>
      </c>
      <c r="G11" s="120"/>
      <c r="H11" s="120"/>
    </row>
    <row r="12" spans="1:8" ht="14.25" x14ac:dyDescent="0.2">
      <c r="A12" s="170" t="s">
        <v>70</v>
      </c>
      <c r="B12" s="171" t="s">
        <v>71</v>
      </c>
      <c r="C12" s="172">
        <v>0.1</v>
      </c>
      <c r="D12" s="189">
        <v>7.7799999999999994E-2</v>
      </c>
      <c r="E12" s="190">
        <v>0.1085</v>
      </c>
      <c r="F12" s="191">
        <v>0.13550000000000001</v>
      </c>
      <c r="G12" s="120"/>
      <c r="H12" s="120"/>
    </row>
    <row r="13" spans="1:8" ht="14.25" x14ac:dyDescent="0.2">
      <c r="A13" s="170" t="s">
        <v>72</v>
      </c>
      <c r="B13" s="171" t="s">
        <v>73</v>
      </c>
      <c r="C13" s="173">
        <f>(1+E13)^(E14/252)-1</f>
        <v>2.2511149891657478E-3</v>
      </c>
      <c r="D13" s="189" t="s">
        <v>203</v>
      </c>
      <c r="E13" s="174">
        <v>0.12</v>
      </c>
      <c r="F13" s="169"/>
      <c r="G13" s="120"/>
      <c r="H13" s="120"/>
    </row>
    <row r="14" spans="1:8" ht="14.25" x14ac:dyDescent="0.2">
      <c r="A14" s="170" t="s">
        <v>74</v>
      </c>
      <c r="B14" s="481" t="s">
        <v>75</v>
      </c>
      <c r="C14" s="172">
        <v>0.03</v>
      </c>
      <c r="D14" s="220" t="s">
        <v>158</v>
      </c>
      <c r="E14" s="175">
        <v>5</v>
      </c>
      <c r="F14" s="176"/>
      <c r="G14" s="120"/>
      <c r="H14" s="120"/>
    </row>
    <row r="15" spans="1:8" ht="15" thickBot="1" x14ac:dyDescent="0.25">
      <c r="A15" s="177" t="s">
        <v>221</v>
      </c>
      <c r="B15" s="482"/>
      <c r="C15" s="178">
        <v>3.6499999999999998E-2</v>
      </c>
      <c r="D15" s="160"/>
      <c r="E15" s="179"/>
      <c r="F15" s="176"/>
      <c r="G15" s="120"/>
      <c r="H15" s="120"/>
    </row>
    <row r="16" spans="1:8" ht="14.25" x14ac:dyDescent="0.2">
      <c r="A16" s="180" t="s">
        <v>76</v>
      </c>
      <c r="B16" s="181"/>
      <c r="C16" s="182"/>
      <c r="D16" s="160"/>
      <c r="E16" s="179"/>
      <c r="F16" s="176"/>
      <c r="G16" s="120"/>
      <c r="H16" s="120"/>
    </row>
    <row r="17" spans="1:8" ht="15" thickBot="1" x14ac:dyDescent="0.25">
      <c r="A17" s="183" t="s">
        <v>77</v>
      </c>
      <c r="B17" s="184"/>
      <c r="C17" s="185"/>
      <c r="D17" s="160"/>
      <c r="E17" s="179"/>
      <c r="F17" s="176"/>
      <c r="G17" s="120"/>
      <c r="H17" s="120"/>
    </row>
    <row r="18" spans="1:8" ht="15.75" thickBot="1" x14ac:dyDescent="0.25">
      <c r="A18" s="186" t="s">
        <v>78</v>
      </c>
      <c r="B18" s="187"/>
      <c r="C18" s="188">
        <f>ROUND((((1+C10+C11)*(1+C12)*(1+C13))/(1-(C14+C15))-1),4)</f>
        <v>0.25580000000000003</v>
      </c>
      <c r="D18" s="192">
        <v>0.21429999999999999</v>
      </c>
      <c r="E18" s="193">
        <v>0.2717</v>
      </c>
      <c r="F18" s="194">
        <v>0.3362</v>
      </c>
      <c r="G18" s="120"/>
      <c r="H18" s="120"/>
    </row>
    <row r="19" spans="1:8" ht="14.25" x14ac:dyDescent="0.2">
      <c r="A19" s="120"/>
      <c r="B19" s="120"/>
      <c r="C19" s="120"/>
      <c r="D19" s="120"/>
      <c r="E19" s="121"/>
      <c r="F19" s="120"/>
      <c r="G19" s="120"/>
      <c r="H19" s="120"/>
    </row>
  </sheetData>
  <mergeCells count="3">
    <mergeCell ref="B14:B15"/>
    <mergeCell ref="D8:F8"/>
    <mergeCell ref="A6:F6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7"/>
  <sheetViews>
    <sheetView workbookViewId="0"/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489" t="s">
        <v>267</v>
      </c>
      <c r="B1" s="490"/>
    </row>
    <row r="2" spans="1:2" s="93" customFormat="1" ht="19.5" customHeight="1" x14ac:dyDescent="0.2">
      <c r="A2" s="206" t="s">
        <v>170</v>
      </c>
      <c r="B2" s="207" t="s">
        <v>204</v>
      </c>
    </row>
    <row r="3" spans="1:2" ht="19.5" customHeight="1" x14ac:dyDescent="0.2">
      <c r="A3" s="129">
        <v>1</v>
      </c>
      <c r="B3" s="128">
        <v>33.629999999999995</v>
      </c>
    </row>
    <row r="4" spans="1:2" ht="19.5" customHeight="1" x14ac:dyDescent="0.2">
      <c r="A4" s="129">
        <v>2</v>
      </c>
      <c r="B4" s="128">
        <v>43.13</v>
      </c>
    </row>
    <row r="5" spans="1:2" ht="19.5" customHeight="1" x14ac:dyDescent="0.2">
      <c r="A5" s="129">
        <v>3</v>
      </c>
      <c r="B5" s="128">
        <v>48.68</v>
      </c>
    </row>
    <row r="6" spans="1:2" ht="19.5" customHeight="1" x14ac:dyDescent="0.2">
      <c r="A6" s="129">
        <v>4</v>
      </c>
      <c r="B6" s="128">
        <v>52.62</v>
      </c>
    </row>
    <row r="7" spans="1:2" ht="19.5" customHeight="1" x14ac:dyDescent="0.2">
      <c r="A7" s="129">
        <v>5</v>
      </c>
      <c r="B7" s="128">
        <v>55.679999999999993</v>
      </c>
    </row>
    <row r="8" spans="1:2" ht="19.5" customHeight="1" x14ac:dyDescent="0.2">
      <c r="A8" s="129">
        <v>6</v>
      </c>
      <c r="B8" s="128">
        <v>58.18</v>
      </c>
    </row>
    <row r="9" spans="1:2" ht="19.5" customHeight="1" x14ac:dyDescent="0.2">
      <c r="A9" s="129">
        <v>7</v>
      </c>
      <c r="B9" s="128">
        <v>60.29</v>
      </c>
    </row>
    <row r="10" spans="1:2" ht="19.5" customHeight="1" x14ac:dyDescent="0.2">
      <c r="A10" s="129">
        <v>8</v>
      </c>
      <c r="B10" s="128">
        <v>62.12</v>
      </c>
    </row>
    <row r="11" spans="1:2" ht="19.5" customHeight="1" x14ac:dyDescent="0.2">
      <c r="A11" s="129">
        <v>9</v>
      </c>
      <c r="B11" s="128">
        <v>63.73</v>
      </c>
    </row>
    <row r="12" spans="1:2" ht="19.5" customHeight="1" x14ac:dyDescent="0.2">
      <c r="A12" s="129">
        <v>10</v>
      </c>
      <c r="B12" s="128">
        <v>65.180000000000007</v>
      </c>
    </row>
    <row r="13" spans="1:2" ht="19.5" customHeight="1" x14ac:dyDescent="0.2">
      <c r="A13" s="129">
        <v>11</v>
      </c>
      <c r="B13" s="128">
        <v>66.47999999999999</v>
      </c>
    </row>
    <row r="14" spans="1:2" ht="19.5" customHeight="1" x14ac:dyDescent="0.2">
      <c r="A14" s="129">
        <v>12</v>
      </c>
      <c r="B14" s="128">
        <v>67.67</v>
      </c>
    </row>
    <row r="15" spans="1:2" ht="19.5" customHeight="1" x14ac:dyDescent="0.2">
      <c r="A15" s="129">
        <v>13</v>
      </c>
      <c r="B15" s="128">
        <v>68.77</v>
      </c>
    </row>
    <row r="16" spans="1:2" ht="19.5" customHeight="1" x14ac:dyDescent="0.2">
      <c r="A16" s="129">
        <v>14</v>
      </c>
      <c r="B16" s="128">
        <v>69.789999999999992</v>
      </c>
    </row>
    <row r="17" spans="1:2" ht="19.5" customHeight="1" thickBot="1" x14ac:dyDescent="0.25">
      <c r="A17" s="130">
        <v>15</v>
      </c>
      <c r="B17" s="131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D114"/>
  <sheetViews>
    <sheetView topLeftCell="F1" zoomScale="130" zoomScaleNormal="130" zoomScaleSheetLayoutView="120" workbookViewId="0"/>
  </sheetViews>
  <sheetFormatPr defaultColWidth="8.85546875" defaultRowHeight="15" x14ac:dyDescent="0.25"/>
  <cols>
    <col min="1" max="1" width="8.7109375" style="393" customWidth="1"/>
    <col min="2" max="2" width="19.140625" style="393" customWidth="1"/>
    <col min="3" max="3" width="14" style="393" customWidth="1"/>
    <col min="4" max="4" width="16.28515625" style="393" customWidth="1"/>
    <col min="5" max="5" width="13.140625" style="393" customWidth="1"/>
    <col min="6" max="6" width="8" style="393" customWidth="1"/>
    <col min="7" max="7" width="13.85546875" style="393" customWidth="1"/>
    <col min="8" max="8" width="16.28515625" style="393" customWidth="1"/>
    <col min="9" max="10" width="15.5703125" style="393" customWidth="1"/>
    <col min="11" max="11" width="11.140625" style="393" customWidth="1"/>
    <col min="12" max="12" width="9" style="393" customWidth="1"/>
    <col min="13" max="13" width="14.7109375" style="393" customWidth="1"/>
    <col min="14" max="14" width="16.28515625" style="393" customWidth="1"/>
    <col min="15" max="15" width="15.5703125" style="393" customWidth="1"/>
    <col min="16" max="16" width="11.5703125" style="393" customWidth="1"/>
    <col min="17" max="17" width="11.7109375" style="393" customWidth="1"/>
    <col min="18" max="18" width="8.5703125" style="393" customWidth="1"/>
    <col min="19" max="19" width="15" style="393" customWidth="1"/>
    <col min="20" max="20" width="10.42578125" style="393" customWidth="1"/>
    <col min="21" max="21" width="31.5703125" style="393" customWidth="1"/>
    <col min="22" max="22" width="13.85546875" style="393" customWidth="1"/>
    <col min="23" max="23" width="20.42578125" style="393" customWidth="1"/>
    <col min="24" max="24" width="6.7109375" style="393" customWidth="1"/>
    <col min="25" max="25" width="5.28515625" style="393" customWidth="1"/>
    <col min="26" max="26" width="15.7109375" style="393" customWidth="1"/>
    <col min="27" max="27" width="7.140625" style="393" customWidth="1"/>
    <col min="28" max="29" width="8.85546875" style="393"/>
    <col min="30" max="30" width="15.42578125" style="393" customWidth="1"/>
    <col min="31" max="16384" width="8.85546875" style="393"/>
  </cols>
  <sheetData>
    <row r="1" spans="1:30" ht="15.75" customHeight="1" thickBot="1" x14ac:dyDescent="0.3">
      <c r="B1" s="491" t="s">
        <v>300</v>
      </c>
      <c r="C1" s="492"/>
      <c r="D1" s="492"/>
      <c r="E1" s="492"/>
      <c r="F1" s="493"/>
      <c r="G1" s="310"/>
      <c r="H1" s="491" t="s">
        <v>301</v>
      </c>
      <c r="I1" s="492"/>
      <c r="J1" s="492"/>
      <c r="K1" s="492"/>
      <c r="L1" s="493"/>
      <c r="M1" s="310"/>
      <c r="N1" s="491" t="s">
        <v>302</v>
      </c>
      <c r="O1" s="492"/>
      <c r="P1" s="492"/>
      <c r="Q1" s="492"/>
      <c r="R1" s="493"/>
      <c r="T1" s="494" t="s">
        <v>276</v>
      </c>
      <c r="U1" s="495"/>
      <c r="V1" s="495"/>
      <c r="W1" s="495"/>
      <c r="X1" s="495"/>
      <c r="Y1" s="495"/>
      <c r="Z1" s="495"/>
      <c r="AA1" s="496"/>
    </row>
    <row r="2" spans="1:30" ht="15.75" thickBot="1" x14ac:dyDescent="0.3">
      <c r="B2" s="497"/>
      <c r="C2" s="498"/>
      <c r="D2" s="498"/>
      <c r="E2" s="498"/>
      <c r="F2" s="499"/>
      <c r="G2" s="101"/>
      <c r="H2" s="497"/>
      <c r="I2" s="498"/>
      <c r="J2" s="498"/>
      <c r="K2" s="498"/>
      <c r="L2" s="499"/>
      <c r="M2" s="101"/>
      <c r="N2" s="497"/>
      <c r="O2" s="498"/>
      <c r="P2" s="498"/>
      <c r="Q2" s="498"/>
      <c r="R2" s="499"/>
      <c r="S2" s="394"/>
      <c r="T2" s="500"/>
      <c r="U2" s="501"/>
      <c r="V2" s="501"/>
      <c r="W2" s="501"/>
      <c r="X2" s="501"/>
      <c r="Y2" s="501"/>
      <c r="Z2" s="501"/>
      <c r="AA2" s="502"/>
    </row>
    <row r="3" spans="1:30" ht="15.75" customHeight="1" thickBot="1" x14ac:dyDescent="0.3">
      <c r="B3" s="508" t="s">
        <v>303</v>
      </c>
      <c r="C3" s="509"/>
      <c r="D3" s="509"/>
      <c r="E3" s="509"/>
      <c r="F3" s="510"/>
      <c r="G3" s="310"/>
      <c r="H3" s="491" t="s">
        <v>304</v>
      </c>
      <c r="I3" s="492"/>
      <c r="J3" s="492"/>
      <c r="K3" s="492"/>
      <c r="L3" s="493"/>
      <c r="M3" s="310"/>
      <c r="N3" s="491" t="s">
        <v>305</v>
      </c>
      <c r="O3" s="492"/>
      <c r="P3" s="492"/>
      <c r="Q3" s="492"/>
      <c r="R3" s="493"/>
      <c r="S3" s="394"/>
      <c r="T3" s="511" t="s">
        <v>225</v>
      </c>
      <c r="U3" s="512"/>
      <c r="V3" s="512"/>
      <c r="W3" s="512"/>
      <c r="X3" s="512"/>
      <c r="Y3" s="512"/>
      <c r="Z3" s="512"/>
      <c r="AA3" s="513"/>
    </row>
    <row r="4" spans="1:30" ht="15" customHeight="1" thickBot="1" x14ac:dyDescent="0.3">
      <c r="B4" s="514" t="s">
        <v>306</v>
      </c>
      <c r="C4" s="515"/>
      <c r="D4" s="515"/>
      <c r="E4" s="515"/>
      <c r="F4" s="516"/>
      <c r="G4" s="101"/>
      <c r="H4" s="517" t="s">
        <v>307</v>
      </c>
      <c r="I4" s="518"/>
      <c r="J4" s="518"/>
      <c r="K4" s="518"/>
      <c r="L4" s="519"/>
      <c r="M4" s="101"/>
      <c r="N4" s="517" t="s">
        <v>307</v>
      </c>
      <c r="O4" s="518"/>
      <c r="P4" s="518"/>
      <c r="Q4" s="518"/>
      <c r="R4" s="519"/>
      <c r="S4" s="394"/>
      <c r="T4" s="520" t="s">
        <v>277</v>
      </c>
      <c r="U4" s="522" t="s">
        <v>339</v>
      </c>
      <c r="V4" s="524" t="s">
        <v>417</v>
      </c>
      <c r="W4" s="526" t="s">
        <v>279</v>
      </c>
      <c r="X4" s="526" t="s">
        <v>308</v>
      </c>
      <c r="Y4" s="526"/>
      <c r="Z4" s="526" t="s">
        <v>309</v>
      </c>
      <c r="AA4" s="503" t="s">
        <v>280</v>
      </c>
    </row>
    <row r="5" spans="1:30" x14ac:dyDescent="0.25">
      <c r="A5" s="394"/>
      <c r="B5" s="311" t="s">
        <v>227</v>
      </c>
      <c r="C5" s="312" t="s">
        <v>228</v>
      </c>
      <c r="D5" s="312" t="s">
        <v>229</v>
      </c>
      <c r="E5" s="312" t="s">
        <v>226</v>
      </c>
      <c r="F5" s="313" t="s">
        <v>202</v>
      </c>
      <c r="G5" s="101"/>
      <c r="H5" s="505" t="s">
        <v>341</v>
      </c>
      <c r="I5" s="506"/>
      <c r="J5" s="507"/>
      <c r="K5" s="314">
        <v>0.55000000000000004</v>
      </c>
      <c r="L5" s="306" t="s">
        <v>15</v>
      </c>
      <c r="M5" s="101"/>
      <c r="N5" s="505" t="s">
        <v>341</v>
      </c>
      <c r="O5" s="506"/>
      <c r="P5" s="507"/>
      <c r="Q5" s="314">
        <v>0.55000000000000004</v>
      </c>
      <c r="R5" s="306" t="s">
        <v>15</v>
      </c>
      <c r="S5" s="394"/>
      <c r="T5" s="521"/>
      <c r="U5" s="523"/>
      <c r="V5" s="523"/>
      <c r="W5" s="527"/>
      <c r="X5" s="528"/>
      <c r="Y5" s="528"/>
      <c r="Z5" s="527"/>
      <c r="AA5" s="504"/>
      <c r="AB5" s="394"/>
    </row>
    <row r="6" spans="1:30" x14ac:dyDescent="0.25">
      <c r="A6" s="394"/>
      <c r="B6" s="315" t="s">
        <v>230</v>
      </c>
      <c r="C6" s="316"/>
      <c r="D6" s="317" t="s">
        <v>231</v>
      </c>
      <c r="E6" s="318">
        <v>5693.66</v>
      </c>
      <c r="F6" s="306" t="s">
        <v>232</v>
      </c>
      <c r="G6"/>
      <c r="H6" s="505" t="s">
        <v>340</v>
      </c>
      <c r="I6" s="506"/>
      <c r="J6" s="507"/>
      <c r="K6" s="319">
        <f>E12</f>
        <v>21.876829999999998</v>
      </c>
      <c r="L6" s="306" t="s">
        <v>15</v>
      </c>
      <c r="M6"/>
      <c r="N6" s="505" t="s">
        <v>340</v>
      </c>
      <c r="O6" s="506"/>
      <c r="P6" s="507"/>
      <c r="Q6" s="319">
        <f>E12</f>
        <v>21.876829999999998</v>
      </c>
      <c r="R6" s="306" t="s">
        <v>15</v>
      </c>
      <c r="S6" s="320"/>
      <c r="T6" s="259" t="s">
        <v>281</v>
      </c>
      <c r="U6" s="418" t="s">
        <v>334</v>
      </c>
      <c r="V6" s="419" t="s">
        <v>418</v>
      </c>
      <c r="W6" s="260" t="s">
        <v>333</v>
      </c>
      <c r="X6" s="261">
        <v>2</v>
      </c>
      <c r="Y6" s="262" t="s">
        <v>255</v>
      </c>
      <c r="Z6" s="263">
        <f>K9</f>
        <v>35.22683</v>
      </c>
      <c r="AA6" s="264" t="s">
        <v>15</v>
      </c>
      <c r="AB6" s="394"/>
    </row>
    <row r="7" spans="1:30" ht="25.5" x14ac:dyDescent="0.25">
      <c r="B7" s="315" t="s">
        <v>233</v>
      </c>
      <c r="C7" s="316"/>
      <c r="D7" s="317" t="s">
        <v>234</v>
      </c>
      <c r="E7" s="336">
        <v>3302.01</v>
      </c>
      <c r="F7" s="306" t="s">
        <v>232</v>
      </c>
      <c r="G7"/>
      <c r="H7" s="525" t="s">
        <v>324</v>
      </c>
      <c r="I7" s="506"/>
      <c r="J7" s="507"/>
      <c r="K7" s="318">
        <v>6.3</v>
      </c>
      <c r="L7" s="306" t="s">
        <v>15</v>
      </c>
      <c r="M7"/>
      <c r="N7" s="525" t="s">
        <v>325</v>
      </c>
      <c r="O7" s="506"/>
      <c r="P7" s="507"/>
      <c r="Q7" s="318">
        <v>34.200000000000003</v>
      </c>
      <c r="R7" s="306" t="s">
        <v>15</v>
      </c>
      <c r="T7" s="268" t="s">
        <v>310</v>
      </c>
      <c r="U7" s="418" t="s">
        <v>337</v>
      </c>
      <c r="V7" s="419" t="s">
        <v>419</v>
      </c>
      <c r="W7" s="321" t="s">
        <v>311</v>
      </c>
      <c r="X7" s="261">
        <v>3</v>
      </c>
      <c r="Y7" s="262" t="s">
        <v>255</v>
      </c>
      <c r="Z7" s="263">
        <f>K18</f>
        <v>61.684629999999999</v>
      </c>
      <c r="AA7" s="264" t="s">
        <v>15</v>
      </c>
    </row>
    <row r="8" spans="1:30" ht="24.75" customHeight="1" x14ac:dyDescent="0.25">
      <c r="B8" s="315" t="s">
        <v>235</v>
      </c>
      <c r="C8" s="316"/>
      <c r="D8" s="317" t="s">
        <v>236</v>
      </c>
      <c r="E8" s="318">
        <v>4651.79</v>
      </c>
      <c r="F8" s="306" t="s">
        <v>232</v>
      </c>
      <c r="G8"/>
      <c r="H8" s="525" t="s">
        <v>312</v>
      </c>
      <c r="I8" s="506"/>
      <c r="J8" s="507"/>
      <c r="K8" s="318">
        <v>6.5</v>
      </c>
      <c r="L8" s="306" t="s">
        <v>15</v>
      </c>
      <c r="M8"/>
      <c r="N8" s="525" t="s">
        <v>327</v>
      </c>
      <c r="O8" s="506"/>
      <c r="P8" s="507"/>
      <c r="Q8" s="318">
        <v>34</v>
      </c>
      <c r="R8" s="306" t="s">
        <v>15</v>
      </c>
      <c r="T8" s="268" t="s">
        <v>313</v>
      </c>
      <c r="U8" s="418" t="s">
        <v>338</v>
      </c>
      <c r="V8" s="419" t="s">
        <v>419</v>
      </c>
      <c r="W8" s="321" t="s">
        <v>420</v>
      </c>
      <c r="X8" s="261">
        <v>3</v>
      </c>
      <c r="Y8" s="262" t="s">
        <v>255</v>
      </c>
      <c r="Z8" s="263">
        <f>K27</f>
        <v>82.66198</v>
      </c>
      <c r="AA8" s="264" t="s">
        <v>15</v>
      </c>
    </row>
    <row r="9" spans="1:30" ht="15.75" thickBot="1" x14ac:dyDescent="0.3">
      <c r="B9" s="315" t="s">
        <v>237</v>
      </c>
      <c r="C9" s="316"/>
      <c r="D9" s="317" t="s">
        <v>238</v>
      </c>
      <c r="E9" s="318">
        <v>2850.14</v>
      </c>
      <c r="F9" s="306" t="s">
        <v>232</v>
      </c>
      <c r="G9"/>
      <c r="H9" s="529" t="s">
        <v>314</v>
      </c>
      <c r="I9" s="530"/>
      <c r="J9" s="531"/>
      <c r="K9" s="322">
        <f>SUM(K5:K8)</f>
        <v>35.22683</v>
      </c>
      <c r="L9" s="323" t="s">
        <v>15</v>
      </c>
      <c r="M9"/>
      <c r="N9" s="529" t="s">
        <v>314</v>
      </c>
      <c r="O9" s="530"/>
      <c r="P9" s="531"/>
      <c r="Q9" s="322">
        <f>SUM(Q5:Q8)</f>
        <v>90.626829999999998</v>
      </c>
      <c r="R9" s="323" t="s">
        <v>15</v>
      </c>
      <c r="T9" s="268" t="s">
        <v>315</v>
      </c>
      <c r="U9" s="419" t="s">
        <v>335</v>
      </c>
      <c r="V9" s="419" t="s">
        <v>418</v>
      </c>
      <c r="W9" s="321" t="s">
        <v>298</v>
      </c>
      <c r="X9" s="261">
        <v>2</v>
      </c>
      <c r="Y9" s="262" t="s">
        <v>255</v>
      </c>
      <c r="Z9" s="263">
        <f>K36</f>
        <v>49.383819999999986</v>
      </c>
      <c r="AA9" s="264" t="s">
        <v>15</v>
      </c>
    </row>
    <row r="10" spans="1:30" ht="31.5" customHeight="1" thickBot="1" x14ac:dyDescent="0.3">
      <c r="B10" s="315" t="s">
        <v>239</v>
      </c>
      <c r="C10" s="316"/>
      <c r="D10" s="317" t="s">
        <v>240</v>
      </c>
      <c r="E10" s="318">
        <v>3890.67</v>
      </c>
      <c r="F10" s="306" t="s">
        <v>232</v>
      </c>
      <c r="G10"/>
      <c r="H10" s="497"/>
      <c r="I10" s="498"/>
      <c r="J10" s="498"/>
      <c r="K10" s="498"/>
      <c r="L10" s="499"/>
      <c r="M10"/>
      <c r="N10" s="497"/>
      <c r="O10" s="498"/>
      <c r="P10" s="498"/>
      <c r="Q10" s="498"/>
      <c r="R10" s="499"/>
      <c r="T10" s="268" t="s">
        <v>316</v>
      </c>
      <c r="U10" s="421" t="s">
        <v>336</v>
      </c>
      <c r="V10" s="419" t="s">
        <v>418</v>
      </c>
      <c r="W10" s="321" t="s">
        <v>317</v>
      </c>
      <c r="X10" s="261">
        <v>2</v>
      </c>
      <c r="Y10" s="262" t="s">
        <v>255</v>
      </c>
      <c r="Z10" s="263">
        <f>K45</f>
        <v>71.657109999999989</v>
      </c>
      <c r="AA10" s="264" t="s">
        <v>15</v>
      </c>
    </row>
    <row r="11" spans="1:30" ht="15.75" thickBot="1" x14ac:dyDescent="0.3">
      <c r="B11" s="315" t="s">
        <v>241</v>
      </c>
      <c r="C11" s="316"/>
      <c r="D11" s="317" t="s">
        <v>242</v>
      </c>
      <c r="E11" s="318">
        <v>1488.56</v>
      </c>
      <c r="F11" s="306" t="s">
        <v>232</v>
      </c>
      <c r="G11"/>
      <c r="M11"/>
      <c r="T11" s="532"/>
      <c r="U11" s="533"/>
      <c r="V11" s="533"/>
      <c r="W11" s="533"/>
      <c r="X11" s="533"/>
      <c r="Y11" s="533"/>
      <c r="Z11" s="533"/>
      <c r="AA11" s="534"/>
    </row>
    <row r="12" spans="1:30" ht="15.75" thickBot="1" x14ac:dyDescent="0.3">
      <c r="B12" s="535" t="s">
        <v>245</v>
      </c>
      <c r="C12" s="536"/>
      <c r="D12" s="536"/>
      <c r="E12" s="325">
        <f>SUM(E6:E11)/1000</f>
        <v>21.876829999999998</v>
      </c>
      <c r="F12" s="326" t="s">
        <v>15</v>
      </c>
      <c r="G12"/>
      <c r="H12" s="491" t="s">
        <v>304</v>
      </c>
      <c r="I12" s="492"/>
      <c r="J12" s="492"/>
      <c r="K12" s="492"/>
      <c r="L12" s="493"/>
      <c r="M12"/>
      <c r="N12" s="491" t="s">
        <v>305</v>
      </c>
      <c r="O12" s="492"/>
      <c r="P12" s="492"/>
      <c r="Q12" s="492"/>
      <c r="R12" s="493"/>
      <c r="T12" s="537" t="s">
        <v>322</v>
      </c>
      <c r="U12" s="538"/>
      <c r="V12" s="538"/>
      <c r="W12" s="538"/>
      <c r="X12" s="538"/>
      <c r="Y12" s="539"/>
      <c r="Z12" s="324">
        <f>(Z6*X6)+(X7*Z7)+(X8*Z8)+(X9*Z9)+(X10*Z10)</f>
        <v>745.57534999999984</v>
      </c>
      <c r="AA12" s="265" t="s">
        <v>254</v>
      </c>
      <c r="AD12" s="447"/>
    </row>
    <row r="13" spans="1:30" ht="15.75" thickBot="1" x14ac:dyDescent="0.3">
      <c r="B13" s="101"/>
      <c r="C13" s="101"/>
      <c r="D13" s="328"/>
      <c r="E13" s="320"/>
      <c r="F13"/>
      <c r="G13"/>
      <c r="H13" s="517" t="s">
        <v>321</v>
      </c>
      <c r="I13" s="518"/>
      <c r="J13" s="518"/>
      <c r="K13" s="518"/>
      <c r="L13" s="519"/>
      <c r="M13"/>
      <c r="N13" s="517" t="s">
        <v>321</v>
      </c>
      <c r="O13" s="518"/>
      <c r="P13" s="518"/>
      <c r="Q13" s="518"/>
      <c r="R13" s="519"/>
      <c r="T13" s="544" t="s">
        <v>323</v>
      </c>
      <c r="U13" s="545"/>
      <c r="V13" s="545"/>
      <c r="W13" s="545"/>
      <c r="X13" s="545"/>
      <c r="Y13" s="546"/>
      <c r="Z13" s="266">
        <f>((Z12/7)*30)</f>
        <v>3195.3229285714278</v>
      </c>
      <c r="AA13" s="267" t="s">
        <v>254</v>
      </c>
      <c r="AB13" s="395"/>
      <c r="AD13" s="447"/>
    </row>
    <row r="14" spans="1:30" ht="15.75" thickBot="1" x14ac:dyDescent="0.3">
      <c r="B14" s="508" t="s">
        <v>310</v>
      </c>
      <c r="C14" s="509"/>
      <c r="D14" s="509"/>
      <c r="E14" s="509"/>
      <c r="F14" s="510"/>
      <c r="G14" s="327"/>
      <c r="H14" s="505" t="s">
        <v>341</v>
      </c>
      <c r="I14" s="506"/>
      <c r="J14" s="507"/>
      <c r="K14" s="314">
        <v>0.6</v>
      </c>
      <c r="L14" s="306" t="s">
        <v>15</v>
      </c>
      <c r="M14" s="327"/>
      <c r="N14" s="505" t="s">
        <v>341</v>
      </c>
      <c r="O14" s="506"/>
      <c r="P14" s="507"/>
      <c r="Q14" s="314">
        <v>0.6</v>
      </c>
      <c r="R14" s="306" t="s">
        <v>15</v>
      </c>
      <c r="T14" s="329"/>
      <c r="U14" s="330"/>
      <c r="V14" s="330"/>
      <c r="W14" s="330"/>
      <c r="X14" s="330"/>
      <c r="Y14" s="330"/>
      <c r="Z14" s="330"/>
      <c r="AA14" s="331"/>
    </row>
    <row r="15" spans="1:30" ht="15.75" thickBot="1" x14ac:dyDescent="0.3">
      <c r="B15" s="514" t="s">
        <v>326</v>
      </c>
      <c r="C15" s="515"/>
      <c r="D15" s="515"/>
      <c r="E15" s="515"/>
      <c r="F15" s="516"/>
      <c r="G15"/>
      <c r="H15" s="505" t="s">
        <v>340</v>
      </c>
      <c r="I15" s="506"/>
      <c r="J15" s="507"/>
      <c r="K15" s="319">
        <f>E27</f>
        <v>48.584629999999997</v>
      </c>
      <c r="L15" s="306" t="s">
        <v>15</v>
      </c>
      <c r="M15"/>
      <c r="N15" s="505" t="s">
        <v>340</v>
      </c>
      <c r="O15" s="506"/>
      <c r="P15" s="507"/>
      <c r="Q15" s="319">
        <f>E27</f>
        <v>48.584629999999997</v>
      </c>
      <c r="R15" s="306" t="s">
        <v>15</v>
      </c>
      <c r="T15" s="332"/>
      <c r="U15" s="333"/>
      <c r="V15" s="333"/>
      <c r="W15" s="333"/>
      <c r="X15" s="333"/>
      <c r="Y15" s="333"/>
      <c r="Z15" s="333"/>
      <c r="AA15" s="334"/>
      <c r="AD15" s="447"/>
    </row>
    <row r="16" spans="1:30" ht="15" customHeight="1" thickBot="1" x14ac:dyDescent="0.3">
      <c r="B16" s="311" t="s">
        <v>227</v>
      </c>
      <c r="C16" s="312" t="s">
        <v>228</v>
      </c>
      <c r="D16" s="312" t="s">
        <v>229</v>
      </c>
      <c r="E16" s="312" t="s">
        <v>226</v>
      </c>
      <c r="F16" s="313" t="s">
        <v>202</v>
      </c>
      <c r="G16" s="310"/>
      <c r="H16" s="505" t="s">
        <v>324</v>
      </c>
      <c r="I16" s="506"/>
      <c r="J16" s="507"/>
      <c r="K16" s="318">
        <v>6</v>
      </c>
      <c r="L16" s="306" t="s">
        <v>15</v>
      </c>
      <c r="M16" s="310"/>
      <c r="N16" s="505" t="s">
        <v>325</v>
      </c>
      <c r="O16" s="506"/>
      <c r="P16" s="507"/>
      <c r="Q16" s="318">
        <v>32.4</v>
      </c>
      <c r="R16" s="306" t="s">
        <v>15</v>
      </c>
      <c r="T16" s="540" t="s">
        <v>328</v>
      </c>
      <c r="U16" s="541"/>
      <c r="V16" s="541"/>
      <c r="W16" s="542"/>
      <c r="X16" s="542"/>
      <c r="Y16" s="542"/>
      <c r="Z16" s="542"/>
      <c r="AA16" s="543"/>
    </row>
    <row r="17" spans="2:29" ht="15.75" customHeight="1" x14ac:dyDescent="0.25">
      <c r="B17" s="315" t="s">
        <v>230</v>
      </c>
      <c r="C17" s="341"/>
      <c r="D17" s="317" t="s">
        <v>231</v>
      </c>
      <c r="E17" s="318">
        <v>3893.42</v>
      </c>
      <c r="F17" s="306" t="s">
        <v>232</v>
      </c>
      <c r="G17" s="101"/>
      <c r="H17" s="505" t="s">
        <v>312</v>
      </c>
      <c r="I17" s="506"/>
      <c r="J17" s="507"/>
      <c r="K17" s="318">
        <v>6.5</v>
      </c>
      <c r="L17" s="306" t="s">
        <v>15</v>
      </c>
      <c r="M17" s="101"/>
      <c r="N17" s="505" t="s">
        <v>327</v>
      </c>
      <c r="O17" s="506"/>
      <c r="P17" s="507"/>
      <c r="Q17" s="318">
        <v>34</v>
      </c>
      <c r="R17" s="306" t="s">
        <v>15</v>
      </c>
      <c r="T17" s="549" t="s">
        <v>277</v>
      </c>
      <c r="U17" s="522" t="s">
        <v>278</v>
      </c>
      <c r="V17" s="524" t="s">
        <v>417</v>
      </c>
      <c r="W17" s="547" t="s">
        <v>279</v>
      </c>
      <c r="X17" s="547" t="s">
        <v>308</v>
      </c>
      <c r="Y17" s="547"/>
      <c r="Z17" s="547" t="s">
        <v>309</v>
      </c>
      <c r="AA17" s="548" t="s">
        <v>280</v>
      </c>
    </row>
    <row r="18" spans="2:29" ht="15.75" thickBot="1" x14ac:dyDescent="0.3">
      <c r="B18" s="315" t="s">
        <v>233</v>
      </c>
      <c r="C18" s="341"/>
      <c r="D18" s="317" t="s">
        <v>234</v>
      </c>
      <c r="E18" s="318">
        <v>2447.34</v>
      </c>
      <c r="F18" s="306" t="s">
        <v>232</v>
      </c>
      <c r="G18" s="101"/>
      <c r="H18" s="529" t="s">
        <v>314</v>
      </c>
      <c r="I18" s="530"/>
      <c r="J18" s="531"/>
      <c r="K18" s="322">
        <f>SUM(K14:K17)</f>
        <v>61.684629999999999</v>
      </c>
      <c r="L18" s="323" t="s">
        <v>15</v>
      </c>
      <c r="M18" s="101"/>
      <c r="N18" s="529" t="s">
        <v>314</v>
      </c>
      <c r="O18" s="530"/>
      <c r="P18" s="531"/>
      <c r="Q18" s="322">
        <f>SUM(Q14:Q17)</f>
        <v>115.58463</v>
      </c>
      <c r="R18" s="323" t="s">
        <v>15</v>
      </c>
      <c r="T18" s="521"/>
      <c r="U18" s="523"/>
      <c r="V18" s="523"/>
      <c r="W18" s="527"/>
      <c r="X18" s="528"/>
      <c r="Y18" s="528"/>
      <c r="Z18" s="527"/>
      <c r="AA18" s="504"/>
    </row>
    <row r="19" spans="2:29" ht="26.25" thickBot="1" x14ac:dyDescent="0.3">
      <c r="B19" s="315" t="s">
        <v>235</v>
      </c>
      <c r="C19" s="341"/>
      <c r="D19" s="317" t="s">
        <v>236</v>
      </c>
      <c r="E19" s="318">
        <v>3821.29</v>
      </c>
      <c r="F19" s="306" t="s">
        <v>232</v>
      </c>
      <c r="G19"/>
      <c r="H19" s="497"/>
      <c r="I19" s="498"/>
      <c r="J19" s="498"/>
      <c r="K19" s="498"/>
      <c r="L19" s="499"/>
      <c r="M19"/>
      <c r="N19" s="497"/>
      <c r="O19" s="498"/>
      <c r="P19" s="498"/>
      <c r="Q19" s="498"/>
      <c r="R19" s="499"/>
      <c r="T19" s="259" t="s">
        <v>281</v>
      </c>
      <c r="U19" s="418" t="s">
        <v>334</v>
      </c>
      <c r="V19" s="419" t="s">
        <v>421</v>
      </c>
      <c r="W19" s="422" t="s">
        <v>347</v>
      </c>
      <c r="X19" s="261">
        <v>4</v>
      </c>
      <c r="Y19" s="262" t="s">
        <v>255</v>
      </c>
      <c r="Z19" s="263">
        <f>Q9</f>
        <v>90.626829999999998</v>
      </c>
      <c r="AA19" s="264" t="s">
        <v>15</v>
      </c>
      <c r="AC19" s="396"/>
    </row>
    <row r="20" spans="2:29" ht="15.75" thickBot="1" x14ac:dyDescent="0.3">
      <c r="B20" s="315" t="s">
        <v>237</v>
      </c>
      <c r="C20" s="341"/>
      <c r="D20" s="317" t="s">
        <v>238</v>
      </c>
      <c r="E20" s="318">
        <v>6133.34</v>
      </c>
      <c r="F20" s="306" t="s">
        <v>232</v>
      </c>
      <c r="G20"/>
      <c r="M20"/>
      <c r="T20" s="268" t="s">
        <v>310</v>
      </c>
      <c r="U20" s="418" t="s">
        <v>337</v>
      </c>
      <c r="V20" s="419" t="s">
        <v>422</v>
      </c>
      <c r="W20" s="260" t="s">
        <v>317</v>
      </c>
      <c r="X20" s="261">
        <v>2</v>
      </c>
      <c r="Y20" s="262" t="s">
        <v>255</v>
      </c>
      <c r="Z20" s="263">
        <f>Q18</f>
        <v>115.58463</v>
      </c>
      <c r="AA20" s="264" t="s">
        <v>15</v>
      </c>
    </row>
    <row r="21" spans="2:29" ht="15.75" thickBot="1" x14ac:dyDescent="0.3">
      <c r="B21" s="315" t="s">
        <v>239</v>
      </c>
      <c r="C21" s="341"/>
      <c r="D21" s="317" t="s">
        <v>240</v>
      </c>
      <c r="E21" s="318">
        <v>5831.89</v>
      </c>
      <c r="F21" s="306" t="s">
        <v>232</v>
      </c>
      <c r="G21"/>
      <c r="H21" s="491" t="s">
        <v>304</v>
      </c>
      <c r="I21" s="492"/>
      <c r="J21" s="492"/>
      <c r="K21" s="492"/>
      <c r="L21" s="493"/>
      <c r="M21"/>
      <c r="N21" s="491" t="s">
        <v>305</v>
      </c>
      <c r="O21" s="492"/>
      <c r="P21" s="492"/>
      <c r="Q21" s="492"/>
      <c r="R21" s="493"/>
      <c r="T21" s="268" t="s">
        <v>313</v>
      </c>
      <c r="U21" s="418" t="s">
        <v>338</v>
      </c>
      <c r="V21" s="419" t="s">
        <v>422</v>
      </c>
      <c r="W21" s="260" t="s">
        <v>298</v>
      </c>
      <c r="X21" s="261">
        <v>2</v>
      </c>
      <c r="Y21" s="262" t="s">
        <v>255</v>
      </c>
      <c r="Z21" s="263">
        <f>Q27</f>
        <v>136.56198000000001</v>
      </c>
      <c r="AA21" s="264" t="s">
        <v>15</v>
      </c>
    </row>
    <row r="22" spans="2:29" ht="26.25" x14ac:dyDescent="0.25">
      <c r="B22" s="315" t="s">
        <v>241</v>
      </c>
      <c r="C22" s="341"/>
      <c r="D22" s="317" t="s">
        <v>242</v>
      </c>
      <c r="E22" s="318">
        <v>5534.63</v>
      </c>
      <c r="F22" s="306" t="s">
        <v>232</v>
      </c>
      <c r="G22"/>
      <c r="H22" s="517" t="s">
        <v>329</v>
      </c>
      <c r="I22" s="518"/>
      <c r="J22" s="518"/>
      <c r="K22" s="518"/>
      <c r="L22" s="519"/>
      <c r="M22"/>
      <c r="N22" s="517" t="s">
        <v>329</v>
      </c>
      <c r="O22" s="518"/>
      <c r="P22" s="518"/>
      <c r="Q22" s="518"/>
      <c r="R22" s="519"/>
      <c r="T22" s="268" t="s">
        <v>316</v>
      </c>
      <c r="U22" s="420" t="s">
        <v>336</v>
      </c>
      <c r="V22" s="419" t="s">
        <v>421</v>
      </c>
      <c r="W22" s="269" t="s">
        <v>346</v>
      </c>
      <c r="X22" s="261">
        <v>1</v>
      </c>
      <c r="Y22" s="262" t="s">
        <v>255</v>
      </c>
      <c r="Z22" s="263">
        <f>Q36</f>
        <v>125.75710999999998</v>
      </c>
      <c r="AA22" s="264" t="s">
        <v>15</v>
      </c>
    </row>
    <row r="23" spans="2:29" ht="26.25" x14ac:dyDescent="0.25">
      <c r="B23" s="315" t="s">
        <v>243</v>
      </c>
      <c r="C23" s="341"/>
      <c r="D23" s="317" t="s">
        <v>244</v>
      </c>
      <c r="E23" s="318">
        <v>7414.72</v>
      </c>
      <c r="F23" s="306" t="s">
        <v>232</v>
      </c>
      <c r="G23"/>
      <c r="H23" s="505" t="s">
        <v>341</v>
      </c>
      <c r="I23" s="506"/>
      <c r="J23" s="507"/>
      <c r="K23" s="314">
        <v>1.2</v>
      </c>
      <c r="L23" s="306" t="s">
        <v>15</v>
      </c>
      <c r="M23"/>
      <c r="N23" s="505" t="s">
        <v>341</v>
      </c>
      <c r="O23" s="506"/>
      <c r="P23" s="507"/>
      <c r="Q23" s="314">
        <v>1.2</v>
      </c>
      <c r="R23" s="306" t="s">
        <v>15</v>
      </c>
      <c r="T23" s="268" t="s">
        <v>318</v>
      </c>
      <c r="U23" s="421" t="s">
        <v>344</v>
      </c>
      <c r="V23" s="419" t="s">
        <v>421</v>
      </c>
      <c r="W23" s="269" t="s">
        <v>345</v>
      </c>
      <c r="X23" s="261">
        <v>1</v>
      </c>
      <c r="Y23" s="262" t="s">
        <v>255</v>
      </c>
      <c r="Z23" s="263">
        <f>Q45</f>
        <v>98.065409999999986</v>
      </c>
      <c r="AA23" s="264" t="s">
        <v>15</v>
      </c>
    </row>
    <row r="24" spans="2:29" x14ac:dyDescent="0.25">
      <c r="B24" s="315" t="s">
        <v>319</v>
      </c>
      <c r="C24" s="341"/>
      <c r="D24" s="317" t="s">
        <v>320</v>
      </c>
      <c r="E24" s="318">
        <v>3493.63</v>
      </c>
      <c r="F24" s="306" t="s">
        <v>232</v>
      </c>
      <c r="G24"/>
      <c r="H24" s="505" t="s">
        <v>340</v>
      </c>
      <c r="I24" s="506"/>
      <c r="J24" s="507"/>
      <c r="K24" s="319">
        <f>E42</f>
        <v>65.261979999999994</v>
      </c>
      <c r="L24" s="306" t="s">
        <v>15</v>
      </c>
      <c r="M24"/>
      <c r="N24" s="505" t="s">
        <v>340</v>
      </c>
      <c r="O24" s="506"/>
      <c r="P24" s="507"/>
      <c r="Q24" s="319">
        <f>E42</f>
        <v>65.261979999999994</v>
      </c>
      <c r="R24" s="306" t="s">
        <v>15</v>
      </c>
      <c r="T24" s="550" t="s">
        <v>364</v>
      </c>
      <c r="U24" s="551"/>
      <c r="V24" s="551"/>
      <c r="W24" s="551"/>
      <c r="X24" s="551"/>
      <c r="Y24" s="551"/>
      <c r="Z24" s="551"/>
      <c r="AA24" s="552"/>
    </row>
    <row r="25" spans="2:29" ht="26.25" x14ac:dyDescent="0.25">
      <c r="B25" s="339" t="s">
        <v>355</v>
      </c>
      <c r="C25" s="341"/>
      <c r="D25" s="338" t="s">
        <v>359</v>
      </c>
      <c r="E25" s="318">
        <v>3990.75</v>
      </c>
      <c r="F25" s="306" t="s">
        <v>232</v>
      </c>
      <c r="G25"/>
      <c r="H25" s="505" t="s">
        <v>324</v>
      </c>
      <c r="I25" s="506"/>
      <c r="J25" s="507"/>
      <c r="K25" s="318">
        <v>9.6999999999999993</v>
      </c>
      <c r="L25" s="306" t="s">
        <v>15</v>
      </c>
      <c r="M25"/>
      <c r="N25" s="525" t="s">
        <v>325</v>
      </c>
      <c r="O25" s="506"/>
      <c r="P25" s="507"/>
      <c r="Q25" s="318">
        <v>36.1</v>
      </c>
      <c r="R25" s="306" t="s">
        <v>15</v>
      </c>
      <c r="T25" s="268" t="s">
        <v>332</v>
      </c>
      <c r="U25" s="421" t="s">
        <v>365</v>
      </c>
      <c r="V25" s="419" t="s">
        <v>422</v>
      </c>
      <c r="W25" s="269" t="s">
        <v>348</v>
      </c>
      <c r="X25" s="335">
        <v>0.23300000000000001</v>
      </c>
      <c r="Y25" s="262" t="s">
        <v>255</v>
      </c>
      <c r="Z25" s="263">
        <f>Q54</f>
        <v>124.31553</v>
      </c>
      <c r="AA25" s="264" t="s">
        <v>15</v>
      </c>
    </row>
    <row r="26" spans="2:29" ht="27" thickBot="1" x14ac:dyDescent="0.3">
      <c r="B26" s="339" t="s">
        <v>356</v>
      </c>
      <c r="C26" s="341"/>
      <c r="D26" s="338" t="s">
        <v>360</v>
      </c>
      <c r="E26" s="318">
        <v>6023.62</v>
      </c>
      <c r="F26" s="306" t="s">
        <v>232</v>
      </c>
      <c r="G26"/>
      <c r="H26" s="505" t="s">
        <v>312</v>
      </c>
      <c r="I26" s="506"/>
      <c r="J26" s="507"/>
      <c r="K26" s="318">
        <v>6.5</v>
      </c>
      <c r="L26" s="306" t="s">
        <v>15</v>
      </c>
      <c r="M26" s="438"/>
      <c r="N26" s="505" t="s">
        <v>327</v>
      </c>
      <c r="O26" s="506"/>
      <c r="P26" s="507"/>
      <c r="Q26" s="318">
        <v>34</v>
      </c>
      <c r="R26" s="306" t="s">
        <v>15</v>
      </c>
      <c r="T26" s="268" t="s">
        <v>349</v>
      </c>
      <c r="U26" s="421" t="s">
        <v>366</v>
      </c>
      <c r="V26" s="419" t="s">
        <v>422</v>
      </c>
      <c r="W26" s="269" t="s">
        <v>352</v>
      </c>
      <c r="X26" s="335">
        <v>0.23300000000000001</v>
      </c>
      <c r="Y26" s="262" t="s">
        <v>255</v>
      </c>
      <c r="Z26" s="263">
        <f>Q63</f>
        <v>127.05081</v>
      </c>
      <c r="AA26" s="264" t="s">
        <v>15</v>
      </c>
    </row>
    <row r="27" spans="2:29" ht="27" thickBot="1" x14ac:dyDescent="0.3">
      <c r="B27" s="535" t="s">
        <v>245</v>
      </c>
      <c r="C27" s="536"/>
      <c r="D27" s="536"/>
      <c r="E27" s="325">
        <f>SUM(E17:E26)/1000</f>
        <v>48.584629999999997</v>
      </c>
      <c r="F27" s="326" t="s">
        <v>15</v>
      </c>
      <c r="G27" s="327"/>
      <c r="H27" s="529" t="s">
        <v>314</v>
      </c>
      <c r="I27" s="530"/>
      <c r="J27" s="531"/>
      <c r="K27" s="322">
        <f>SUM(K23:K26)</f>
        <v>82.66198</v>
      </c>
      <c r="L27" s="323" t="s">
        <v>15</v>
      </c>
      <c r="M27" s="327"/>
      <c r="N27" s="529" t="s">
        <v>314</v>
      </c>
      <c r="O27" s="530"/>
      <c r="P27" s="531"/>
      <c r="Q27" s="322">
        <f>SUM(Q23:Q26)</f>
        <v>136.56198000000001</v>
      </c>
      <c r="R27" s="323" t="s">
        <v>15</v>
      </c>
      <c r="T27" s="268" t="s">
        <v>350</v>
      </c>
      <c r="U27" s="421" t="s">
        <v>367</v>
      </c>
      <c r="V27" s="419" t="s">
        <v>422</v>
      </c>
      <c r="W27" s="269" t="s">
        <v>353</v>
      </c>
      <c r="X27" s="335">
        <v>0.23300000000000001</v>
      </c>
      <c r="Y27" s="262" t="s">
        <v>255</v>
      </c>
      <c r="Z27" s="263">
        <f>Q72</f>
        <v>93.845860000000002</v>
      </c>
      <c r="AA27" s="264" t="s">
        <v>15</v>
      </c>
    </row>
    <row r="28" spans="2:29" ht="27" thickBot="1" x14ac:dyDescent="0.3">
      <c r="H28" s="497"/>
      <c r="I28" s="498"/>
      <c r="J28" s="498"/>
      <c r="K28" s="498"/>
      <c r="L28" s="499"/>
      <c r="N28" s="497"/>
      <c r="O28" s="498"/>
      <c r="P28" s="498"/>
      <c r="Q28" s="498"/>
      <c r="R28" s="499"/>
      <c r="T28" s="268" t="s">
        <v>351</v>
      </c>
      <c r="U28" s="421" t="s">
        <v>368</v>
      </c>
      <c r="V28" s="419" t="s">
        <v>422</v>
      </c>
      <c r="W28" s="269" t="s">
        <v>354</v>
      </c>
      <c r="X28" s="335">
        <v>0.23300000000000001</v>
      </c>
      <c r="Y28" s="262" t="s">
        <v>255</v>
      </c>
      <c r="Z28" s="263">
        <f>Q81</f>
        <v>91.238429999999994</v>
      </c>
      <c r="AA28" s="264" t="s">
        <v>15</v>
      </c>
    </row>
    <row r="29" spans="2:29" ht="15.75" thickBot="1" x14ac:dyDescent="0.3">
      <c r="B29" s="508" t="s">
        <v>313</v>
      </c>
      <c r="C29" s="509"/>
      <c r="D29" s="509"/>
      <c r="E29" s="509"/>
      <c r="F29" s="510"/>
      <c r="T29" s="553"/>
      <c r="U29" s="554"/>
      <c r="V29" s="554"/>
      <c r="W29" s="554"/>
      <c r="X29" s="555"/>
      <c r="Y29" s="555"/>
      <c r="Z29" s="554"/>
      <c r="AA29" s="556"/>
    </row>
    <row r="30" spans="2:29" ht="15.75" thickBot="1" x14ac:dyDescent="0.3">
      <c r="B30" s="514" t="s">
        <v>330</v>
      </c>
      <c r="C30" s="515"/>
      <c r="D30" s="515"/>
      <c r="E30" s="515"/>
      <c r="F30" s="516"/>
      <c r="G30" s="310"/>
      <c r="H30" s="491" t="s">
        <v>304</v>
      </c>
      <c r="I30" s="492"/>
      <c r="J30" s="492"/>
      <c r="K30" s="492"/>
      <c r="L30" s="493"/>
      <c r="M30" s="310"/>
      <c r="N30" s="491" t="s">
        <v>305</v>
      </c>
      <c r="O30" s="492"/>
      <c r="P30" s="492"/>
      <c r="Q30" s="492"/>
      <c r="R30" s="493"/>
      <c r="T30" s="557" t="s">
        <v>322</v>
      </c>
      <c r="U30" s="539"/>
      <c r="V30" s="539"/>
      <c r="W30" s="558"/>
      <c r="X30" s="558"/>
      <c r="Y30" s="558"/>
      <c r="Z30" s="324">
        <f>(X19*Z19)+(X20*Z20)+(X21*Z21)+(X22*Z22)+(X23*Z23)+(X25*Z25)+(X26*Z26)+(X27*Z27)+(X28*Z28)</f>
        <v>1192.3160567900002</v>
      </c>
      <c r="AA30" s="265" t="s">
        <v>254</v>
      </c>
    </row>
    <row r="31" spans="2:29" ht="15.75" thickBot="1" x14ac:dyDescent="0.3">
      <c r="B31" s="311" t="s">
        <v>227</v>
      </c>
      <c r="C31" s="312" t="s">
        <v>228</v>
      </c>
      <c r="D31" s="312" t="s">
        <v>229</v>
      </c>
      <c r="E31" s="312" t="s">
        <v>226</v>
      </c>
      <c r="F31" s="313" t="s">
        <v>202</v>
      </c>
      <c r="G31" s="101"/>
      <c r="H31" s="517" t="s">
        <v>331</v>
      </c>
      <c r="I31" s="518"/>
      <c r="J31" s="518"/>
      <c r="K31" s="518"/>
      <c r="L31" s="519"/>
      <c r="M31" s="101"/>
      <c r="N31" s="517" t="s">
        <v>342</v>
      </c>
      <c r="O31" s="518"/>
      <c r="P31" s="518"/>
      <c r="Q31" s="518"/>
      <c r="R31" s="519"/>
      <c r="T31" s="559" t="s">
        <v>323</v>
      </c>
      <c r="U31" s="560"/>
      <c r="V31" s="560"/>
      <c r="W31" s="561"/>
      <c r="X31" s="561"/>
      <c r="Y31" s="561"/>
      <c r="Z31" s="270">
        <f>((Z30/7)*30)</f>
        <v>5109.9259576714294</v>
      </c>
      <c r="AA31" s="271" t="s">
        <v>254</v>
      </c>
    </row>
    <row r="32" spans="2:29" x14ac:dyDescent="0.25">
      <c r="B32" s="315" t="s">
        <v>230</v>
      </c>
      <c r="C32" s="341"/>
      <c r="D32" s="317" t="s">
        <v>231</v>
      </c>
      <c r="E32" s="318">
        <v>8538.44</v>
      </c>
      <c r="F32" s="306" t="s">
        <v>232</v>
      </c>
      <c r="G32" s="310"/>
      <c r="H32" s="505" t="s">
        <v>341</v>
      </c>
      <c r="I32" s="506"/>
      <c r="J32" s="507"/>
      <c r="K32" s="314">
        <v>0.55000000000000004</v>
      </c>
      <c r="L32" s="306" t="s">
        <v>15</v>
      </c>
      <c r="M32" s="310"/>
      <c r="N32" s="505" t="s">
        <v>341</v>
      </c>
      <c r="O32" s="506"/>
      <c r="P32" s="507"/>
      <c r="Q32" s="314">
        <v>0.55000000000000004</v>
      </c>
      <c r="R32" s="306" t="s">
        <v>15</v>
      </c>
    </row>
    <row r="33" spans="2:18" x14ac:dyDescent="0.25">
      <c r="B33" s="315" t="s">
        <v>233</v>
      </c>
      <c r="C33" s="341"/>
      <c r="D33" s="317" t="s">
        <v>234</v>
      </c>
      <c r="E33" s="318">
        <v>7167.11</v>
      </c>
      <c r="F33" s="306" t="s">
        <v>232</v>
      </c>
      <c r="G33" s="310"/>
      <c r="H33" s="505" t="s">
        <v>340</v>
      </c>
      <c r="I33" s="506"/>
      <c r="J33" s="507"/>
      <c r="K33" s="319">
        <f>E56</f>
        <v>37.93381999999999</v>
      </c>
      <c r="L33" s="306" t="s">
        <v>15</v>
      </c>
      <c r="M33" s="310"/>
      <c r="N33" s="505" t="s">
        <v>340</v>
      </c>
      <c r="O33" s="506"/>
      <c r="P33" s="507"/>
      <c r="Q33" s="319">
        <f>E73</f>
        <v>45.807109999999994</v>
      </c>
      <c r="R33" s="306" t="s">
        <v>15</v>
      </c>
    </row>
    <row r="34" spans="2:18" x14ac:dyDescent="0.25">
      <c r="B34" s="315" t="s">
        <v>235</v>
      </c>
      <c r="C34" s="341"/>
      <c r="D34" s="317" t="s">
        <v>236</v>
      </c>
      <c r="E34" s="318">
        <v>4797.45</v>
      </c>
      <c r="F34" s="306" t="s">
        <v>232</v>
      </c>
      <c r="G34"/>
      <c r="H34" s="505" t="s">
        <v>324</v>
      </c>
      <c r="I34" s="506"/>
      <c r="J34" s="507"/>
      <c r="K34" s="318">
        <v>4.4000000000000004</v>
      </c>
      <c r="L34" s="306" t="s">
        <v>15</v>
      </c>
      <c r="M34"/>
      <c r="N34" s="525" t="s">
        <v>325</v>
      </c>
      <c r="O34" s="506"/>
      <c r="P34" s="507"/>
      <c r="Q34" s="318">
        <v>45.4</v>
      </c>
      <c r="R34" s="306" t="s">
        <v>15</v>
      </c>
    </row>
    <row r="35" spans="2:18" x14ac:dyDescent="0.25">
      <c r="B35" s="315" t="s">
        <v>237</v>
      </c>
      <c r="C35" s="341"/>
      <c r="D35" s="317" t="s">
        <v>238</v>
      </c>
      <c r="E35" s="318">
        <v>5412.69</v>
      </c>
      <c r="F35" s="306" t="s">
        <v>232</v>
      </c>
      <c r="G35"/>
      <c r="H35" s="505" t="s">
        <v>312</v>
      </c>
      <c r="I35" s="506"/>
      <c r="J35" s="507"/>
      <c r="K35" s="318">
        <v>6.5</v>
      </c>
      <c r="L35" s="306" t="s">
        <v>15</v>
      </c>
      <c r="M35"/>
      <c r="N35" s="505" t="s">
        <v>327</v>
      </c>
      <c r="O35" s="506"/>
      <c r="P35" s="507"/>
      <c r="Q35" s="318">
        <v>34</v>
      </c>
      <c r="R35" s="306" t="s">
        <v>15</v>
      </c>
    </row>
    <row r="36" spans="2:18" ht="15.75" thickBot="1" x14ac:dyDescent="0.3">
      <c r="B36" s="315" t="s">
        <v>239</v>
      </c>
      <c r="C36" s="341"/>
      <c r="D36" s="317" t="s">
        <v>240</v>
      </c>
      <c r="E36" s="318">
        <v>7133.4</v>
      </c>
      <c r="F36" s="306" t="s">
        <v>232</v>
      </c>
      <c r="G36"/>
      <c r="H36" s="529" t="s">
        <v>314</v>
      </c>
      <c r="I36" s="530"/>
      <c r="J36" s="531"/>
      <c r="K36" s="322">
        <f>SUM(K32:K35)</f>
        <v>49.383819999999986</v>
      </c>
      <c r="L36" s="323" t="s">
        <v>15</v>
      </c>
      <c r="M36"/>
      <c r="N36" s="529" t="s">
        <v>314</v>
      </c>
      <c r="O36" s="530"/>
      <c r="P36" s="531"/>
      <c r="Q36" s="322">
        <f>SUM(Q32:Q35)</f>
        <v>125.75710999999998</v>
      </c>
      <c r="R36" s="323" t="s">
        <v>15</v>
      </c>
    </row>
    <row r="37" spans="2:18" ht="15.75" thickBot="1" x14ac:dyDescent="0.3">
      <c r="B37" s="315" t="s">
        <v>241</v>
      </c>
      <c r="C37" s="341"/>
      <c r="D37" s="317" t="s">
        <v>242</v>
      </c>
      <c r="E37" s="318">
        <v>7445.24</v>
      </c>
      <c r="F37" s="306" t="s">
        <v>232</v>
      </c>
      <c r="G37"/>
      <c r="H37" s="497"/>
      <c r="I37" s="498"/>
      <c r="J37" s="498"/>
      <c r="K37" s="498"/>
      <c r="L37" s="499"/>
      <c r="M37"/>
      <c r="N37" s="497"/>
      <c r="O37" s="498"/>
      <c r="P37" s="498"/>
      <c r="Q37" s="498"/>
      <c r="R37" s="499"/>
    </row>
    <row r="38" spans="2:18" ht="15.75" thickBot="1" x14ac:dyDescent="0.3">
      <c r="B38" s="315" t="s">
        <v>243</v>
      </c>
      <c r="C38" s="341"/>
      <c r="D38" s="317" t="s">
        <v>244</v>
      </c>
      <c r="E38" s="318">
        <v>9627.64</v>
      </c>
      <c r="F38" s="306" t="s">
        <v>232</v>
      </c>
      <c r="G38" s="327"/>
      <c r="M38" s="327"/>
      <c r="N38" s="327"/>
      <c r="O38" s="327"/>
      <c r="P38" s="327"/>
      <c r="Q38" s="327"/>
      <c r="R38" s="327"/>
    </row>
    <row r="39" spans="2:18" ht="15.75" thickBot="1" x14ac:dyDescent="0.3">
      <c r="B39" s="315" t="s">
        <v>319</v>
      </c>
      <c r="C39" s="341"/>
      <c r="D39" s="317" t="s">
        <v>320</v>
      </c>
      <c r="E39" s="318">
        <v>4130.66</v>
      </c>
      <c r="F39" s="306" t="s">
        <v>232</v>
      </c>
      <c r="G39" s="101"/>
      <c r="H39" s="491" t="s">
        <v>304</v>
      </c>
      <c r="I39" s="492"/>
      <c r="J39" s="492"/>
      <c r="K39" s="492"/>
      <c r="L39" s="493"/>
      <c r="M39" s="101"/>
      <c r="N39" s="491" t="s">
        <v>305</v>
      </c>
      <c r="O39" s="492"/>
      <c r="P39" s="492"/>
      <c r="Q39" s="492"/>
      <c r="R39" s="493"/>
    </row>
    <row r="40" spans="2:18" x14ac:dyDescent="0.25">
      <c r="B40" s="339" t="s">
        <v>355</v>
      </c>
      <c r="C40" s="341"/>
      <c r="D40" s="338" t="s">
        <v>359</v>
      </c>
      <c r="E40" s="318">
        <v>2783.87</v>
      </c>
      <c r="F40" s="306" t="s">
        <v>232</v>
      </c>
      <c r="H40" s="517" t="s">
        <v>342</v>
      </c>
      <c r="I40" s="518"/>
      <c r="J40" s="518"/>
      <c r="K40" s="518"/>
      <c r="L40" s="519"/>
      <c r="N40" s="517" t="s">
        <v>343</v>
      </c>
      <c r="O40" s="518"/>
      <c r="P40" s="518"/>
      <c r="Q40" s="518"/>
      <c r="R40" s="519"/>
    </row>
    <row r="41" spans="2:18" ht="15.75" thickBot="1" x14ac:dyDescent="0.3">
      <c r="B41" s="339" t="s">
        <v>356</v>
      </c>
      <c r="C41" s="341"/>
      <c r="D41" s="338" t="s">
        <v>360</v>
      </c>
      <c r="E41" s="318">
        <v>8225.48</v>
      </c>
      <c r="F41" s="306" t="s">
        <v>232</v>
      </c>
      <c r="G41" s="310"/>
      <c r="H41" s="505" t="s">
        <v>341</v>
      </c>
      <c r="I41" s="506"/>
      <c r="J41" s="507"/>
      <c r="K41" s="314">
        <v>0.55000000000000004</v>
      </c>
      <c r="L41" s="306" t="s">
        <v>15</v>
      </c>
      <c r="M41" s="310"/>
      <c r="N41" s="505" t="s">
        <v>341</v>
      </c>
      <c r="O41" s="506"/>
      <c r="P41" s="507"/>
      <c r="Q41" s="314">
        <v>0.55000000000000004</v>
      </c>
      <c r="R41" s="306" t="s">
        <v>15</v>
      </c>
    </row>
    <row r="42" spans="2:18" ht="15.75" thickBot="1" x14ac:dyDescent="0.3">
      <c r="B42" s="535" t="s">
        <v>245</v>
      </c>
      <c r="C42" s="536"/>
      <c r="D42" s="536"/>
      <c r="E42" s="325">
        <f>SUM(E32:E41)/1000</f>
        <v>65.261979999999994</v>
      </c>
      <c r="F42" s="326" t="s">
        <v>15</v>
      </c>
      <c r="G42" s="310"/>
      <c r="H42" s="505" t="s">
        <v>340</v>
      </c>
      <c r="I42" s="506"/>
      <c r="J42" s="507"/>
      <c r="K42" s="319">
        <f>E73</f>
        <v>45.807109999999994</v>
      </c>
      <c r="L42" s="306" t="s">
        <v>15</v>
      </c>
      <c r="M42" s="310"/>
      <c r="N42" s="505" t="s">
        <v>340</v>
      </c>
      <c r="O42" s="506"/>
      <c r="P42" s="507"/>
      <c r="Q42" s="319">
        <f>E90</f>
        <v>45.215409999999991</v>
      </c>
      <c r="R42" s="306" t="s">
        <v>15</v>
      </c>
    </row>
    <row r="43" spans="2:18" ht="15.75" thickBot="1" x14ac:dyDescent="0.3">
      <c r="H43" s="505" t="s">
        <v>324</v>
      </c>
      <c r="I43" s="506"/>
      <c r="J43" s="507"/>
      <c r="K43" s="318">
        <v>18.8</v>
      </c>
      <c r="L43" s="306" t="s">
        <v>15</v>
      </c>
      <c r="N43" s="525" t="s">
        <v>325</v>
      </c>
      <c r="O43" s="506"/>
      <c r="P43" s="507"/>
      <c r="Q43" s="318">
        <v>18.3</v>
      </c>
      <c r="R43" s="306" t="s">
        <v>15</v>
      </c>
    </row>
    <row r="44" spans="2:18" ht="15.75" thickBot="1" x14ac:dyDescent="0.3">
      <c r="B44" s="508" t="s">
        <v>315</v>
      </c>
      <c r="C44" s="509"/>
      <c r="D44" s="509"/>
      <c r="E44" s="509"/>
      <c r="F44" s="510"/>
      <c r="H44" s="505" t="s">
        <v>312</v>
      </c>
      <c r="I44" s="506"/>
      <c r="J44" s="507"/>
      <c r="K44" s="318">
        <v>6.5</v>
      </c>
      <c r="L44" s="306" t="s">
        <v>15</v>
      </c>
      <c r="N44" s="505" t="s">
        <v>327</v>
      </c>
      <c r="O44" s="506"/>
      <c r="P44" s="507"/>
      <c r="Q44" s="318">
        <v>34</v>
      </c>
      <c r="R44" s="306" t="s">
        <v>15</v>
      </c>
    </row>
    <row r="45" spans="2:18" ht="15.75" thickBot="1" x14ac:dyDescent="0.3">
      <c r="B45" s="562" t="s">
        <v>369</v>
      </c>
      <c r="C45" s="515"/>
      <c r="D45" s="515"/>
      <c r="E45" s="515"/>
      <c r="F45" s="516"/>
      <c r="H45" s="529" t="s">
        <v>314</v>
      </c>
      <c r="I45" s="530"/>
      <c r="J45" s="531"/>
      <c r="K45" s="322">
        <f>SUM(K41:K44)</f>
        <v>71.657109999999989</v>
      </c>
      <c r="L45" s="323" t="s">
        <v>15</v>
      </c>
      <c r="N45" s="529" t="s">
        <v>314</v>
      </c>
      <c r="O45" s="530"/>
      <c r="P45" s="531"/>
      <c r="Q45" s="322">
        <f>SUM(Q41:Q44)</f>
        <v>98.065409999999986</v>
      </c>
      <c r="R45" s="323" t="s">
        <v>15</v>
      </c>
    </row>
    <row r="46" spans="2:18" ht="15.75" thickBot="1" x14ac:dyDescent="0.3">
      <c r="B46" s="311" t="s">
        <v>227</v>
      </c>
      <c r="C46" s="312" t="s">
        <v>228</v>
      </c>
      <c r="D46" s="312" t="s">
        <v>229</v>
      </c>
      <c r="E46" s="312" t="s">
        <v>226</v>
      </c>
      <c r="F46" s="313" t="s">
        <v>202</v>
      </c>
      <c r="H46" s="497"/>
      <c r="I46" s="498"/>
      <c r="J46" s="498"/>
      <c r="K46" s="498"/>
      <c r="L46" s="499"/>
      <c r="N46" s="497"/>
      <c r="O46" s="498"/>
      <c r="P46" s="498"/>
      <c r="Q46" s="498"/>
      <c r="R46" s="499"/>
    </row>
    <row r="47" spans="2:18" ht="15.75" thickBot="1" x14ac:dyDescent="0.3">
      <c r="B47" s="315" t="s">
        <v>230</v>
      </c>
      <c r="C47" s="341"/>
      <c r="D47" s="317" t="s">
        <v>231</v>
      </c>
      <c r="E47" s="318">
        <f t="shared" ref="E47:E52" si="0">E6</f>
        <v>5693.66</v>
      </c>
      <c r="F47" s="306" t="s">
        <v>232</v>
      </c>
    </row>
    <row r="48" spans="2:18" ht="15.75" thickBot="1" x14ac:dyDescent="0.3">
      <c r="B48" s="315" t="s">
        <v>233</v>
      </c>
      <c r="C48" s="341"/>
      <c r="D48" s="317" t="s">
        <v>234</v>
      </c>
      <c r="E48" s="318">
        <f t="shared" si="0"/>
        <v>3302.01</v>
      </c>
      <c r="F48" s="306" t="s">
        <v>232</v>
      </c>
      <c r="N48" s="491" t="s">
        <v>378</v>
      </c>
      <c r="O48" s="492"/>
      <c r="P48" s="492"/>
      <c r="Q48" s="492"/>
      <c r="R48" s="493"/>
    </row>
    <row r="49" spans="2:18" x14ac:dyDescent="0.25">
      <c r="B49" s="315" t="s">
        <v>235</v>
      </c>
      <c r="C49" s="341"/>
      <c r="D49" s="317" t="s">
        <v>236</v>
      </c>
      <c r="E49" s="318">
        <f t="shared" si="0"/>
        <v>4651.79</v>
      </c>
      <c r="F49" s="306" t="s">
        <v>232</v>
      </c>
      <c r="N49" s="517" t="s">
        <v>377</v>
      </c>
      <c r="O49" s="518"/>
      <c r="P49" s="518"/>
      <c r="Q49" s="518"/>
      <c r="R49" s="519"/>
    </row>
    <row r="50" spans="2:18" x14ac:dyDescent="0.25">
      <c r="B50" s="315" t="s">
        <v>237</v>
      </c>
      <c r="C50" s="341"/>
      <c r="D50" s="317" t="s">
        <v>238</v>
      </c>
      <c r="E50" s="318">
        <f t="shared" si="0"/>
        <v>2850.14</v>
      </c>
      <c r="F50" s="306" t="s">
        <v>232</v>
      </c>
      <c r="N50" s="505" t="s">
        <v>341</v>
      </c>
      <c r="O50" s="506"/>
      <c r="P50" s="507"/>
      <c r="Q50" s="314">
        <v>2.2000000000000002</v>
      </c>
      <c r="R50" s="306" t="s">
        <v>15</v>
      </c>
    </row>
    <row r="51" spans="2:18" x14ac:dyDescent="0.25">
      <c r="B51" s="315" t="s">
        <v>239</v>
      </c>
      <c r="C51" s="341"/>
      <c r="D51" s="317" t="s">
        <v>240</v>
      </c>
      <c r="E51" s="318">
        <f t="shared" si="0"/>
        <v>3890.67</v>
      </c>
      <c r="F51" s="306" t="s">
        <v>232</v>
      </c>
      <c r="N51" s="505" t="s">
        <v>340</v>
      </c>
      <c r="O51" s="506"/>
      <c r="P51" s="507"/>
      <c r="Q51" s="319">
        <f>E96</f>
        <v>52.61553</v>
      </c>
      <c r="R51" s="306" t="s">
        <v>15</v>
      </c>
    </row>
    <row r="52" spans="2:18" x14ac:dyDescent="0.25">
      <c r="B52" s="315" t="s">
        <v>241</v>
      </c>
      <c r="C52" s="341"/>
      <c r="D52" s="317" t="s">
        <v>242</v>
      </c>
      <c r="E52" s="318">
        <f t="shared" si="0"/>
        <v>1488.56</v>
      </c>
      <c r="F52" s="306" t="s">
        <v>232</v>
      </c>
      <c r="N52" s="525" t="s">
        <v>325</v>
      </c>
      <c r="O52" s="506"/>
      <c r="P52" s="507"/>
      <c r="Q52" s="318">
        <v>35.5</v>
      </c>
      <c r="R52" s="306" t="s">
        <v>15</v>
      </c>
    </row>
    <row r="53" spans="2:18" x14ac:dyDescent="0.25">
      <c r="B53" s="315" t="s">
        <v>243</v>
      </c>
      <c r="C53" s="316" t="s">
        <v>363</v>
      </c>
      <c r="D53" s="317" t="s">
        <v>244</v>
      </c>
      <c r="E53" s="318">
        <v>5500</v>
      </c>
      <c r="F53" s="306" t="s">
        <v>232</v>
      </c>
      <c r="N53" s="505" t="s">
        <v>327</v>
      </c>
      <c r="O53" s="506"/>
      <c r="P53" s="507"/>
      <c r="Q53" s="318">
        <v>34</v>
      </c>
      <c r="R53" s="306" t="s">
        <v>15</v>
      </c>
    </row>
    <row r="54" spans="2:18" ht="15.75" thickBot="1" x14ac:dyDescent="0.3">
      <c r="B54" s="315" t="s">
        <v>319</v>
      </c>
      <c r="C54" s="341"/>
      <c r="D54" s="317" t="s">
        <v>320</v>
      </c>
      <c r="E54" s="318">
        <v>6041.15</v>
      </c>
      <c r="F54" s="306" t="s">
        <v>232</v>
      </c>
      <c r="N54" s="529" t="s">
        <v>314</v>
      </c>
      <c r="O54" s="530"/>
      <c r="P54" s="531"/>
      <c r="Q54" s="322">
        <f>SUM(Q50:Q53)</f>
        <v>124.31553</v>
      </c>
      <c r="R54" s="323" t="s">
        <v>15</v>
      </c>
    </row>
    <row r="55" spans="2:18" ht="15.75" thickBot="1" x14ac:dyDescent="0.3">
      <c r="B55" s="315" t="s">
        <v>355</v>
      </c>
      <c r="C55" s="337"/>
      <c r="D55" s="338" t="s">
        <v>359</v>
      </c>
      <c r="E55" s="318">
        <v>4515.84</v>
      </c>
      <c r="F55" s="306" t="s">
        <v>232</v>
      </c>
      <c r="N55" s="497"/>
      <c r="O55" s="498"/>
      <c r="P55" s="498"/>
      <c r="Q55" s="498"/>
      <c r="R55" s="499"/>
    </row>
    <row r="56" spans="2:18" ht="15.75" thickBot="1" x14ac:dyDescent="0.3">
      <c r="B56" s="535" t="s">
        <v>245</v>
      </c>
      <c r="C56" s="536"/>
      <c r="D56" s="536"/>
      <c r="E56" s="325">
        <f>SUM(E47:E55)/1000</f>
        <v>37.93381999999999</v>
      </c>
      <c r="F56" s="326" t="s">
        <v>15</v>
      </c>
    </row>
    <row r="57" spans="2:18" ht="15.75" thickBot="1" x14ac:dyDescent="0.3">
      <c r="N57" s="491" t="s">
        <v>378</v>
      </c>
      <c r="O57" s="492"/>
      <c r="P57" s="492"/>
      <c r="Q57" s="492"/>
      <c r="R57" s="493"/>
    </row>
    <row r="58" spans="2:18" ht="15.75" thickBot="1" x14ac:dyDescent="0.3">
      <c r="B58" s="508" t="s">
        <v>316</v>
      </c>
      <c r="C58" s="509"/>
      <c r="D58" s="509"/>
      <c r="E58" s="509"/>
      <c r="F58" s="510"/>
      <c r="N58" s="517" t="s">
        <v>379</v>
      </c>
      <c r="O58" s="518"/>
      <c r="P58" s="518"/>
      <c r="Q58" s="518"/>
      <c r="R58" s="519"/>
    </row>
    <row r="59" spans="2:18" ht="15.75" thickBot="1" x14ac:dyDescent="0.3">
      <c r="B59" s="562" t="s">
        <v>370</v>
      </c>
      <c r="C59" s="515"/>
      <c r="D59" s="515"/>
      <c r="E59" s="515"/>
      <c r="F59" s="516"/>
      <c r="N59" s="505" t="s">
        <v>341</v>
      </c>
      <c r="O59" s="506"/>
      <c r="P59" s="507"/>
      <c r="Q59" s="314">
        <v>4.5999999999999996</v>
      </c>
      <c r="R59" s="306" t="s">
        <v>15</v>
      </c>
    </row>
    <row r="60" spans="2:18" x14ac:dyDescent="0.25">
      <c r="B60" s="311" t="s">
        <v>227</v>
      </c>
      <c r="C60" s="312" t="s">
        <v>228</v>
      </c>
      <c r="D60" s="312" t="s">
        <v>229</v>
      </c>
      <c r="E60" s="312" t="s">
        <v>226</v>
      </c>
      <c r="F60" s="313" t="s">
        <v>202</v>
      </c>
      <c r="N60" s="505" t="s">
        <v>340</v>
      </c>
      <c r="O60" s="506"/>
      <c r="P60" s="507"/>
      <c r="Q60" s="319">
        <f>E102</f>
        <v>51.15081</v>
      </c>
      <c r="R60" s="306" t="s">
        <v>15</v>
      </c>
    </row>
    <row r="61" spans="2:18" x14ac:dyDescent="0.25">
      <c r="B61" s="315" t="s">
        <v>230</v>
      </c>
      <c r="C61" s="341"/>
      <c r="D61" s="317" t="s">
        <v>231</v>
      </c>
      <c r="E61" s="318">
        <f t="shared" ref="E61:E66" si="1">E6</f>
        <v>5693.66</v>
      </c>
      <c r="F61" s="306" t="s">
        <v>232</v>
      </c>
      <c r="N61" s="525" t="s">
        <v>325</v>
      </c>
      <c r="O61" s="563"/>
      <c r="P61" s="564"/>
      <c r="Q61" s="318">
        <v>37.299999999999997</v>
      </c>
      <c r="R61" s="306" t="s">
        <v>15</v>
      </c>
    </row>
    <row r="62" spans="2:18" x14ac:dyDescent="0.25">
      <c r="B62" s="315" t="s">
        <v>233</v>
      </c>
      <c r="C62" s="341"/>
      <c r="D62" s="317" t="s">
        <v>234</v>
      </c>
      <c r="E62" s="318">
        <f t="shared" si="1"/>
        <v>3302.01</v>
      </c>
      <c r="F62" s="306" t="s">
        <v>232</v>
      </c>
      <c r="N62" s="505" t="s">
        <v>327</v>
      </c>
      <c r="O62" s="506"/>
      <c r="P62" s="507"/>
      <c r="Q62" s="318">
        <v>34</v>
      </c>
      <c r="R62" s="306" t="s">
        <v>15</v>
      </c>
    </row>
    <row r="63" spans="2:18" ht="15.75" thickBot="1" x14ac:dyDescent="0.3">
      <c r="B63" s="315" t="s">
        <v>235</v>
      </c>
      <c r="C63" s="341"/>
      <c r="D63" s="317" t="s">
        <v>236</v>
      </c>
      <c r="E63" s="318">
        <f t="shared" si="1"/>
        <v>4651.79</v>
      </c>
      <c r="F63" s="306" t="s">
        <v>232</v>
      </c>
      <c r="N63" s="565" t="s">
        <v>314</v>
      </c>
      <c r="O63" s="566"/>
      <c r="P63" s="567"/>
      <c r="Q63" s="322">
        <f>SUM(Q59:Q62)</f>
        <v>127.05081</v>
      </c>
      <c r="R63" s="323" t="s">
        <v>15</v>
      </c>
    </row>
    <row r="64" spans="2:18" ht="15.75" thickBot="1" x14ac:dyDescent="0.3">
      <c r="B64" s="315" t="s">
        <v>237</v>
      </c>
      <c r="C64" s="341"/>
      <c r="D64" s="317" t="s">
        <v>238</v>
      </c>
      <c r="E64" s="318">
        <f t="shared" si="1"/>
        <v>2850.14</v>
      </c>
      <c r="F64" s="306" t="s">
        <v>232</v>
      </c>
      <c r="N64" s="497"/>
      <c r="O64" s="498"/>
      <c r="P64" s="498"/>
      <c r="Q64" s="498"/>
      <c r="R64" s="499"/>
    </row>
    <row r="65" spans="2:18" ht="15.75" thickBot="1" x14ac:dyDescent="0.3">
      <c r="B65" s="315" t="s">
        <v>239</v>
      </c>
      <c r="C65" s="341"/>
      <c r="D65" s="317" t="s">
        <v>240</v>
      </c>
      <c r="E65" s="318">
        <f t="shared" si="1"/>
        <v>3890.67</v>
      </c>
      <c r="F65" s="306" t="s">
        <v>232</v>
      </c>
    </row>
    <row r="66" spans="2:18" ht="15.75" thickBot="1" x14ac:dyDescent="0.3">
      <c r="B66" s="315" t="s">
        <v>241</v>
      </c>
      <c r="C66" s="341"/>
      <c r="D66" s="317" t="s">
        <v>242</v>
      </c>
      <c r="E66" s="318">
        <f t="shared" si="1"/>
        <v>1488.56</v>
      </c>
      <c r="F66" s="306" t="s">
        <v>232</v>
      </c>
      <c r="N66" s="491" t="s">
        <v>378</v>
      </c>
      <c r="O66" s="492"/>
      <c r="P66" s="492"/>
      <c r="Q66" s="492"/>
      <c r="R66" s="493"/>
    </row>
    <row r="67" spans="2:18" x14ac:dyDescent="0.25">
      <c r="B67" s="315" t="s">
        <v>243</v>
      </c>
      <c r="C67" s="316" t="s">
        <v>363</v>
      </c>
      <c r="D67" s="317" t="s">
        <v>244</v>
      </c>
      <c r="E67" s="318">
        <v>2500</v>
      </c>
      <c r="F67" s="306" t="s">
        <v>232</v>
      </c>
      <c r="N67" s="517" t="s">
        <v>380</v>
      </c>
      <c r="O67" s="518"/>
      <c r="P67" s="518"/>
      <c r="Q67" s="518"/>
      <c r="R67" s="519"/>
    </row>
    <row r="68" spans="2:18" x14ac:dyDescent="0.25">
      <c r="B68" s="315" t="s">
        <v>319</v>
      </c>
      <c r="C68" s="341"/>
      <c r="D68" s="317" t="s">
        <v>320</v>
      </c>
      <c r="E68" s="318">
        <v>2750.71</v>
      </c>
      <c r="F68" s="306" t="s">
        <v>232</v>
      </c>
      <c r="N68" s="505" t="s">
        <v>341</v>
      </c>
      <c r="O68" s="506"/>
      <c r="P68" s="507"/>
      <c r="Q68" s="314">
        <v>3.3</v>
      </c>
      <c r="R68" s="306" t="s">
        <v>15</v>
      </c>
    </row>
    <row r="69" spans="2:18" x14ac:dyDescent="0.25">
      <c r="B69" s="315" t="s">
        <v>355</v>
      </c>
      <c r="C69" s="337"/>
      <c r="D69" s="338" t="s">
        <v>359</v>
      </c>
      <c r="E69" s="318">
        <v>3129.91</v>
      </c>
      <c r="F69" s="306" t="s">
        <v>232</v>
      </c>
      <c r="N69" s="505" t="s">
        <v>340</v>
      </c>
      <c r="O69" s="506"/>
      <c r="P69" s="507"/>
      <c r="Q69" s="319">
        <f>E108</f>
        <v>20.94586</v>
      </c>
      <c r="R69" s="306" t="s">
        <v>15</v>
      </c>
    </row>
    <row r="70" spans="2:18" x14ac:dyDescent="0.25">
      <c r="B70" s="315" t="s">
        <v>356</v>
      </c>
      <c r="C70" s="316" t="s">
        <v>363</v>
      </c>
      <c r="D70" s="338" t="s">
        <v>360</v>
      </c>
      <c r="E70" s="318">
        <v>8800</v>
      </c>
      <c r="F70" s="306" t="s">
        <v>232</v>
      </c>
      <c r="N70" s="525" t="s">
        <v>325</v>
      </c>
      <c r="O70" s="563"/>
      <c r="P70" s="564"/>
      <c r="Q70" s="318">
        <v>35.6</v>
      </c>
      <c r="R70" s="306" t="s">
        <v>15</v>
      </c>
    </row>
    <row r="71" spans="2:18" x14ac:dyDescent="0.25">
      <c r="B71" s="315" t="s">
        <v>357</v>
      </c>
      <c r="C71" s="341"/>
      <c r="D71" s="338" t="s">
        <v>361</v>
      </c>
      <c r="E71" s="318">
        <v>3837.71</v>
      </c>
      <c r="F71" s="306" t="s">
        <v>232</v>
      </c>
      <c r="N71" s="505" t="s">
        <v>327</v>
      </c>
      <c r="O71" s="506"/>
      <c r="P71" s="507"/>
      <c r="Q71" s="318">
        <v>34</v>
      </c>
      <c r="R71" s="306" t="s">
        <v>15</v>
      </c>
    </row>
    <row r="72" spans="2:18" ht="15.75" thickBot="1" x14ac:dyDescent="0.3">
      <c r="B72" s="315" t="s">
        <v>358</v>
      </c>
      <c r="C72" s="341"/>
      <c r="D72" s="338" t="s">
        <v>362</v>
      </c>
      <c r="E72" s="318">
        <v>2911.95</v>
      </c>
      <c r="F72" s="306" t="s">
        <v>232</v>
      </c>
      <c r="N72" s="565" t="s">
        <v>314</v>
      </c>
      <c r="O72" s="566"/>
      <c r="P72" s="567"/>
      <c r="Q72" s="322">
        <f>SUM(Q68:Q71)</f>
        <v>93.845860000000002</v>
      </c>
      <c r="R72" s="323" t="s">
        <v>15</v>
      </c>
    </row>
    <row r="73" spans="2:18" ht="15.75" thickBot="1" x14ac:dyDescent="0.3">
      <c r="B73" s="535" t="s">
        <v>245</v>
      </c>
      <c r="C73" s="536"/>
      <c r="D73" s="536"/>
      <c r="E73" s="325">
        <f>SUM(E61:E72)/1000</f>
        <v>45.807109999999994</v>
      </c>
      <c r="F73" s="326" t="s">
        <v>15</v>
      </c>
      <c r="N73" s="497"/>
      <c r="O73" s="498"/>
      <c r="P73" s="498"/>
      <c r="Q73" s="498"/>
      <c r="R73" s="499"/>
    </row>
    <row r="74" spans="2:18" ht="15.75" thickBot="1" x14ac:dyDescent="0.3"/>
    <row r="75" spans="2:18" ht="15.75" thickBot="1" x14ac:dyDescent="0.3">
      <c r="B75" s="508" t="s">
        <v>318</v>
      </c>
      <c r="C75" s="509"/>
      <c r="D75" s="509"/>
      <c r="E75" s="509"/>
      <c r="F75" s="510"/>
      <c r="N75" s="491" t="s">
        <v>378</v>
      </c>
      <c r="O75" s="492"/>
      <c r="P75" s="492"/>
      <c r="Q75" s="492"/>
      <c r="R75" s="493"/>
    </row>
    <row r="76" spans="2:18" ht="15.75" thickBot="1" x14ac:dyDescent="0.3">
      <c r="B76" s="562" t="s">
        <v>371</v>
      </c>
      <c r="C76" s="515"/>
      <c r="D76" s="515"/>
      <c r="E76" s="515"/>
      <c r="F76" s="516"/>
      <c r="N76" s="517" t="s">
        <v>381</v>
      </c>
      <c r="O76" s="518"/>
      <c r="P76" s="518"/>
      <c r="Q76" s="518"/>
      <c r="R76" s="519"/>
    </row>
    <row r="77" spans="2:18" x14ac:dyDescent="0.25">
      <c r="B77" s="311" t="s">
        <v>227</v>
      </c>
      <c r="C77" s="312" t="s">
        <v>228</v>
      </c>
      <c r="D77" s="312" t="s">
        <v>229</v>
      </c>
      <c r="E77" s="312" t="s">
        <v>226</v>
      </c>
      <c r="F77" s="313" t="s">
        <v>202</v>
      </c>
      <c r="N77" s="505" t="s">
        <v>341</v>
      </c>
      <c r="O77" s="506"/>
      <c r="P77" s="507"/>
      <c r="Q77" s="314">
        <v>2.9</v>
      </c>
      <c r="R77" s="306" t="s">
        <v>15</v>
      </c>
    </row>
    <row r="78" spans="2:18" x14ac:dyDescent="0.25">
      <c r="B78" s="315" t="s">
        <v>230</v>
      </c>
      <c r="C78" s="341"/>
      <c r="D78" s="317" t="s">
        <v>231</v>
      </c>
      <c r="E78" s="318">
        <f t="shared" ref="E78:E83" si="2">E6</f>
        <v>5693.66</v>
      </c>
      <c r="F78" s="306" t="s">
        <v>232</v>
      </c>
      <c r="N78" s="505" t="s">
        <v>340</v>
      </c>
      <c r="O78" s="506"/>
      <c r="P78" s="507"/>
      <c r="Q78" s="319">
        <f>E114</f>
        <v>31.13843</v>
      </c>
      <c r="R78" s="306" t="s">
        <v>15</v>
      </c>
    </row>
    <row r="79" spans="2:18" x14ac:dyDescent="0.25">
      <c r="B79" s="315" t="s">
        <v>233</v>
      </c>
      <c r="C79" s="341"/>
      <c r="D79" s="317" t="s">
        <v>234</v>
      </c>
      <c r="E79" s="318">
        <f t="shared" si="2"/>
        <v>3302.01</v>
      </c>
      <c r="F79" s="306" t="s">
        <v>232</v>
      </c>
      <c r="N79" s="525" t="s">
        <v>325</v>
      </c>
      <c r="O79" s="563"/>
      <c r="P79" s="564"/>
      <c r="Q79" s="318">
        <v>23.2</v>
      </c>
      <c r="R79" s="306" t="s">
        <v>15</v>
      </c>
    </row>
    <row r="80" spans="2:18" x14ac:dyDescent="0.25">
      <c r="B80" s="315" t="s">
        <v>235</v>
      </c>
      <c r="C80" s="341"/>
      <c r="D80" s="317" t="s">
        <v>236</v>
      </c>
      <c r="E80" s="318">
        <f t="shared" si="2"/>
        <v>4651.79</v>
      </c>
      <c r="F80" s="306" t="s">
        <v>232</v>
      </c>
      <c r="N80" s="505" t="s">
        <v>327</v>
      </c>
      <c r="O80" s="506"/>
      <c r="P80" s="507"/>
      <c r="Q80" s="318">
        <v>34</v>
      </c>
      <c r="R80" s="306" t="s">
        <v>15</v>
      </c>
    </row>
    <row r="81" spans="2:18" ht="15.75" thickBot="1" x14ac:dyDescent="0.3">
      <c r="B81" s="315" t="s">
        <v>237</v>
      </c>
      <c r="C81" s="341"/>
      <c r="D81" s="317" t="s">
        <v>238</v>
      </c>
      <c r="E81" s="318">
        <f t="shared" si="2"/>
        <v>2850.14</v>
      </c>
      <c r="F81" s="306" t="s">
        <v>232</v>
      </c>
      <c r="N81" s="565" t="s">
        <v>314</v>
      </c>
      <c r="O81" s="566"/>
      <c r="P81" s="567"/>
      <c r="Q81" s="322">
        <f>SUM(Q77:Q80)</f>
        <v>91.238429999999994</v>
      </c>
      <c r="R81" s="323" t="s">
        <v>15</v>
      </c>
    </row>
    <row r="82" spans="2:18" ht="15.75" thickBot="1" x14ac:dyDescent="0.3">
      <c r="B82" s="315" t="s">
        <v>239</v>
      </c>
      <c r="C82" s="341"/>
      <c r="D82" s="317" t="s">
        <v>240</v>
      </c>
      <c r="E82" s="318">
        <f t="shared" si="2"/>
        <v>3890.67</v>
      </c>
      <c r="F82" s="306" t="s">
        <v>232</v>
      </c>
      <c r="N82" s="497"/>
      <c r="O82" s="498"/>
      <c r="P82" s="498"/>
      <c r="Q82" s="498"/>
      <c r="R82" s="499"/>
    </row>
    <row r="83" spans="2:18" x14ac:dyDescent="0.25">
      <c r="B83" s="315" t="s">
        <v>241</v>
      </c>
      <c r="C83" s="341"/>
      <c r="D83" s="317" t="s">
        <v>242</v>
      </c>
      <c r="E83" s="318">
        <f t="shared" si="2"/>
        <v>1488.56</v>
      </c>
      <c r="F83" s="306" t="s">
        <v>232</v>
      </c>
    </row>
    <row r="84" spans="2:18" x14ac:dyDescent="0.25">
      <c r="B84" s="315" t="s">
        <v>243</v>
      </c>
      <c r="C84" s="316" t="s">
        <v>363</v>
      </c>
      <c r="D84" s="317" t="s">
        <v>244</v>
      </c>
      <c r="E84" s="318">
        <v>5500</v>
      </c>
      <c r="F84" s="306" t="s">
        <v>232</v>
      </c>
    </row>
    <row r="85" spans="2:18" x14ac:dyDescent="0.25">
      <c r="B85" s="315" t="s">
        <v>319</v>
      </c>
      <c r="C85" s="341"/>
      <c r="D85" s="317" t="s">
        <v>320</v>
      </c>
      <c r="E85" s="318">
        <v>6041.15</v>
      </c>
      <c r="F85" s="306" t="s">
        <v>232</v>
      </c>
    </row>
    <row r="86" spans="2:18" x14ac:dyDescent="0.25">
      <c r="B86" s="315" t="s">
        <v>355</v>
      </c>
      <c r="C86" s="337"/>
      <c r="D86" s="338" t="s">
        <v>359</v>
      </c>
      <c r="E86" s="318">
        <v>4515.84</v>
      </c>
      <c r="F86" s="306" t="s">
        <v>232</v>
      </c>
    </row>
    <row r="87" spans="2:18" x14ac:dyDescent="0.25">
      <c r="B87" s="315" t="s">
        <v>356</v>
      </c>
      <c r="C87" s="316" t="s">
        <v>363</v>
      </c>
      <c r="D87" s="338" t="s">
        <v>360</v>
      </c>
      <c r="E87" s="318">
        <v>1500</v>
      </c>
      <c r="F87" s="306" t="s">
        <v>232</v>
      </c>
    </row>
    <row r="88" spans="2:18" x14ac:dyDescent="0.25">
      <c r="B88" s="315" t="s">
        <v>357</v>
      </c>
      <c r="C88" s="341"/>
      <c r="D88" s="338" t="s">
        <v>361</v>
      </c>
      <c r="E88" s="318">
        <v>2641.43</v>
      </c>
      <c r="F88" s="306" t="s">
        <v>232</v>
      </c>
    </row>
    <row r="89" spans="2:18" ht="15.75" thickBot="1" x14ac:dyDescent="0.3">
      <c r="B89" s="315" t="s">
        <v>358</v>
      </c>
      <c r="C89" s="341"/>
      <c r="D89" s="338" t="s">
        <v>362</v>
      </c>
      <c r="E89" s="318">
        <v>3140.16</v>
      </c>
      <c r="F89" s="306" t="s">
        <v>232</v>
      </c>
    </row>
    <row r="90" spans="2:18" ht="15.75" thickBot="1" x14ac:dyDescent="0.3">
      <c r="B90" s="535" t="s">
        <v>245</v>
      </c>
      <c r="C90" s="536"/>
      <c r="D90" s="536"/>
      <c r="E90" s="325">
        <f>SUM(E78:E89)/1000</f>
        <v>45.215409999999991</v>
      </c>
      <c r="F90" s="326" t="s">
        <v>15</v>
      </c>
    </row>
    <row r="91" spans="2:18" ht="15.75" thickBot="1" x14ac:dyDescent="0.3"/>
    <row r="92" spans="2:18" ht="15.75" thickBot="1" x14ac:dyDescent="0.3">
      <c r="B92" s="508" t="s">
        <v>373</v>
      </c>
      <c r="C92" s="509"/>
      <c r="D92" s="509"/>
      <c r="E92" s="509"/>
      <c r="F92" s="510"/>
    </row>
    <row r="93" spans="2:18" ht="15.75" thickBot="1" x14ac:dyDescent="0.3">
      <c r="B93" s="514" t="s">
        <v>372</v>
      </c>
      <c r="C93" s="515"/>
      <c r="D93" s="515"/>
      <c r="E93" s="515"/>
      <c r="F93" s="516"/>
    </row>
    <row r="94" spans="2:18" x14ac:dyDescent="0.25">
      <c r="B94" s="311" t="s">
        <v>227</v>
      </c>
      <c r="C94" s="312" t="s">
        <v>228</v>
      </c>
      <c r="D94" s="312" t="s">
        <v>229</v>
      </c>
      <c r="E94" s="312" t="s">
        <v>226</v>
      </c>
      <c r="F94" s="313" t="s">
        <v>202</v>
      </c>
    </row>
    <row r="95" spans="2:18" ht="15.75" thickBot="1" x14ac:dyDescent="0.3">
      <c r="B95" s="315" t="s">
        <v>230</v>
      </c>
      <c r="C95" s="316"/>
      <c r="D95" s="317" t="s">
        <v>231</v>
      </c>
      <c r="E95" s="318">
        <v>52615.53</v>
      </c>
      <c r="F95" s="306" t="s">
        <v>232</v>
      </c>
    </row>
    <row r="96" spans="2:18" ht="15.75" thickBot="1" x14ac:dyDescent="0.3">
      <c r="B96" s="535" t="s">
        <v>245</v>
      </c>
      <c r="C96" s="536"/>
      <c r="D96" s="536"/>
      <c r="E96" s="325">
        <f>SUM(E95:E95)/1000</f>
        <v>52.61553</v>
      </c>
      <c r="F96" s="326" t="s">
        <v>15</v>
      </c>
    </row>
    <row r="97" spans="2:6" ht="15.75" thickBot="1" x14ac:dyDescent="0.3"/>
    <row r="98" spans="2:6" ht="15.75" thickBot="1" x14ac:dyDescent="0.3">
      <c r="B98" s="508" t="s">
        <v>374</v>
      </c>
      <c r="C98" s="509"/>
      <c r="D98" s="509"/>
      <c r="E98" s="509"/>
      <c r="F98" s="510"/>
    </row>
    <row r="99" spans="2:6" ht="15.75" thickBot="1" x14ac:dyDescent="0.3">
      <c r="B99" s="514" t="s">
        <v>366</v>
      </c>
      <c r="C99" s="515"/>
      <c r="D99" s="515"/>
      <c r="E99" s="515"/>
      <c r="F99" s="516"/>
    </row>
    <row r="100" spans="2:6" x14ac:dyDescent="0.25">
      <c r="B100" s="311" t="s">
        <v>227</v>
      </c>
      <c r="C100" s="312" t="s">
        <v>228</v>
      </c>
      <c r="D100" s="312" t="s">
        <v>229</v>
      </c>
      <c r="E100" s="312" t="s">
        <v>226</v>
      </c>
      <c r="F100" s="313" t="s">
        <v>202</v>
      </c>
    </row>
    <row r="101" spans="2:6" ht="15.75" thickBot="1" x14ac:dyDescent="0.3">
      <c r="B101" s="315" t="s">
        <v>230</v>
      </c>
      <c r="C101" s="316"/>
      <c r="D101" s="317" t="s">
        <v>231</v>
      </c>
      <c r="E101" s="318">
        <v>51150.81</v>
      </c>
      <c r="F101" s="306" t="s">
        <v>232</v>
      </c>
    </row>
    <row r="102" spans="2:6" ht="15.75" thickBot="1" x14ac:dyDescent="0.3">
      <c r="B102" s="535" t="s">
        <v>245</v>
      </c>
      <c r="C102" s="536"/>
      <c r="D102" s="536"/>
      <c r="E102" s="325">
        <f>SUM(E101:E101)/1000</f>
        <v>51.15081</v>
      </c>
      <c r="F102" s="326" t="s">
        <v>15</v>
      </c>
    </row>
    <row r="103" spans="2:6" ht="15.75" thickBot="1" x14ac:dyDescent="0.3"/>
    <row r="104" spans="2:6" ht="15.75" thickBot="1" x14ac:dyDescent="0.3">
      <c r="B104" s="508" t="s">
        <v>375</v>
      </c>
      <c r="C104" s="509"/>
      <c r="D104" s="509"/>
      <c r="E104" s="509"/>
      <c r="F104" s="510"/>
    </row>
    <row r="105" spans="2:6" ht="15.75" thickBot="1" x14ac:dyDescent="0.3">
      <c r="B105" s="514" t="s">
        <v>367</v>
      </c>
      <c r="C105" s="515"/>
      <c r="D105" s="515"/>
      <c r="E105" s="515"/>
      <c r="F105" s="516"/>
    </row>
    <row r="106" spans="2:6" x14ac:dyDescent="0.25">
      <c r="B106" s="311" t="s">
        <v>227</v>
      </c>
      <c r="C106" s="312" t="s">
        <v>228</v>
      </c>
      <c r="D106" s="312" t="s">
        <v>229</v>
      </c>
      <c r="E106" s="312" t="s">
        <v>226</v>
      </c>
      <c r="F106" s="313" t="s">
        <v>202</v>
      </c>
    </row>
    <row r="107" spans="2:6" ht="15.75" thickBot="1" x14ac:dyDescent="0.3">
      <c r="B107" s="315" t="s">
        <v>230</v>
      </c>
      <c r="C107" s="316"/>
      <c r="D107" s="317" t="s">
        <v>231</v>
      </c>
      <c r="E107" s="318">
        <v>20945.86</v>
      </c>
      <c r="F107" s="306" t="s">
        <v>232</v>
      </c>
    </row>
    <row r="108" spans="2:6" ht="15.75" thickBot="1" x14ac:dyDescent="0.3">
      <c r="B108" s="535" t="s">
        <v>245</v>
      </c>
      <c r="C108" s="536"/>
      <c r="D108" s="536"/>
      <c r="E108" s="325">
        <f>SUM(E107:E107)/1000</f>
        <v>20.94586</v>
      </c>
      <c r="F108" s="326" t="s">
        <v>15</v>
      </c>
    </row>
    <row r="109" spans="2:6" ht="15.75" thickBot="1" x14ac:dyDescent="0.3"/>
    <row r="110" spans="2:6" ht="15.75" thickBot="1" x14ac:dyDescent="0.3">
      <c r="B110" s="508" t="s">
        <v>376</v>
      </c>
      <c r="C110" s="509"/>
      <c r="D110" s="509"/>
      <c r="E110" s="509"/>
      <c r="F110" s="510"/>
    </row>
    <row r="111" spans="2:6" ht="15.75" thickBot="1" x14ac:dyDescent="0.3">
      <c r="B111" s="514" t="s">
        <v>368</v>
      </c>
      <c r="C111" s="515"/>
      <c r="D111" s="515"/>
      <c r="E111" s="515"/>
      <c r="F111" s="516"/>
    </row>
    <row r="112" spans="2:6" x14ac:dyDescent="0.25">
      <c r="B112" s="311" t="s">
        <v>227</v>
      </c>
      <c r="C112" s="312" t="s">
        <v>228</v>
      </c>
      <c r="D112" s="312" t="s">
        <v>229</v>
      </c>
      <c r="E112" s="312" t="s">
        <v>226</v>
      </c>
      <c r="F112" s="313" t="s">
        <v>202</v>
      </c>
    </row>
    <row r="113" spans="2:6" ht="15.75" thickBot="1" x14ac:dyDescent="0.3">
      <c r="B113" s="315" t="s">
        <v>230</v>
      </c>
      <c r="C113" s="316"/>
      <c r="D113" s="317" t="s">
        <v>231</v>
      </c>
      <c r="E113" s="318">
        <v>31138.43</v>
      </c>
      <c r="F113" s="306" t="s">
        <v>232</v>
      </c>
    </row>
    <row r="114" spans="2:6" ht="15.75" thickBot="1" x14ac:dyDescent="0.3">
      <c r="B114" s="535" t="s">
        <v>245</v>
      </c>
      <c r="C114" s="536"/>
      <c r="D114" s="536"/>
      <c r="E114" s="325">
        <f>SUM(E113:E113)/1000</f>
        <v>31.13843</v>
      </c>
      <c r="F114" s="326" t="s">
        <v>15</v>
      </c>
    </row>
  </sheetData>
  <mergeCells count="173">
    <mergeCell ref="B114:D114"/>
    <mergeCell ref="B102:D102"/>
    <mergeCell ref="B104:F104"/>
    <mergeCell ref="B105:F105"/>
    <mergeCell ref="B108:D108"/>
    <mergeCell ref="B110:F110"/>
    <mergeCell ref="B111:F111"/>
    <mergeCell ref="B90:D90"/>
    <mergeCell ref="B92:F92"/>
    <mergeCell ref="B93:F93"/>
    <mergeCell ref="B96:D96"/>
    <mergeCell ref="B98:F98"/>
    <mergeCell ref="B99:F99"/>
    <mergeCell ref="N77:P77"/>
    <mergeCell ref="N78:P78"/>
    <mergeCell ref="N79:P79"/>
    <mergeCell ref="N80:P80"/>
    <mergeCell ref="N81:P81"/>
    <mergeCell ref="N82:R82"/>
    <mergeCell ref="B73:D73"/>
    <mergeCell ref="N73:R73"/>
    <mergeCell ref="B75:F75"/>
    <mergeCell ref="N75:R75"/>
    <mergeCell ref="B76:F76"/>
    <mergeCell ref="N76:R76"/>
    <mergeCell ref="N67:R67"/>
    <mergeCell ref="N68:P68"/>
    <mergeCell ref="N69:P69"/>
    <mergeCell ref="N70:P70"/>
    <mergeCell ref="N71:P71"/>
    <mergeCell ref="N72:P72"/>
    <mergeCell ref="N60:P60"/>
    <mergeCell ref="N61:P61"/>
    <mergeCell ref="N62:P62"/>
    <mergeCell ref="N63:P63"/>
    <mergeCell ref="N64:R64"/>
    <mergeCell ref="N66:R66"/>
    <mergeCell ref="N55:R55"/>
    <mergeCell ref="B56:D56"/>
    <mergeCell ref="N57:R57"/>
    <mergeCell ref="B58:F58"/>
    <mergeCell ref="N58:R58"/>
    <mergeCell ref="B59:F59"/>
    <mergeCell ref="N59:P59"/>
    <mergeCell ref="N49:R49"/>
    <mergeCell ref="N50:P50"/>
    <mergeCell ref="N51:P51"/>
    <mergeCell ref="N52:P52"/>
    <mergeCell ref="N53:P53"/>
    <mergeCell ref="N54:P54"/>
    <mergeCell ref="B45:F45"/>
    <mergeCell ref="H45:J45"/>
    <mergeCell ref="N45:P45"/>
    <mergeCell ref="H46:L46"/>
    <mergeCell ref="N46:R46"/>
    <mergeCell ref="N48:R48"/>
    <mergeCell ref="B42:D42"/>
    <mergeCell ref="H42:J42"/>
    <mergeCell ref="N42:P42"/>
    <mergeCell ref="H43:J43"/>
    <mergeCell ref="N43:P43"/>
    <mergeCell ref="B44:F44"/>
    <mergeCell ref="H44:J44"/>
    <mergeCell ref="N44:P44"/>
    <mergeCell ref="H39:L39"/>
    <mergeCell ref="N39:R39"/>
    <mergeCell ref="H40:L40"/>
    <mergeCell ref="N40:R40"/>
    <mergeCell ref="H41:J41"/>
    <mergeCell ref="N41:P41"/>
    <mergeCell ref="H35:J35"/>
    <mergeCell ref="N35:P35"/>
    <mergeCell ref="H36:J36"/>
    <mergeCell ref="N36:P36"/>
    <mergeCell ref="H37:L37"/>
    <mergeCell ref="N37:R37"/>
    <mergeCell ref="H32:J32"/>
    <mergeCell ref="N32:P32"/>
    <mergeCell ref="H33:J33"/>
    <mergeCell ref="N33:P33"/>
    <mergeCell ref="H34:J34"/>
    <mergeCell ref="N34:P34"/>
    <mergeCell ref="T29:AA29"/>
    <mergeCell ref="B30:F30"/>
    <mergeCell ref="H30:L30"/>
    <mergeCell ref="N30:R30"/>
    <mergeCell ref="T30:Y30"/>
    <mergeCell ref="H31:L31"/>
    <mergeCell ref="N31:R31"/>
    <mergeCell ref="T31:Y31"/>
    <mergeCell ref="B27:D27"/>
    <mergeCell ref="H27:J27"/>
    <mergeCell ref="N27:P27"/>
    <mergeCell ref="H28:L28"/>
    <mergeCell ref="N28:R28"/>
    <mergeCell ref="B29:F29"/>
    <mergeCell ref="H24:J24"/>
    <mergeCell ref="N24:P24"/>
    <mergeCell ref="T24:AA24"/>
    <mergeCell ref="H25:J25"/>
    <mergeCell ref="N25:P25"/>
    <mergeCell ref="H26:J26"/>
    <mergeCell ref="N26:P26"/>
    <mergeCell ref="H21:L21"/>
    <mergeCell ref="N21:R21"/>
    <mergeCell ref="H22:L22"/>
    <mergeCell ref="N22:R22"/>
    <mergeCell ref="H23:J23"/>
    <mergeCell ref="N23:P23"/>
    <mergeCell ref="X17:Y18"/>
    <mergeCell ref="Z17:Z18"/>
    <mergeCell ref="AA17:AA18"/>
    <mergeCell ref="H18:J18"/>
    <mergeCell ref="N18:P18"/>
    <mergeCell ref="H19:L19"/>
    <mergeCell ref="N19:R19"/>
    <mergeCell ref="H17:J17"/>
    <mergeCell ref="N17:P17"/>
    <mergeCell ref="T17:T18"/>
    <mergeCell ref="U17:U18"/>
    <mergeCell ref="V17:V18"/>
    <mergeCell ref="W17:W18"/>
    <mergeCell ref="B15:F15"/>
    <mergeCell ref="H15:J15"/>
    <mergeCell ref="N15:P15"/>
    <mergeCell ref="H16:J16"/>
    <mergeCell ref="N16:P16"/>
    <mergeCell ref="T16:AA16"/>
    <mergeCell ref="H13:L13"/>
    <mergeCell ref="N13:R13"/>
    <mergeCell ref="T13:Y13"/>
    <mergeCell ref="B14:F14"/>
    <mergeCell ref="H14:J14"/>
    <mergeCell ref="N14:P14"/>
    <mergeCell ref="H9:J9"/>
    <mergeCell ref="N9:P9"/>
    <mergeCell ref="H10:L10"/>
    <mergeCell ref="N10:R10"/>
    <mergeCell ref="T11:AA11"/>
    <mergeCell ref="B12:D12"/>
    <mergeCell ref="H12:L12"/>
    <mergeCell ref="N12:R12"/>
    <mergeCell ref="T12:Y12"/>
    <mergeCell ref="H6:J6"/>
    <mergeCell ref="N6:P6"/>
    <mergeCell ref="H7:J7"/>
    <mergeCell ref="N7:P7"/>
    <mergeCell ref="H8:J8"/>
    <mergeCell ref="N8:P8"/>
    <mergeCell ref="W4:W5"/>
    <mergeCell ref="X4:Y5"/>
    <mergeCell ref="Z4:Z5"/>
    <mergeCell ref="B1:F1"/>
    <mergeCell ref="H1:L1"/>
    <mergeCell ref="N1:R1"/>
    <mergeCell ref="T1:AA1"/>
    <mergeCell ref="B2:F2"/>
    <mergeCell ref="H2:L2"/>
    <mergeCell ref="N2:R2"/>
    <mergeCell ref="T2:AA2"/>
    <mergeCell ref="AA4:AA5"/>
    <mergeCell ref="H5:J5"/>
    <mergeCell ref="N5:P5"/>
    <mergeCell ref="B3:F3"/>
    <mergeCell ref="H3:L3"/>
    <mergeCell ref="N3:R3"/>
    <mergeCell ref="T3:AA3"/>
    <mergeCell ref="B4:F4"/>
    <mergeCell ref="H4:L4"/>
    <mergeCell ref="N4:R4"/>
    <mergeCell ref="T4:T5"/>
    <mergeCell ref="U4:U5"/>
    <mergeCell ref="V4:V5"/>
  </mergeCells>
  <pageMargins left="0.51181102362204722" right="0.51181102362204722" top="0.78740157480314965" bottom="0.78740157480314965" header="0.31496062992125984" footer="0.31496062992125984"/>
  <pageSetup paperSize="9" scale="64" fitToWidth="4" fitToHeight="2" orientation="portrait" r:id="rId1"/>
  <rowBreaks count="1" manualBreakCount="1">
    <brk id="65" max="16383" man="1"/>
  </rowBreaks>
  <colBreaks count="3" manualBreakCount="3">
    <brk id="7" max="1048575" man="1"/>
    <brk id="13" max="1048575" man="1"/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58"/>
  <sheetViews>
    <sheetView zoomScale="120" zoomScaleNormal="120" workbookViewId="0"/>
  </sheetViews>
  <sheetFormatPr defaultColWidth="8.85546875" defaultRowHeight="15" x14ac:dyDescent="0.25"/>
  <cols>
    <col min="1" max="2" width="8.85546875" style="222"/>
    <col min="3" max="3" width="11.42578125" style="222" customWidth="1"/>
    <col min="4" max="4" width="19.85546875" style="222" customWidth="1"/>
    <col min="5" max="5" width="9.5703125" style="222" customWidth="1"/>
    <col min="6" max="6" width="8.7109375" style="222" customWidth="1"/>
    <col min="7" max="7" width="7.7109375" style="222" customWidth="1"/>
    <col min="8" max="8" width="8.85546875" style="222" hidden="1" customWidth="1"/>
    <col min="9" max="9" width="7.85546875" style="222" hidden="1" customWidth="1"/>
    <col min="10" max="10" width="10.7109375" style="222" hidden="1" customWidth="1"/>
    <col min="11" max="12" width="8" style="222" hidden="1" customWidth="1"/>
    <col min="13" max="13" width="9.85546875" style="222" hidden="1" customWidth="1"/>
    <col min="14" max="14" width="8.28515625" style="222" hidden="1" customWidth="1"/>
    <col min="15" max="16384" width="8.85546875" style="222"/>
  </cols>
  <sheetData>
    <row r="1" spans="1:14" ht="15.75" x14ac:dyDescent="0.25">
      <c r="A1" s="449" t="s">
        <v>383</v>
      </c>
    </row>
    <row r="2" spans="1:14" x14ac:dyDescent="0.25">
      <c r="A2" s="221" t="s">
        <v>469</v>
      </c>
    </row>
    <row r="3" spans="1:14" x14ac:dyDescent="0.25">
      <c r="A3" s="221" t="s">
        <v>438</v>
      </c>
    </row>
    <row r="4" spans="1:14" x14ac:dyDescent="0.25">
      <c r="A4" s="221" t="s">
        <v>454</v>
      </c>
    </row>
    <row r="5" spans="1:14" x14ac:dyDescent="0.25">
      <c r="A5" s="221" t="s">
        <v>418</v>
      </c>
      <c r="B5" s="221"/>
    </row>
    <row r="6" spans="1:14" ht="30" x14ac:dyDescent="0.25">
      <c r="A6" s="423" t="s">
        <v>277</v>
      </c>
      <c r="B6" s="223" t="s">
        <v>205</v>
      </c>
      <c r="C6" s="223" t="s">
        <v>206</v>
      </c>
      <c r="D6" s="223" t="s">
        <v>219</v>
      </c>
      <c r="E6" s="223" t="s">
        <v>207</v>
      </c>
      <c r="F6" s="223" t="s">
        <v>208</v>
      </c>
      <c r="G6" s="254" t="s">
        <v>209</v>
      </c>
      <c r="M6" s="436" t="s">
        <v>442</v>
      </c>
      <c r="N6" s="437" t="s">
        <v>443</v>
      </c>
    </row>
    <row r="7" spans="1:14" ht="27.75" customHeight="1" x14ac:dyDescent="0.25">
      <c r="A7" s="423" t="s">
        <v>281</v>
      </c>
      <c r="B7" s="224">
        <v>2</v>
      </c>
      <c r="C7" s="254" t="s">
        <v>439</v>
      </c>
      <c r="D7" s="254" t="s">
        <v>333</v>
      </c>
      <c r="E7" s="225">
        <v>0.29166666666666669</v>
      </c>
      <c r="F7" s="225">
        <v>0.5625</v>
      </c>
      <c r="G7" s="225">
        <v>0.22916666666666666</v>
      </c>
      <c r="H7" s="448">
        <f>F7-E7</f>
        <v>0.27083333333333331</v>
      </c>
      <c r="I7" s="222">
        <v>11</v>
      </c>
      <c r="J7" s="222">
        <v>11</v>
      </c>
      <c r="K7" s="222">
        <f>SUM(I7:I9)</f>
        <v>42</v>
      </c>
      <c r="M7" s="249">
        <f>'7.Roteiros'!K9*2</f>
        <v>70.453659999999999</v>
      </c>
      <c r="N7" s="249">
        <f>M7/I7</f>
        <v>6.4048781818181819</v>
      </c>
    </row>
    <row r="8" spans="1:14" ht="30" customHeight="1" x14ac:dyDescent="0.25">
      <c r="A8" s="424" t="s">
        <v>315</v>
      </c>
      <c r="B8" s="224">
        <v>2</v>
      </c>
      <c r="C8" s="254" t="s">
        <v>439</v>
      </c>
      <c r="D8" s="254" t="s">
        <v>298</v>
      </c>
      <c r="E8" s="225">
        <v>0.29166666666666669</v>
      </c>
      <c r="F8" s="225">
        <v>0.625</v>
      </c>
      <c r="G8" s="225">
        <v>0.29166666666666669</v>
      </c>
      <c r="H8" s="448">
        <f t="shared" ref="H8:H9" si="0">F8-E8</f>
        <v>0.33333333333333331</v>
      </c>
      <c r="I8" s="222">
        <v>14</v>
      </c>
      <c r="J8" s="222">
        <v>14</v>
      </c>
      <c r="K8" s="222">
        <v>44</v>
      </c>
      <c r="M8" s="249">
        <f>'7.Roteiros'!K36*2</f>
        <v>98.767639999999972</v>
      </c>
      <c r="N8" s="249">
        <f t="shared" ref="N8:N9" si="1">M8/I8</f>
        <v>7.0548314285714264</v>
      </c>
    </row>
    <row r="9" spans="1:14" ht="31.5" customHeight="1" x14ac:dyDescent="0.25">
      <c r="A9" s="424" t="s">
        <v>316</v>
      </c>
      <c r="B9" s="224">
        <v>2</v>
      </c>
      <c r="C9" s="254" t="s">
        <v>439</v>
      </c>
      <c r="D9" s="254" t="s">
        <v>317</v>
      </c>
      <c r="E9" s="225">
        <v>0.29166666666666669</v>
      </c>
      <c r="F9" s="225">
        <v>0.6875</v>
      </c>
      <c r="G9" s="225">
        <v>0.35416666666666669</v>
      </c>
      <c r="H9" s="448">
        <f t="shared" si="0"/>
        <v>0.39583333333333331</v>
      </c>
      <c r="I9" s="222">
        <v>17</v>
      </c>
      <c r="J9" s="222">
        <v>17</v>
      </c>
      <c r="K9" s="430">
        <f>K7/K8</f>
        <v>0.95454545454545459</v>
      </c>
      <c r="M9" s="249">
        <f>'7.Roteiros'!K45*2</f>
        <v>143.31421999999998</v>
      </c>
      <c r="N9" s="249">
        <f t="shared" si="1"/>
        <v>8.4302482352941155</v>
      </c>
    </row>
    <row r="10" spans="1:14" ht="17.25" customHeight="1" x14ac:dyDescent="0.25">
      <c r="A10" s="425"/>
      <c r="B10" s="426"/>
      <c r="C10" s="427"/>
      <c r="D10" s="427"/>
      <c r="E10" s="428"/>
      <c r="F10" s="428"/>
      <c r="G10" s="428"/>
      <c r="M10" s="429"/>
      <c r="N10" s="429"/>
    </row>
    <row r="11" spans="1:14" x14ac:dyDescent="0.25">
      <c r="A11" s="221" t="s">
        <v>419</v>
      </c>
      <c r="B11" s="221"/>
      <c r="M11" s="429"/>
      <c r="N11" s="429"/>
    </row>
    <row r="12" spans="1:14" ht="30" x14ac:dyDescent="0.25">
      <c r="A12" s="223" t="s">
        <v>277</v>
      </c>
      <c r="B12" s="223" t="s">
        <v>205</v>
      </c>
      <c r="C12" s="223" t="s">
        <v>206</v>
      </c>
      <c r="D12" s="223" t="s">
        <v>219</v>
      </c>
      <c r="E12" s="223" t="s">
        <v>207</v>
      </c>
      <c r="F12" s="223" t="s">
        <v>208</v>
      </c>
      <c r="G12" s="254" t="s">
        <v>209</v>
      </c>
      <c r="M12" s="436" t="s">
        <v>442</v>
      </c>
      <c r="N12" s="437" t="s">
        <v>443</v>
      </c>
    </row>
    <row r="13" spans="1:14" ht="34.5" customHeight="1" x14ac:dyDescent="0.25">
      <c r="A13" s="424" t="s">
        <v>310</v>
      </c>
      <c r="B13" s="224">
        <v>2</v>
      </c>
      <c r="C13" s="254" t="s">
        <v>439</v>
      </c>
      <c r="D13" s="254" t="s">
        <v>440</v>
      </c>
      <c r="E13" s="225">
        <v>0.29166666666666669</v>
      </c>
      <c r="F13" s="225">
        <v>0.625</v>
      </c>
      <c r="G13" s="225">
        <v>0.29166666666666669</v>
      </c>
      <c r="H13" s="448">
        <f t="shared" ref="H13:H14" si="2">F13-E13</f>
        <v>0.33333333333333331</v>
      </c>
      <c r="I13" s="222">
        <f>7*3</f>
        <v>21</v>
      </c>
      <c r="J13" s="222">
        <v>21</v>
      </c>
      <c r="K13" s="222">
        <f>SUM(I13:I14)</f>
        <v>46.5</v>
      </c>
      <c r="M13" s="249">
        <f>'7.Roteiros'!K18*3</f>
        <v>185.05389</v>
      </c>
      <c r="N13" s="249">
        <f>M13/I13</f>
        <v>8.8120899999999995</v>
      </c>
    </row>
    <row r="14" spans="1:14" ht="35.25" customHeight="1" x14ac:dyDescent="0.25">
      <c r="A14" s="424" t="s">
        <v>313</v>
      </c>
      <c r="B14" s="224">
        <v>2</v>
      </c>
      <c r="C14" s="254" t="s">
        <v>439</v>
      </c>
      <c r="D14" s="254" t="s">
        <v>420</v>
      </c>
      <c r="E14" s="225">
        <v>0.29166666666666669</v>
      </c>
      <c r="F14" s="225">
        <v>0.6875</v>
      </c>
      <c r="G14" s="225">
        <v>0.35416666666666669</v>
      </c>
      <c r="H14" s="448">
        <f t="shared" si="2"/>
        <v>0.39583333333333331</v>
      </c>
      <c r="I14" s="222">
        <f>8.5*3</f>
        <v>25.5</v>
      </c>
      <c r="J14" s="222">
        <v>25.5</v>
      </c>
      <c r="K14" s="222">
        <v>44</v>
      </c>
      <c r="L14" s="430">
        <f>K13/K14</f>
        <v>1.0568181818181819</v>
      </c>
      <c r="M14" s="249">
        <f>'7.Roteiros'!K27*3</f>
        <v>247.98594</v>
      </c>
      <c r="N14" s="249">
        <f t="shared" ref="N14" si="3">M14/I14</f>
        <v>9.7249388235294116</v>
      </c>
    </row>
    <row r="15" spans="1:14" x14ac:dyDescent="0.25">
      <c r="M15" s="429"/>
      <c r="N15" s="429"/>
    </row>
    <row r="16" spans="1:14" x14ac:dyDescent="0.25">
      <c r="A16" s="221" t="s">
        <v>421</v>
      </c>
      <c r="B16" s="221"/>
      <c r="M16" s="429"/>
      <c r="N16" s="429"/>
    </row>
    <row r="17" spans="1:14" ht="30" x14ac:dyDescent="0.25">
      <c r="A17" s="423" t="s">
        <v>277</v>
      </c>
      <c r="B17" s="223" t="s">
        <v>205</v>
      </c>
      <c r="C17" s="223" t="s">
        <v>206</v>
      </c>
      <c r="D17" s="223" t="s">
        <v>219</v>
      </c>
      <c r="E17" s="223" t="s">
        <v>207</v>
      </c>
      <c r="F17" s="223" t="s">
        <v>208</v>
      </c>
      <c r="G17" s="254" t="s">
        <v>209</v>
      </c>
      <c r="M17" s="436" t="s">
        <v>442</v>
      </c>
      <c r="N17" s="437" t="s">
        <v>443</v>
      </c>
    </row>
    <row r="18" spans="1:14" ht="30" x14ac:dyDescent="0.25">
      <c r="A18" s="423" t="s">
        <v>281</v>
      </c>
      <c r="B18" s="224">
        <v>2</v>
      </c>
      <c r="C18" s="254" t="s">
        <v>64</v>
      </c>
      <c r="D18" s="254" t="s">
        <v>347</v>
      </c>
      <c r="E18" s="225">
        <v>0.29166666666666669</v>
      </c>
      <c r="F18" s="225">
        <v>0.5625</v>
      </c>
      <c r="G18" s="225">
        <v>0.22916666666666666</v>
      </c>
      <c r="H18" s="448">
        <f t="shared" ref="H18:H23" si="4">F18-E18</f>
        <v>0.27083333333333331</v>
      </c>
      <c r="I18" s="222">
        <f>5.5*4</f>
        <v>22</v>
      </c>
      <c r="K18" s="222">
        <f>SUM(I18:I20)</f>
        <v>35</v>
      </c>
      <c r="M18" s="249">
        <f>'7.Roteiros'!K6*4</f>
        <v>87.507319999999993</v>
      </c>
      <c r="N18" s="249">
        <f t="shared" ref="N18:N20" si="5">M18/I18</f>
        <v>3.9776054545454542</v>
      </c>
    </row>
    <row r="19" spans="1:14" x14ac:dyDescent="0.25">
      <c r="A19" s="424" t="s">
        <v>316</v>
      </c>
      <c r="B19" s="224">
        <v>2</v>
      </c>
      <c r="C19" s="254" t="s">
        <v>210</v>
      </c>
      <c r="D19" s="254" t="s">
        <v>346</v>
      </c>
      <c r="E19" s="225">
        <v>0.29166666666666669</v>
      </c>
      <c r="F19" s="225">
        <v>0.60416666666666663</v>
      </c>
      <c r="G19" s="225">
        <v>0.27083333333333331</v>
      </c>
      <c r="H19" s="448">
        <f t="shared" si="4"/>
        <v>0.31249999999999994</v>
      </c>
      <c r="I19" s="222">
        <v>6.5</v>
      </c>
      <c r="K19" s="222">
        <v>44</v>
      </c>
      <c r="L19" s="430">
        <f>K18/K19</f>
        <v>0.79545454545454541</v>
      </c>
      <c r="M19" s="249">
        <f>'7.Roteiros'!Q33*1</f>
        <v>45.807109999999994</v>
      </c>
      <c r="N19" s="249">
        <f t="shared" si="5"/>
        <v>7.0472476923076917</v>
      </c>
    </row>
    <row r="20" spans="1:14" x14ac:dyDescent="0.25">
      <c r="A20" s="424" t="s">
        <v>318</v>
      </c>
      <c r="B20" s="224">
        <v>2</v>
      </c>
      <c r="C20" s="254" t="s">
        <v>210</v>
      </c>
      <c r="D20" s="254" t="s">
        <v>345</v>
      </c>
      <c r="E20" s="225">
        <v>0.29166666666666669</v>
      </c>
      <c r="F20" s="225">
        <v>0.60416666666666663</v>
      </c>
      <c r="G20" s="225">
        <v>0.27083333333333331</v>
      </c>
      <c r="H20" s="448">
        <f t="shared" si="4"/>
        <v>0.31249999999999994</v>
      </c>
      <c r="I20" s="222">
        <v>6.5</v>
      </c>
      <c r="M20" s="249">
        <f>'7.Roteiros'!Q42</f>
        <v>45.215409999999991</v>
      </c>
      <c r="N20" s="249">
        <f t="shared" si="5"/>
        <v>6.956216923076922</v>
      </c>
    </row>
    <row r="21" spans="1:14" ht="30" x14ac:dyDescent="0.25">
      <c r="A21" s="423" t="s">
        <v>281</v>
      </c>
      <c r="B21" s="224">
        <v>2</v>
      </c>
      <c r="C21" s="254" t="s">
        <v>36</v>
      </c>
      <c r="D21" s="254" t="s">
        <v>347</v>
      </c>
      <c r="E21" s="225">
        <v>0.29166666666666669</v>
      </c>
      <c r="F21" s="225">
        <v>0.625</v>
      </c>
      <c r="G21" s="225">
        <v>0.29166666666666669</v>
      </c>
      <c r="H21" s="448">
        <f t="shared" si="4"/>
        <v>0.33333333333333331</v>
      </c>
      <c r="J21" s="222">
        <f>7*4</f>
        <v>28</v>
      </c>
      <c r="L21" s="222">
        <f>SUM(J21:J23)</f>
        <v>44</v>
      </c>
      <c r="M21" s="249">
        <f>'7.Roteiros'!Q9*4</f>
        <v>362.50731999999999</v>
      </c>
      <c r="N21" s="249">
        <f>M21/J21</f>
        <v>12.94669</v>
      </c>
    </row>
    <row r="22" spans="1:14" x14ac:dyDescent="0.25">
      <c r="A22" s="424" t="s">
        <v>316</v>
      </c>
      <c r="B22" s="224">
        <v>2</v>
      </c>
      <c r="C22" s="254" t="s">
        <v>36</v>
      </c>
      <c r="D22" s="254" t="s">
        <v>346</v>
      </c>
      <c r="E22" s="225">
        <v>0.29166666666666669</v>
      </c>
      <c r="F22" s="225">
        <v>0.66666666666666663</v>
      </c>
      <c r="G22" s="225">
        <v>0.33333333333333331</v>
      </c>
      <c r="H22" s="448">
        <f t="shared" si="4"/>
        <v>0.37499999999999994</v>
      </c>
      <c r="J22" s="222">
        <v>8</v>
      </c>
      <c r="L22" s="222">
        <v>44</v>
      </c>
      <c r="M22" s="249">
        <f>'7.Roteiros'!Q36*1</f>
        <v>125.75710999999998</v>
      </c>
      <c r="N22" s="249">
        <f t="shared" ref="N22:N23" si="6">M22/J22</f>
        <v>15.719638749999998</v>
      </c>
    </row>
    <row r="23" spans="1:14" x14ac:dyDescent="0.25">
      <c r="A23" s="424" t="s">
        <v>318</v>
      </c>
      <c r="B23" s="224">
        <v>2</v>
      </c>
      <c r="C23" s="254" t="s">
        <v>36</v>
      </c>
      <c r="D23" s="254" t="s">
        <v>345</v>
      </c>
      <c r="E23" s="225">
        <v>0.29166666666666669</v>
      </c>
      <c r="F23" s="225">
        <v>0.66666666666666663</v>
      </c>
      <c r="G23" s="225">
        <v>0.33333333333333331</v>
      </c>
      <c r="H23" s="448">
        <f t="shared" si="4"/>
        <v>0.37499999999999994</v>
      </c>
      <c r="J23" s="222">
        <v>8</v>
      </c>
      <c r="L23" s="430">
        <f>L21/L22</f>
        <v>1</v>
      </c>
      <c r="M23" s="249">
        <f>'7.Roteiros'!Q45</f>
        <v>98.065409999999986</v>
      </c>
      <c r="N23" s="249">
        <f t="shared" si="6"/>
        <v>12.258176249999998</v>
      </c>
    </row>
    <row r="24" spans="1:14" x14ac:dyDescent="0.25">
      <c r="A24" s="425"/>
      <c r="B24" s="426"/>
      <c r="C24" s="427"/>
      <c r="D24" s="427"/>
      <c r="E24" s="428"/>
      <c r="F24" s="428"/>
      <c r="G24" s="428"/>
      <c r="M24" s="429"/>
      <c r="N24" s="429"/>
    </row>
    <row r="25" spans="1:14" x14ac:dyDescent="0.25">
      <c r="A25" s="221" t="s">
        <v>422</v>
      </c>
      <c r="B25" s="221"/>
      <c r="M25" s="429"/>
      <c r="N25" s="429"/>
    </row>
    <row r="26" spans="1:14" ht="30" x14ac:dyDescent="0.25">
      <c r="A26" s="423" t="s">
        <v>277</v>
      </c>
      <c r="B26" s="223" t="s">
        <v>205</v>
      </c>
      <c r="C26" s="223" t="s">
        <v>206</v>
      </c>
      <c r="D26" s="223" t="s">
        <v>219</v>
      </c>
      <c r="E26" s="223" t="s">
        <v>207</v>
      </c>
      <c r="F26" s="223" t="s">
        <v>208</v>
      </c>
      <c r="G26" s="254" t="s">
        <v>209</v>
      </c>
      <c r="M26" s="436" t="s">
        <v>442</v>
      </c>
      <c r="N26" s="437" t="s">
        <v>443</v>
      </c>
    </row>
    <row r="27" spans="1:14" x14ac:dyDescent="0.25">
      <c r="A27" s="424" t="s">
        <v>310</v>
      </c>
      <c r="B27" s="224">
        <v>2</v>
      </c>
      <c r="C27" s="254" t="s">
        <v>210</v>
      </c>
      <c r="D27" s="254" t="s">
        <v>317</v>
      </c>
      <c r="E27" s="225">
        <v>0.29166666666666669</v>
      </c>
      <c r="F27" s="225">
        <v>0.60416666666666663</v>
      </c>
      <c r="G27" s="225">
        <v>0.27083333333333331</v>
      </c>
      <c r="H27" s="448">
        <f t="shared" ref="H27:H32" si="7">F27-E27</f>
        <v>0.31249999999999994</v>
      </c>
      <c r="I27" s="222">
        <v>13</v>
      </c>
      <c r="K27" s="222">
        <f>SUM(I27:I29)</f>
        <v>34.5</v>
      </c>
      <c r="M27" s="249">
        <f>'7.Roteiros'!Q15*2</f>
        <v>97.169259999999994</v>
      </c>
      <c r="N27" s="249">
        <f t="shared" ref="N27:N29" si="8">M27/I27</f>
        <v>7.4745584615384608</v>
      </c>
    </row>
    <row r="28" spans="1:14" x14ac:dyDescent="0.25">
      <c r="A28" s="424" t="s">
        <v>313</v>
      </c>
      <c r="B28" s="224">
        <v>2</v>
      </c>
      <c r="C28" s="254" t="s">
        <v>64</v>
      </c>
      <c r="D28" s="254" t="s">
        <v>298</v>
      </c>
      <c r="E28" s="225">
        <v>0.29166666666666669</v>
      </c>
      <c r="F28" s="225">
        <v>0.625</v>
      </c>
      <c r="G28" s="225">
        <v>0.29166666666666669</v>
      </c>
      <c r="H28" s="448">
        <f t="shared" si="7"/>
        <v>0.33333333333333331</v>
      </c>
      <c r="I28" s="222">
        <v>14</v>
      </c>
      <c r="K28" s="222">
        <v>44</v>
      </c>
      <c r="L28" s="430">
        <f>K27/K28</f>
        <v>0.78409090909090906</v>
      </c>
      <c r="M28" s="249">
        <f>'7.Roteiros'!Q24*2</f>
        <v>130.52395999999999</v>
      </c>
      <c r="N28" s="249">
        <f t="shared" si="8"/>
        <v>9.3231399999999987</v>
      </c>
    </row>
    <row r="29" spans="1:14" ht="30" x14ac:dyDescent="0.25">
      <c r="A29" s="431" t="s">
        <v>441</v>
      </c>
      <c r="B29" s="224">
        <v>2</v>
      </c>
      <c r="C29" s="254" t="s">
        <v>210</v>
      </c>
      <c r="D29" s="254" t="s">
        <v>256</v>
      </c>
      <c r="E29" s="225">
        <v>0.29166666666666669</v>
      </c>
      <c r="F29" s="225">
        <v>0.64583333333333337</v>
      </c>
      <c r="G29" s="225">
        <v>0.3125</v>
      </c>
      <c r="H29" s="448">
        <f t="shared" si="7"/>
        <v>0.35416666666666669</v>
      </c>
      <c r="I29" s="222">
        <v>7.5</v>
      </c>
      <c r="M29" s="249">
        <f>('7.Roteiros'!Q51+'7.Roteiros'!Q60+'7.Roteiros'!Q50+'7.Roteiros'!Q59+'7.Roteiros'!Q68+'7.Roteiros'!Q69+'7.Roteiros'!Q77+'7.Roteiros'!Q78)/4</f>
        <v>42.212657499999999</v>
      </c>
      <c r="N29" s="249">
        <f t="shared" si="8"/>
        <v>5.6283543333333332</v>
      </c>
    </row>
    <row r="30" spans="1:14" ht="18.75" customHeight="1" x14ac:dyDescent="0.25">
      <c r="A30" s="424" t="s">
        <v>310</v>
      </c>
      <c r="B30" s="224">
        <v>2</v>
      </c>
      <c r="C30" s="254" t="s">
        <v>36</v>
      </c>
      <c r="D30" s="254" t="s">
        <v>317</v>
      </c>
      <c r="E30" s="225">
        <v>0.29166666666666669</v>
      </c>
      <c r="F30" s="225">
        <v>0.6875</v>
      </c>
      <c r="G30" s="225">
        <v>0.35416666666666669</v>
      </c>
      <c r="H30" s="448">
        <f t="shared" si="7"/>
        <v>0.39583333333333331</v>
      </c>
      <c r="J30" s="222">
        <v>17</v>
      </c>
      <c r="L30" s="222">
        <f>SUM(J30:J32)</f>
        <v>43.6</v>
      </c>
      <c r="M30" s="249">
        <f>'7.Roteiros'!Q18*2</f>
        <v>231.16926000000001</v>
      </c>
      <c r="N30" s="249">
        <f>M30/J30</f>
        <v>13.598191764705883</v>
      </c>
    </row>
    <row r="31" spans="1:14" ht="21" customHeight="1" x14ac:dyDescent="0.25">
      <c r="A31" s="424" t="s">
        <v>313</v>
      </c>
      <c r="B31" s="224">
        <v>2</v>
      </c>
      <c r="C31" s="254" t="s">
        <v>36</v>
      </c>
      <c r="D31" s="254" t="s">
        <v>298</v>
      </c>
      <c r="E31" s="225">
        <v>0.29166666666666669</v>
      </c>
      <c r="F31" s="225">
        <v>0.70000000000000007</v>
      </c>
      <c r="G31" s="225">
        <v>0.3666666666666667</v>
      </c>
      <c r="H31" s="448">
        <f t="shared" si="7"/>
        <v>0.40833333333333338</v>
      </c>
      <c r="J31" s="222">
        <f>8.8*2</f>
        <v>17.600000000000001</v>
      </c>
      <c r="L31" s="222">
        <v>44</v>
      </c>
      <c r="M31" s="249">
        <f>'7.Roteiros'!Q27*2</f>
        <v>273.12396000000001</v>
      </c>
      <c r="N31" s="249">
        <f t="shared" ref="N31:N32" si="9">M31/J31</f>
        <v>15.518406818181818</v>
      </c>
    </row>
    <row r="32" spans="1:14" ht="30" x14ac:dyDescent="0.25">
      <c r="A32" s="431" t="s">
        <v>441</v>
      </c>
      <c r="B32" s="224">
        <v>2</v>
      </c>
      <c r="C32" s="254" t="s">
        <v>36</v>
      </c>
      <c r="D32" s="254" t="s">
        <v>256</v>
      </c>
      <c r="E32" s="225">
        <v>0.29166666666666669</v>
      </c>
      <c r="F32" s="225">
        <v>0.70833333333333337</v>
      </c>
      <c r="G32" s="225">
        <v>0.375</v>
      </c>
      <c r="H32" s="448">
        <f t="shared" si="7"/>
        <v>0.41666666666666669</v>
      </c>
      <c r="J32" s="222">
        <v>9</v>
      </c>
      <c r="L32" s="430">
        <f>L30/L31</f>
        <v>0.99090909090909096</v>
      </c>
      <c r="M32" s="249">
        <f>('7.Roteiros'!Q54+'7.Roteiros'!Q63+'7.Roteiros'!Q72+'7.Roteiros'!Q81)/4</f>
        <v>109.1126575</v>
      </c>
      <c r="N32" s="249">
        <f t="shared" si="9"/>
        <v>12.12362861111111</v>
      </c>
    </row>
    <row r="33" spans="1:14" x14ac:dyDescent="0.25">
      <c r="M33" s="429"/>
      <c r="N33" s="429"/>
    </row>
    <row r="34" spans="1:14" x14ac:dyDescent="0.25">
      <c r="M34" s="429"/>
      <c r="N34" s="429"/>
    </row>
    <row r="35" spans="1:14" x14ac:dyDescent="0.25">
      <c r="M35" s="429"/>
      <c r="N35" s="429"/>
    </row>
    <row r="36" spans="1:14" x14ac:dyDescent="0.25">
      <c r="A36" s="221" t="s">
        <v>467</v>
      </c>
      <c r="I36" s="222">
        <f>SUM(I7:I32)</f>
        <v>158</v>
      </c>
      <c r="J36" s="222">
        <f>SUM(J7:J32)</f>
        <v>176.1</v>
      </c>
      <c r="M36" s="429"/>
      <c r="N36" s="429"/>
    </row>
    <row r="37" spans="1:14" x14ac:dyDescent="0.25">
      <c r="A37" s="227" t="s">
        <v>211</v>
      </c>
      <c r="B37" s="228"/>
      <c r="C37" s="228"/>
      <c r="D37" s="228"/>
      <c r="E37" s="228"/>
      <c r="F37" s="226">
        <v>6.5830000000000002</v>
      </c>
      <c r="I37" s="222">
        <v>4</v>
      </c>
      <c r="J37" s="222">
        <v>4</v>
      </c>
      <c r="M37" s="429">
        <f>M7+M8+M9+M13+M14+M18+M19+M20+M27+M28+M29</f>
        <v>1194.0110674999999</v>
      </c>
      <c r="N37" s="429">
        <f>N7+N8+N9+N13+N14+N18+N19+N20+N27+N28+N29</f>
        <v>80.834109534014999</v>
      </c>
    </row>
    <row r="38" spans="1:14" x14ac:dyDescent="0.25">
      <c r="A38" s="239" t="s">
        <v>224</v>
      </c>
      <c r="B38" s="228"/>
      <c r="C38" s="228"/>
      <c r="D38" s="228"/>
      <c r="E38" s="228"/>
      <c r="F38" s="226">
        <v>6</v>
      </c>
      <c r="I38" s="222">
        <f>I36/I37</f>
        <v>39.5</v>
      </c>
      <c r="J38" s="434">
        <f>J36/J37</f>
        <v>44.024999999999999</v>
      </c>
      <c r="M38" s="429">
        <f>I38*4</f>
        <v>158</v>
      </c>
      <c r="N38" s="429"/>
    </row>
    <row r="39" spans="1:14" x14ac:dyDescent="0.25">
      <c r="A39" s="227" t="s">
        <v>212</v>
      </c>
      <c r="B39" s="228"/>
      <c r="C39" s="228"/>
      <c r="D39" s="228"/>
      <c r="E39" s="228"/>
      <c r="F39" s="226">
        <f>F37*F38</f>
        <v>39.498000000000005</v>
      </c>
      <c r="I39" s="222">
        <v>44</v>
      </c>
      <c r="J39" s="222">
        <v>44</v>
      </c>
      <c r="M39" s="429">
        <f>M37/M38</f>
        <v>7.5570320727848088</v>
      </c>
      <c r="N39" s="446" t="s">
        <v>455</v>
      </c>
    </row>
    <row r="40" spans="1:14" x14ac:dyDescent="0.25">
      <c r="A40" s="227" t="s">
        <v>213</v>
      </c>
      <c r="B40" s="228"/>
      <c r="C40" s="228"/>
      <c r="D40" s="228"/>
      <c r="E40" s="228"/>
      <c r="F40" s="226">
        <v>6</v>
      </c>
      <c r="I40" s="433">
        <f>I38/I39</f>
        <v>0.89772727272727271</v>
      </c>
      <c r="J40" s="434">
        <f>J38/J39</f>
        <v>1.0005681818181817</v>
      </c>
      <c r="M40" s="429"/>
      <c r="N40" s="429"/>
    </row>
    <row r="41" spans="1:14" x14ac:dyDescent="0.25">
      <c r="A41" s="227" t="s">
        <v>214</v>
      </c>
      <c r="B41" s="228"/>
      <c r="C41" s="228"/>
      <c r="D41" s="228"/>
      <c r="E41" s="228"/>
      <c r="F41" s="226">
        <v>7</v>
      </c>
      <c r="M41" s="429"/>
      <c r="N41" s="429"/>
    </row>
    <row r="42" spans="1:14" x14ac:dyDescent="0.25">
      <c r="A42" s="227" t="s">
        <v>215</v>
      </c>
      <c r="B42" s="228"/>
      <c r="C42" s="228"/>
      <c r="D42" s="228"/>
      <c r="E42" s="228"/>
      <c r="F42" s="279">
        <f>F39/F40</f>
        <v>6.5830000000000011</v>
      </c>
      <c r="I42" s="222">
        <f>I38/6</f>
        <v>6.583333333333333</v>
      </c>
      <c r="J42" s="432">
        <f>J38/6</f>
        <v>7.3374999999999995</v>
      </c>
      <c r="M42" s="429"/>
      <c r="N42" s="429"/>
    </row>
    <row r="43" spans="1:14" x14ac:dyDescent="0.25">
      <c r="A43" s="227" t="s">
        <v>216</v>
      </c>
      <c r="B43" s="228"/>
      <c r="C43" s="228"/>
      <c r="D43" s="228"/>
      <c r="E43" s="228"/>
      <c r="F43" s="226">
        <v>30</v>
      </c>
      <c r="M43" s="429"/>
      <c r="N43" s="429"/>
    </row>
    <row r="44" spans="1:14" x14ac:dyDescent="0.25">
      <c r="A44" s="229" t="s">
        <v>217</v>
      </c>
      <c r="B44" s="230"/>
      <c r="C44" s="230"/>
      <c r="D44" s="230"/>
      <c r="E44" s="230"/>
      <c r="F44" s="223">
        <f>F42*F43</f>
        <v>197.49000000000004</v>
      </c>
      <c r="M44" s="429"/>
      <c r="N44" s="429"/>
    </row>
    <row r="45" spans="1:14" x14ac:dyDescent="0.25">
      <c r="A45" s="229" t="s">
        <v>246</v>
      </c>
      <c r="B45" s="230"/>
      <c r="C45" s="230"/>
      <c r="D45" s="230"/>
      <c r="E45" s="230"/>
      <c r="F45" s="223">
        <v>220</v>
      </c>
      <c r="M45" s="429"/>
      <c r="N45" s="429"/>
    </row>
    <row r="46" spans="1:14" x14ac:dyDescent="0.25">
      <c r="A46" s="229" t="s">
        <v>247</v>
      </c>
      <c r="B46" s="230"/>
      <c r="C46" s="230"/>
      <c r="D46" s="230"/>
      <c r="E46" s="230"/>
      <c r="F46" s="240">
        <f>F44/F45</f>
        <v>0.89768181818181836</v>
      </c>
      <c r="M46" s="429"/>
      <c r="N46" s="429"/>
    </row>
    <row r="47" spans="1:14" x14ac:dyDescent="0.25">
      <c r="M47" s="429"/>
      <c r="N47" s="429"/>
    </row>
    <row r="48" spans="1:14" x14ac:dyDescent="0.25">
      <c r="A48" s="221" t="s">
        <v>468</v>
      </c>
      <c r="M48" s="429"/>
      <c r="N48" s="429"/>
    </row>
    <row r="49" spans="1:14" x14ac:dyDescent="0.25">
      <c r="A49" s="227" t="s">
        <v>218</v>
      </c>
      <c r="B49" s="228"/>
      <c r="C49" s="228"/>
      <c r="D49" s="228"/>
      <c r="E49" s="228"/>
      <c r="F49" s="435">
        <v>7.3334000000000001</v>
      </c>
      <c r="M49" s="429"/>
      <c r="N49" s="429"/>
    </row>
    <row r="50" spans="1:14" x14ac:dyDescent="0.25">
      <c r="A50" s="239" t="s">
        <v>224</v>
      </c>
      <c r="B50" s="228"/>
      <c r="C50" s="228"/>
      <c r="D50" s="228"/>
      <c r="E50" s="228"/>
      <c r="F50" s="226">
        <v>6</v>
      </c>
      <c r="M50" s="429"/>
      <c r="N50" s="429"/>
    </row>
    <row r="51" spans="1:14" x14ac:dyDescent="0.25">
      <c r="A51" s="227" t="s">
        <v>212</v>
      </c>
      <c r="B51" s="228"/>
      <c r="C51" s="228"/>
      <c r="D51" s="228"/>
      <c r="E51" s="228"/>
      <c r="F51" s="249">
        <f>F49*F50</f>
        <v>44.000399999999999</v>
      </c>
      <c r="M51" s="429"/>
      <c r="N51" s="429"/>
    </row>
    <row r="52" spans="1:14" x14ac:dyDescent="0.25">
      <c r="A52" s="227" t="s">
        <v>213</v>
      </c>
      <c r="B52" s="228"/>
      <c r="C52" s="228"/>
      <c r="D52" s="228"/>
      <c r="E52" s="228"/>
      <c r="F52" s="226">
        <v>6</v>
      </c>
      <c r="M52" s="429"/>
      <c r="N52" s="429"/>
    </row>
    <row r="53" spans="1:14" x14ac:dyDescent="0.25">
      <c r="A53" s="227" t="s">
        <v>214</v>
      </c>
      <c r="B53" s="228"/>
      <c r="C53" s="228"/>
      <c r="D53" s="228"/>
      <c r="E53" s="228"/>
      <c r="F53" s="226">
        <v>7</v>
      </c>
      <c r="M53" s="429"/>
      <c r="N53" s="429"/>
    </row>
    <row r="54" spans="1:14" x14ac:dyDescent="0.25">
      <c r="A54" s="227" t="s">
        <v>215</v>
      </c>
      <c r="B54" s="228"/>
      <c r="C54" s="228"/>
      <c r="D54" s="228"/>
      <c r="E54" s="228"/>
      <c r="F54" s="249">
        <f>F51/F52</f>
        <v>7.3334000000000001</v>
      </c>
      <c r="M54" s="429"/>
      <c r="N54" s="429"/>
    </row>
    <row r="55" spans="1:14" x14ac:dyDescent="0.25">
      <c r="A55" s="227" t="s">
        <v>216</v>
      </c>
      <c r="B55" s="228"/>
      <c r="C55" s="228"/>
      <c r="D55" s="228"/>
      <c r="E55" s="228"/>
      <c r="F55" s="226">
        <v>30</v>
      </c>
      <c r="M55" s="429"/>
      <c r="N55" s="429"/>
    </row>
    <row r="56" spans="1:14" x14ac:dyDescent="0.25">
      <c r="A56" s="229" t="s">
        <v>217</v>
      </c>
      <c r="B56" s="230"/>
      <c r="C56" s="230"/>
      <c r="D56" s="230"/>
      <c r="E56" s="230"/>
      <c r="F56" s="280">
        <f>F54*F55</f>
        <v>220.00200000000001</v>
      </c>
      <c r="M56" s="429"/>
      <c r="N56" s="429"/>
    </row>
    <row r="57" spans="1:14" x14ac:dyDescent="0.25">
      <c r="A57" s="229" t="s">
        <v>246</v>
      </c>
      <c r="B57" s="230"/>
      <c r="C57" s="230"/>
      <c r="D57" s="230"/>
      <c r="E57" s="230"/>
      <c r="F57" s="280">
        <v>220</v>
      </c>
      <c r="M57" s="429"/>
      <c r="N57" s="429"/>
    </row>
    <row r="58" spans="1:14" x14ac:dyDescent="0.25">
      <c r="A58" s="229" t="s">
        <v>247</v>
      </c>
      <c r="B58" s="230"/>
      <c r="C58" s="230"/>
      <c r="D58" s="230"/>
      <c r="E58" s="230"/>
      <c r="F58" s="240">
        <f>F56/F57</f>
        <v>1.0000090909090908</v>
      </c>
      <c r="M58" s="429"/>
      <c r="N58" s="429"/>
    </row>
  </sheetData>
  <pageMargins left="0.51181102362204722" right="0.51181102362204722" top="0.78740157480314965" bottom="0.78740157480314965" header="0.31496062992125984" footer="0.31496062992125984"/>
  <pageSetup paperSize="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7</vt:i4>
      </vt:variant>
    </vt:vector>
  </HeadingPairs>
  <TitlesOfParts>
    <vt:vector size="16" baseType="lpstr">
      <vt:lpstr>Resumo</vt:lpstr>
      <vt:lpstr>1. Coleta Orgânica e Seletiva</vt:lpstr>
      <vt:lpstr>2 Área de Transbordo</vt:lpstr>
      <vt:lpstr>3. Contentores</vt:lpstr>
      <vt:lpstr>4.Encargos Sociais</vt:lpstr>
      <vt:lpstr>5.BDI</vt:lpstr>
      <vt:lpstr>6. Depreciação</vt:lpstr>
      <vt:lpstr>7.Roteiros</vt:lpstr>
      <vt:lpstr>8.Horários</vt:lpstr>
      <vt:lpstr>AbaDeprec</vt:lpstr>
      <vt:lpstr>'1. Coleta Orgânica e Seletiva'!Area_de_impressao</vt:lpstr>
      <vt:lpstr>'2 Área de Transbordo'!Area_de_impressao</vt:lpstr>
      <vt:lpstr>'3. Contentores'!Area_de_impressao</vt:lpstr>
      <vt:lpstr>'4.Encargos Sociais'!Area_de_impressao</vt:lpstr>
      <vt:lpstr>'1. Coleta Orgânica e Seletiva'!Titulos_de_impressao</vt:lpstr>
      <vt:lpstr>'2 Área de Transbordo'!Titulos_de_impressao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Jurídico 01</cp:lastModifiedBy>
  <cp:lastPrinted>2025-03-31T11:04:50Z</cp:lastPrinted>
  <dcterms:created xsi:type="dcterms:W3CDTF">2000-12-13T10:02:50Z</dcterms:created>
  <dcterms:modified xsi:type="dcterms:W3CDTF">2025-04-01T16:43:08Z</dcterms:modified>
</cp:coreProperties>
</file>