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M:\DADOS REDE\PREGÃO ELETRÔNICO\2025\074 vigilância não armada - RP (prot 3763)\"/>
    </mc:Choice>
  </mc:AlternateContent>
  <xr:revisionPtr revIDLastSave="0" documentId="8_{1E1A715F-90F0-4BCC-87E3-C84AF28F7A47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Resumo " sheetId="5" r:id="rId1"/>
    <sheet name="1. Vigilante  Noturno" sheetId="1" r:id="rId2"/>
    <sheet name="2. Vigilante Diurno" sheetId="4" r:id="rId3"/>
    <sheet name="3. Vigilante Diurno " sheetId="6" r:id="rId4"/>
    <sheet name="4. Vigilante  Noturno " sheetId="7" r:id="rId5"/>
    <sheet name="5.Encargos Sociais" sheetId="2" r:id="rId6"/>
    <sheet name="6.BDI" sheetId="3" r:id="rId7"/>
  </sheets>
  <definedNames>
    <definedName name="_____LO25" localSheetId="3">#REF!</definedName>
    <definedName name="_____LO25" localSheetId="4">#REF!</definedName>
    <definedName name="_____LO25">#REF!</definedName>
    <definedName name="____LO25" localSheetId="3">#REF!</definedName>
    <definedName name="____LO25" localSheetId="4">#REF!</definedName>
    <definedName name="____LO25">#REF!</definedName>
    <definedName name="___LO25" localSheetId="3">#REF!</definedName>
    <definedName name="___LO25" localSheetId="4">#REF!</definedName>
    <definedName name="___LO25">#REF!</definedName>
    <definedName name="__LO25" localSheetId="3">#REF!</definedName>
    <definedName name="__LO25" localSheetId="4">#REF!</definedName>
    <definedName name="__LO25">#REF!</definedName>
    <definedName name="__xlfn_IFERROR">#N/A</definedName>
    <definedName name="_LO25" localSheetId="3">#REF!</definedName>
    <definedName name="_LO25" localSheetId="4">#REF!</definedName>
    <definedName name="_LO25">#REF!</definedName>
    <definedName name="AbaDeprec" localSheetId="2">#REF!</definedName>
    <definedName name="AbaDeprec" localSheetId="3">#REF!</definedName>
    <definedName name="AbaDeprec" localSheetId="4">#REF!</definedName>
    <definedName name="AbaDeprec" localSheetId="0">#REF!</definedName>
    <definedName name="AbaDeprec">#REF!</definedName>
    <definedName name="AbaRemun" localSheetId="2">#REF!</definedName>
    <definedName name="AbaRemun" localSheetId="3">#REF!</definedName>
    <definedName name="AbaRemun" localSheetId="4">#REF!</definedName>
    <definedName name="AbaRemun" localSheetId="0">#REF!</definedName>
    <definedName name="AbaRemun">#REF!</definedName>
    <definedName name="_xlnm.Print_Area" localSheetId="1">'1. Vigilante  Noturno'!$A$1:$F$120</definedName>
    <definedName name="_xlnm.Print_Area" localSheetId="2">'2. Vigilante Diurno'!$A$1:$F$119</definedName>
    <definedName name="_xlnm.Print_Area" localSheetId="3">'3. Vigilante Diurno '!$A$1:$F$120</definedName>
    <definedName name="_xlnm.Print_Area" localSheetId="4">'4. Vigilante  Noturno '!$A$1:$F$121</definedName>
    <definedName name="_xlnm.Print_Area" localSheetId="5">'5.Encargos Sociais'!$A$1:$C$36</definedName>
    <definedName name="_xlnm.Print_Area" localSheetId="0">'Resumo '!$A$1:$H$20</definedName>
    <definedName name="Print_Titles_0" localSheetId="1">'1. Vigilante  Noturno'!$1:$1</definedName>
    <definedName name="Print_Titles_0" localSheetId="2">'2. Vigilante Diurno'!$1:$1</definedName>
    <definedName name="Print_Titles_0" localSheetId="3">'3. Vigilante Diurno '!$1:$1</definedName>
    <definedName name="Print_Titles_0" localSheetId="4">'4. Vigilante  Noturno '!$1:$1</definedName>
    <definedName name="Print_Titles_0_0" localSheetId="1">'1. Vigilante  Noturno'!$1:$1</definedName>
    <definedName name="Print_Titles_0_0" localSheetId="2">'2. Vigilante Diurno'!$1:$1</definedName>
    <definedName name="Print_Titles_0_0" localSheetId="3">'3. Vigilante Diurno '!$1:$1</definedName>
    <definedName name="Print_Titles_0_0" localSheetId="4">'4. Vigilante  Noturno '!$1:$1</definedName>
    <definedName name="sesi" localSheetId="3">#REF!</definedName>
    <definedName name="sesi" localSheetId="4">#REF!</definedName>
    <definedName name="sesi" localSheetId="0">#REF!</definedName>
    <definedName name="sesi">#REF!</definedName>
    <definedName name="_xlnm.Print_Titles" localSheetId="1">'1. Vigilante  Noturno'!$1:$1</definedName>
    <definedName name="_xlnm.Print_Titles" localSheetId="2">'2. Vigilante Diurno'!$1:$1</definedName>
    <definedName name="_xlnm.Print_Titles" localSheetId="3">'3. Vigilante Diurno '!$1:$1</definedName>
    <definedName name="_xlnm.Print_Titles" localSheetId="4">'4. Vigilante  Noturno '!$1:$1</definedName>
  </definedNames>
  <calcPr calcId="191029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E103" i="7" l="1"/>
  <c r="C102" i="7"/>
  <c r="E102" i="7" s="1"/>
  <c r="E101" i="7"/>
  <c r="E100" i="7"/>
  <c r="E89" i="7"/>
  <c r="D63" i="7"/>
  <c r="D62" i="7"/>
  <c r="E102" i="6"/>
  <c r="E101" i="6"/>
  <c r="E100" i="6"/>
  <c r="D63" i="6"/>
  <c r="D62" i="6"/>
  <c r="C101" i="4"/>
  <c r="E101" i="4" s="1"/>
  <c r="E100" i="4"/>
  <c r="E99" i="4"/>
  <c r="C102" i="1"/>
  <c r="E102" i="1" s="1"/>
  <c r="E100" i="1"/>
  <c r="E99" i="1"/>
  <c r="E88" i="4"/>
  <c r="E89" i="6"/>
  <c r="E88" i="1"/>
  <c r="C101" i="1"/>
  <c r="E101" i="1" s="1"/>
  <c r="C93" i="7" l="1"/>
  <c r="C93" i="6"/>
  <c r="C92" i="4"/>
  <c r="D62" i="4" l="1"/>
  <c r="D61" i="4"/>
  <c r="D62" i="1"/>
  <c r="D61" i="1"/>
  <c r="D40" i="6"/>
  <c r="D43" i="6" s="1"/>
  <c r="E43" i="6" s="1"/>
  <c r="K12" i="5" l="1"/>
  <c r="D40" i="4"/>
  <c r="J13" i="5"/>
  <c r="C104" i="7" l="1"/>
  <c r="C102" i="4"/>
  <c r="C103" i="1"/>
  <c r="E58" i="7"/>
  <c r="E104" i="7"/>
  <c r="E94" i="7"/>
  <c r="E92" i="7"/>
  <c r="E91" i="7"/>
  <c r="E90" i="7"/>
  <c r="E88" i="7"/>
  <c r="E75" i="7"/>
  <c r="F76" i="7" s="1"/>
  <c r="E13" i="7" s="1"/>
  <c r="C70" i="7"/>
  <c r="E63" i="7"/>
  <c r="E53" i="7"/>
  <c r="E54" i="7" s="1"/>
  <c r="E49" i="7"/>
  <c r="C48" i="7"/>
  <c r="C62" i="7" s="1"/>
  <c r="C44" i="7"/>
  <c r="D40" i="7"/>
  <c r="A27" i="7"/>
  <c r="E25" i="7"/>
  <c r="A17" i="7"/>
  <c r="A16" i="7"/>
  <c r="A15" i="7"/>
  <c r="A14" i="7"/>
  <c r="A13" i="7"/>
  <c r="A12" i="7"/>
  <c r="A11" i="7"/>
  <c r="A10" i="7"/>
  <c r="A9" i="7"/>
  <c r="A8" i="7"/>
  <c r="E58" i="6"/>
  <c r="C103" i="6"/>
  <c r="E103" i="6" s="1"/>
  <c r="F104" i="6" s="1"/>
  <c r="C48" i="6"/>
  <c r="E94" i="6"/>
  <c r="E92" i="6"/>
  <c r="E91" i="6"/>
  <c r="E90" i="6"/>
  <c r="E88" i="6"/>
  <c r="E75" i="6"/>
  <c r="F76" i="6" s="1"/>
  <c r="E13" i="6" s="1"/>
  <c r="C70" i="6"/>
  <c r="E63" i="6"/>
  <c r="E53" i="6"/>
  <c r="E54" i="6" s="1"/>
  <c r="E49" i="6"/>
  <c r="E40" i="6"/>
  <c r="A27" i="6"/>
  <c r="A17" i="6"/>
  <c r="A16" i="6"/>
  <c r="A15" i="6"/>
  <c r="A14" i="6"/>
  <c r="A13" i="6"/>
  <c r="A12" i="6"/>
  <c r="A11" i="6"/>
  <c r="A10" i="6"/>
  <c r="A9" i="6"/>
  <c r="A8" i="6"/>
  <c r="C62" i="6" l="1"/>
  <c r="E62" i="6" s="1"/>
  <c r="F64" i="6" s="1"/>
  <c r="E11" i="6" s="1"/>
  <c r="E40" i="7"/>
  <c r="D43" i="7"/>
  <c r="E43" i="7" s="1"/>
  <c r="F105" i="7"/>
  <c r="E16" i="7" s="1"/>
  <c r="D93" i="6"/>
  <c r="D93" i="7"/>
  <c r="E93" i="7" s="1"/>
  <c r="F94" i="7" s="1"/>
  <c r="D70" i="6"/>
  <c r="E70" i="6" s="1"/>
  <c r="F71" i="6" s="1"/>
  <c r="E12" i="6" s="1"/>
  <c r="D41" i="6"/>
  <c r="E41" i="6" s="1"/>
  <c r="E42" i="6"/>
  <c r="D44" i="6"/>
  <c r="E44" i="6" s="1"/>
  <c r="E42" i="7"/>
  <c r="E62" i="7"/>
  <c r="F64" i="7" s="1"/>
  <c r="D55" i="7"/>
  <c r="E16" i="6"/>
  <c r="D55" i="6"/>
  <c r="E93" i="6"/>
  <c r="F94" i="6" s="1"/>
  <c r="E57" i="4"/>
  <c r="D41" i="7" l="1"/>
  <c r="E41" i="7" s="1"/>
  <c r="D44" i="7"/>
  <c r="E44" i="7" s="1"/>
  <c r="D70" i="7"/>
  <c r="E70" i="7" s="1"/>
  <c r="F71" i="7" s="1"/>
  <c r="E12" i="7" s="1"/>
  <c r="E45" i="6"/>
  <c r="D46" i="6" s="1"/>
  <c r="E45" i="7"/>
  <c r="D46" i="7" s="1"/>
  <c r="F96" i="7"/>
  <c r="E14" i="7" s="1"/>
  <c r="E15" i="7"/>
  <c r="E11" i="7"/>
  <c r="E15" i="6"/>
  <c r="F96" i="6"/>
  <c r="E14" i="6" s="1"/>
  <c r="E57" i="1"/>
  <c r="D40" i="1"/>
  <c r="D113" i="4" l="1"/>
  <c r="D9" i="5" s="1"/>
  <c r="D114" i="1"/>
  <c r="D8" i="5" s="1"/>
  <c r="E25" i="1" l="1"/>
  <c r="C43" i="1" s="1"/>
  <c r="E102" i="4" l="1"/>
  <c r="F103" i="4" s="1"/>
  <c r="E93" i="4"/>
  <c r="E91" i="4"/>
  <c r="E90" i="4"/>
  <c r="E89" i="4"/>
  <c r="E87" i="4"/>
  <c r="C69" i="4"/>
  <c r="E62" i="4"/>
  <c r="E52" i="4"/>
  <c r="E53" i="4" s="1"/>
  <c r="D54" i="4" s="1"/>
  <c r="E48" i="4"/>
  <c r="C47" i="4"/>
  <c r="E40" i="4"/>
  <c r="A27" i="4"/>
  <c r="A17" i="4"/>
  <c r="A16" i="4"/>
  <c r="A15" i="4"/>
  <c r="A14" i="4"/>
  <c r="A13" i="4"/>
  <c r="A12" i="4"/>
  <c r="A11" i="4"/>
  <c r="A10" i="4"/>
  <c r="A9" i="4"/>
  <c r="A8" i="4"/>
  <c r="C47" i="1"/>
  <c r="E42" i="4" l="1"/>
  <c r="D41" i="4"/>
  <c r="E41" i="4" s="1"/>
  <c r="D69" i="4"/>
  <c r="C61" i="4"/>
  <c r="E61" i="4" s="1"/>
  <c r="F63" i="4" s="1"/>
  <c r="E11" i="4" s="1"/>
  <c r="C9" i="5"/>
  <c r="D92" i="4"/>
  <c r="E92" i="4" s="1"/>
  <c r="F93" i="4" s="1"/>
  <c r="C92" i="1"/>
  <c r="C8" i="5"/>
  <c r="C61" i="1"/>
  <c r="E16" i="4"/>
  <c r="E69" i="4"/>
  <c r="E74" i="4"/>
  <c r="F75" i="4" s="1"/>
  <c r="E13" i="4" s="1"/>
  <c r="D43" i="4"/>
  <c r="E43" i="4" s="1"/>
  <c r="E44" i="4" l="1"/>
  <c r="D45" i="4" s="1"/>
  <c r="F70" i="4"/>
  <c r="E12" i="4" s="1"/>
  <c r="E15" i="4"/>
  <c r="F95" i="4"/>
  <c r="E14" i="4" s="1"/>
  <c r="E62" i="1"/>
  <c r="C69" i="1"/>
  <c r="A16" i="1" l="1"/>
  <c r="E103" i="1"/>
  <c r="F104" i="1" s="1"/>
  <c r="E16" i="1" l="1"/>
  <c r="A9" i="1"/>
  <c r="E48" i="1" l="1"/>
  <c r="E40" i="1"/>
  <c r="D43" i="1" s="1"/>
  <c r="C13" i="3"/>
  <c r="C18" i="3" s="1"/>
  <c r="E11" i="3"/>
  <c r="C29" i="2"/>
  <c r="C22" i="2"/>
  <c r="C14" i="2"/>
  <c r="C32" i="2" s="1"/>
  <c r="E93" i="1"/>
  <c r="E91" i="1"/>
  <c r="E90" i="1"/>
  <c r="E89" i="1"/>
  <c r="E87" i="1"/>
  <c r="E74" i="1"/>
  <c r="F75" i="1" s="1"/>
  <c r="E13" i="1" s="1"/>
  <c r="E52" i="1"/>
  <c r="E53" i="1" s="1"/>
  <c r="A27" i="1"/>
  <c r="A17" i="1"/>
  <c r="A15" i="1"/>
  <c r="A14" i="1"/>
  <c r="A13" i="1"/>
  <c r="A12" i="1"/>
  <c r="A11" i="1"/>
  <c r="A10" i="1"/>
  <c r="A8" i="1"/>
  <c r="C108" i="6" l="1"/>
  <c r="C109" i="7"/>
  <c r="D41" i="1"/>
  <c r="E41" i="1" s="1"/>
  <c r="D69" i="1"/>
  <c r="C108" i="1"/>
  <c r="C107" i="4"/>
  <c r="E42" i="1"/>
  <c r="C31" i="2"/>
  <c r="C33" i="2" s="1"/>
  <c r="C34" i="2" s="1"/>
  <c r="E43" i="1"/>
  <c r="D92" i="1"/>
  <c r="E92" i="1" s="1"/>
  <c r="F93" i="1" s="1"/>
  <c r="E61" i="1"/>
  <c r="F63" i="1" s="1"/>
  <c r="D54" i="1"/>
  <c r="C45" i="1" l="1"/>
  <c r="C55" i="7"/>
  <c r="E55" i="7" s="1"/>
  <c r="E56" i="7" s="1"/>
  <c r="D57" i="7" s="1"/>
  <c r="E57" i="7" s="1"/>
  <c r="F58" i="7" s="1"/>
  <c r="C46" i="6"/>
  <c r="E46" i="6" s="1"/>
  <c r="E47" i="6" s="1"/>
  <c r="D48" i="6" s="1"/>
  <c r="E48" i="6" s="1"/>
  <c r="F49" i="6" s="1"/>
  <c r="E9" i="6" s="1"/>
  <c r="C46" i="7"/>
  <c r="E46" i="7" s="1"/>
  <c r="E47" i="7" s="1"/>
  <c r="D48" i="7" s="1"/>
  <c r="E48" i="7" s="1"/>
  <c r="F49" i="7" s="1"/>
  <c r="E9" i="7" s="1"/>
  <c r="C55" i="6"/>
  <c r="E55" i="6" s="1"/>
  <c r="E56" i="6" s="1"/>
  <c r="D57" i="6" s="1"/>
  <c r="E57" i="6" s="1"/>
  <c r="F58" i="6" s="1"/>
  <c r="C45" i="4"/>
  <c r="E45" i="4" s="1"/>
  <c r="E46" i="4" s="1"/>
  <c r="D47" i="4" s="1"/>
  <c r="E47" i="4" s="1"/>
  <c r="F48" i="4" s="1"/>
  <c r="E9" i="4" s="1"/>
  <c r="C54" i="4"/>
  <c r="E54" i="4" s="1"/>
  <c r="E55" i="4" s="1"/>
  <c r="D56" i="4" s="1"/>
  <c r="E56" i="4" s="1"/>
  <c r="F57" i="4" s="1"/>
  <c r="E44" i="1"/>
  <c r="D45" i="1" s="1"/>
  <c r="C54" i="1"/>
  <c r="E54" i="1" s="1"/>
  <c r="E55" i="1" s="1"/>
  <c r="D56" i="1" s="1"/>
  <c r="E56" i="1" s="1"/>
  <c r="F57" i="1" s="1"/>
  <c r="E10" i="1" s="1"/>
  <c r="E11" i="1"/>
  <c r="E69" i="1"/>
  <c r="E15" i="1"/>
  <c r="F95" i="1"/>
  <c r="E14" i="1" s="1"/>
  <c r="E10" i="6" l="1"/>
  <c r="F83" i="6"/>
  <c r="E10" i="7"/>
  <c r="F83" i="7"/>
  <c r="E10" i="4"/>
  <c r="F82" i="4"/>
  <c r="F70" i="1"/>
  <c r="E12" i="1" s="1"/>
  <c r="E45" i="1"/>
  <c r="E46" i="1" s="1"/>
  <c r="D109" i="7" l="1"/>
  <c r="E109" i="7" s="1"/>
  <c r="F111" i="7" s="1"/>
  <c r="E17" i="7" s="1"/>
  <c r="E8" i="7"/>
  <c r="F113" i="7"/>
  <c r="E8" i="4"/>
  <c r="D107" i="4"/>
  <c r="E107" i="4" s="1"/>
  <c r="F109" i="4" s="1"/>
  <c r="E17" i="4" s="1"/>
  <c r="F111" i="4"/>
  <c r="E8" i="6"/>
  <c r="D108" i="6"/>
  <c r="E108" i="6" s="1"/>
  <c r="F110" i="6" s="1"/>
  <c r="E17" i="6" s="1"/>
  <c r="D47" i="1"/>
  <c r="E47" i="1" s="1"/>
  <c r="F48" i="1" s="1"/>
  <c r="F112" i="6" l="1"/>
  <c r="E18" i="6"/>
  <c r="F117" i="7"/>
  <c r="F119" i="7" s="1"/>
  <c r="F11" i="5" s="1"/>
  <c r="H11" i="5" s="1"/>
  <c r="G11" i="5" s="1"/>
  <c r="K11" i="5" s="1"/>
  <c r="F115" i="7"/>
  <c r="F115" i="4"/>
  <c r="F117" i="4" s="1"/>
  <c r="F9" i="5" s="1"/>
  <c r="G9" i="5"/>
  <c r="F113" i="4"/>
  <c r="E18" i="7"/>
  <c r="F17" i="7" s="1"/>
  <c r="E18" i="4"/>
  <c r="E9" i="1"/>
  <c r="F82" i="1"/>
  <c r="D108" i="1" s="1"/>
  <c r="E108" i="1" s="1"/>
  <c r="F110" i="1" s="1"/>
  <c r="F112" i="1" s="1"/>
  <c r="F114" i="1" s="1"/>
  <c r="F16" i="7" l="1"/>
  <c r="F9" i="7"/>
  <c r="F15" i="7"/>
  <c r="F13" i="7"/>
  <c r="F11" i="7"/>
  <c r="F14" i="7"/>
  <c r="F12" i="7"/>
  <c r="F10" i="7"/>
  <c r="E9" i="5"/>
  <c r="H9" i="5"/>
  <c r="K9" i="5"/>
  <c r="F8" i="7"/>
  <c r="F18" i="7" s="1"/>
  <c r="F10" i="4"/>
  <c r="F9" i="4"/>
  <c r="F15" i="4"/>
  <c r="F17" i="4"/>
  <c r="F16" i="4"/>
  <c r="F11" i="4"/>
  <c r="F12" i="4"/>
  <c r="F13" i="4"/>
  <c r="F14" i="4"/>
  <c r="F17" i="6"/>
  <c r="F16" i="6"/>
  <c r="F13" i="6"/>
  <c r="F12" i="6"/>
  <c r="F10" i="6"/>
  <c r="F9" i="6"/>
  <c r="F14" i="6"/>
  <c r="F11" i="6"/>
  <c r="F15" i="6"/>
  <c r="F114" i="6"/>
  <c r="F116" i="6"/>
  <c r="F118" i="6" s="1"/>
  <c r="F10" i="5" s="1"/>
  <c r="H10" i="5" s="1"/>
  <c r="G10" i="5" s="1"/>
  <c r="K10" i="5" s="1"/>
  <c r="F8" i="6"/>
  <c r="F8" i="4"/>
  <c r="F18" i="4" s="1"/>
  <c r="E8" i="1"/>
  <c r="F116" i="1"/>
  <c r="F118" i="1" s="1"/>
  <c r="F8" i="5" s="1"/>
  <c r="G8" i="5"/>
  <c r="H8" i="5" s="1"/>
  <c r="E17" i="1"/>
  <c r="F18" i="6" l="1"/>
  <c r="H13" i="5"/>
  <c r="K8" i="5"/>
  <c r="E8" i="5"/>
  <c r="G13" i="5"/>
  <c r="K13" i="5" s="1"/>
  <c r="E18" i="1"/>
  <c r="F16" i="1" s="1"/>
  <c r="F13" i="1" l="1"/>
  <c r="F12" i="1"/>
  <c r="F10" i="1"/>
  <c r="F9" i="1"/>
  <c r="F17" i="1"/>
  <c r="F15" i="1"/>
  <c r="F14" i="1"/>
  <c r="F8" i="1"/>
  <c r="F11" i="1"/>
  <c r="F1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67" authorId="0" shapeId="0" xr:uid="{00000000-0006-0000-0100-000001000000}">
      <text>
        <r>
          <rPr>
            <sz val="9"/>
            <color rgb="FF000000"/>
            <rFont val="Tahoma"/>
            <family val="2"/>
            <charset val="1"/>
          </rPr>
          <t>Informar o valor unitário do VT no município</t>
        </r>
      </text>
    </comment>
    <comment ref="C68" authorId="0" shapeId="0" xr:uid="{00000000-0006-0000-0100-000002000000}">
      <text>
        <r>
          <rPr>
            <sz val="9"/>
            <color rgb="FF000000"/>
            <rFont val="Tahoma"/>
            <family val="2"/>
            <charset val="1"/>
          </rPr>
          <t>Informar o número médio de dias trabalhados por mês</t>
        </r>
      </text>
    </comment>
    <comment ref="D69" authorId="0" shapeId="0" xr:uid="{00000000-0006-0000-0100-000003000000}">
      <text>
        <r>
          <rPr>
            <sz val="9"/>
            <color rgb="FF000000"/>
            <rFont val="Tahoma"/>
            <family val="2"/>
            <charset val="1"/>
          </rPr>
          <t>Valor Unitário considerando o desconto legal de até 6% do salário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67" authorId="0" shapeId="0" xr:uid="{00000000-0006-0000-0200-000001000000}">
      <text>
        <r>
          <rPr>
            <sz val="9"/>
            <color rgb="FF000000"/>
            <rFont val="Tahoma"/>
            <family val="2"/>
            <charset val="1"/>
          </rPr>
          <t>Informar o valor unitário do VT no município</t>
        </r>
      </text>
    </comment>
    <comment ref="C68" authorId="0" shapeId="0" xr:uid="{00000000-0006-0000-0200-000002000000}">
      <text>
        <r>
          <rPr>
            <sz val="9"/>
            <color rgb="FF000000"/>
            <rFont val="Tahoma"/>
            <family val="2"/>
            <charset val="1"/>
          </rPr>
          <t>Informar o número médio de dias trabalhados por mês</t>
        </r>
      </text>
    </comment>
    <comment ref="D69" authorId="0" shapeId="0" xr:uid="{00000000-0006-0000-0200-000003000000}">
      <text>
        <r>
          <rPr>
            <sz val="9"/>
            <color rgb="FF000000"/>
            <rFont val="Tahoma"/>
            <family val="2"/>
            <charset val="1"/>
          </rPr>
          <t>Valor Unitário considerando o desconto legal de até 6% do salário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68" authorId="0" shapeId="0" xr:uid="{00000000-0006-0000-0300-000001000000}">
      <text>
        <r>
          <rPr>
            <sz val="9"/>
            <color rgb="FF000000"/>
            <rFont val="Tahoma"/>
            <family val="2"/>
            <charset val="1"/>
          </rPr>
          <t>Informar o valor unitário do VT no município</t>
        </r>
      </text>
    </comment>
    <comment ref="C69" authorId="0" shapeId="0" xr:uid="{00000000-0006-0000-0300-000002000000}">
      <text>
        <r>
          <rPr>
            <sz val="9"/>
            <color rgb="FF000000"/>
            <rFont val="Tahoma"/>
            <family val="2"/>
            <charset val="1"/>
          </rPr>
          <t>Informar o número médio de dias trabalhados por mês</t>
        </r>
      </text>
    </comment>
    <comment ref="D70" authorId="0" shapeId="0" xr:uid="{00000000-0006-0000-0300-000003000000}">
      <text>
        <r>
          <rPr>
            <sz val="9"/>
            <color rgb="FF000000"/>
            <rFont val="Tahoma"/>
            <family val="2"/>
            <charset val="1"/>
          </rPr>
          <t>Valor Unitário considerando o desconto legal de até 6% do salário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68" authorId="0" shapeId="0" xr:uid="{00000000-0006-0000-0400-000001000000}">
      <text>
        <r>
          <rPr>
            <sz val="9"/>
            <color rgb="FF000000"/>
            <rFont val="Tahoma"/>
            <family val="2"/>
            <charset val="1"/>
          </rPr>
          <t>Informar o valor unitário do VT no município</t>
        </r>
      </text>
    </comment>
    <comment ref="C69" authorId="0" shapeId="0" xr:uid="{00000000-0006-0000-0400-000002000000}">
      <text>
        <r>
          <rPr>
            <sz val="9"/>
            <color rgb="FF000000"/>
            <rFont val="Tahoma"/>
            <family val="2"/>
            <charset val="1"/>
          </rPr>
          <t>Informar o número médio de dias trabalhados por mês</t>
        </r>
      </text>
    </comment>
    <comment ref="D70" authorId="0" shapeId="0" xr:uid="{00000000-0006-0000-0400-000003000000}">
      <text>
        <r>
          <rPr>
            <sz val="9"/>
            <color rgb="FF000000"/>
            <rFont val="Tahoma"/>
            <family val="2"/>
            <charset val="1"/>
          </rPr>
          <t>Valor Unitário considerando o desconto legal de até 6% do salário</t>
        </r>
      </text>
    </comment>
  </commentList>
</comments>
</file>

<file path=xl/sharedStrings.xml><?xml version="1.0" encoding="utf-8"?>
<sst xmlns="http://schemas.openxmlformats.org/spreadsheetml/2006/main" count="697" uniqueCount="195">
  <si>
    <t>Planilha de Composição de Custos</t>
  </si>
  <si>
    <t>Orçamento Sintético</t>
  </si>
  <si>
    <t>Descrição do Item</t>
  </si>
  <si>
    <t>Custo (R$/mês)</t>
  </si>
  <si>
    <t>%</t>
  </si>
  <si>
    <t>PREÇO TOTAL MENSAL</t>
  </si>
  <si>
    <t>Quantitativos</t>
  </si>
  <si>
    <t>Mão de obra</t>
  </si>
  <si>
    <t>Quantidade</t>
  </si>
  <si>
    <t>Piso da categoria</t>
  </si>
  <si>
    <t xml:space="preserve">Adicional noturno (das 22h às 05h) total de horas </t>
  </si>
  <si>
    <t>Tempo trabalho por mês (Horas)</t>
  </si>
  <si>
    <t xml:space="preserve">Total de mão de obra </t>
  </si>
  <si>
    <t xml:space="preserve">Memória de cálculo do adicional noturno por funcionário: </t>
  </si>
  <si>
    <t>Fator de utilização (FU)</t>
  </si>
  <si>
    <t>1. Mão de obra</t>
  </si>
  <si>
    <t>Discriminação</t>
  </si>
  <si>
    <t>Unidade</t>
  </si>
  <si>
    <t>Custo unitário</t>
  </si>
  <si>
    <t>Subtotal</t>
  </si>
  <si>
    <r>
      <rPr>
        <b/>
        <sz val="9"/>
        <rFont val="Arial"/>
        <family val="2"/>
        <charset val="1"/>
      </rPr>
      <t xml:space="preserve">Total </t>
    </r>
    <r>
      <rPr>
        <b/>
        <u/>
        <sz val="9"/>
        <rFont val="Arial"/>
        <family val="2"/>
        <charset val="1"/>
      </rPr>
      <t>(R$)</t>
    </r>
  </si>
  <si>
    <t>mês</t>
  </si>
  <si>
    <t>Adicional noturno</t>
  </si>
  <si>
    <t xml:space="preserve">horas </t>
  </si>
  <si>
    <t>Soma</t>
  </si>
  <si>
    <t>Encargos Sociais</t>
  </si>
  <si>
    <t xml:space="preserve">Total por profissional </t>
  </si>
  <si>
    <t>Total do Efetivo</t>
  </si>
  <si>
    <t>homem</t>
  </si>
  <si>
    <t>Fator de util.</t>
  </si>
  <si>
    <t>unidade</t>
  </si>
  <si>
    <t>Vale Transporte</t>
  </si>
  <si>
    <t>R$</t>
  </si>
  <si>
    <t>dia</t>
  </si>
  <si>
    <t>vale</t>
  </si>
  <si>
    <t xml:space="preserve">Plano de Benefício Social </t>
  </si>
  <si>
    <t>1. Custo Mensal com mão de obra</t>
  </si>
  <si>
    <t>2. Uniformes e Equipamentos de Proteção Individual</t>
  </si>
  <si>
    <t>2.1. Uniformes e EPIs</t>
  </si>
  <si>
    <t>Durabilidade (meses)</t>
  </si>
  <si>
    <t>Jaqueta</t>
  </si>
  <si>
    <t>Camisa</t>
  </si>
  <si>
    <t>Botina</t>
  </si>
  <si>
    <t>par</t>
  </si>
  <si>
    <r>
      <rPr>
        <sz val="10"/>
        <rFont val="Arial"/>
        <family val="2"/>
        <charset val="1"/>
      </rPr>
      <t xml:space="preserve">Quantidade de trabalhadores </t>
    </r>
    <r>
      <rPr>
        <sz val="7"/>
        <rFont val="Arial"/>
        <family val="2"/>
        <charset val="1"/>
      </rPr>
      <t>(concedido 02 uniformes p/colaborador)</t>
    </r>
  </si>
  <si>
    <t>2. Custo Mensal com Uniformes e EPIs</t>
  </si>
  <si>
    <t>Benefícios e despesas indiretas</t>
  </si>
  <si>
    <t>PREÇO MENSAL TOTAL</t>
  </si>
  <si>
    <t xml:space="preserve">PREÇO MENSAL POR FUNCIONÁRIO </t>
  </si>
  <si>
    <t xml:space="preserve">PREÇO MENSAL POR HORA </t>
  </si>
  <si>
    <t xml:space="preserve">OBS: cada empresa deverá prever seus encargos/impostos conforme determina a legislação de sua atividade. </t>
  </si>
  <si>
    <t>Orientações para preenchimento:</t>
  </si>
  <si>
    <t>1. Preencha previamente os dados de entrada na planilha 3.CAGED</t>
  </si>
  <si>
    <t>Código</t>
  </si>
  <si>
    <t>Descrição</t>
  </si>
  <si>
    <t>Valor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</si>
  <si>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</si>
  <si>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</si>
  <si>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</si>
  <si>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</si>
  <si>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</si>
  <si>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</si>
  <si>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</si>
  <si>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</si>
  <si>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</si>
  <si>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</si>
  <si>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</si>
  <si>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</si>
  <si>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</si>
  <si>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 xml:space="preserve">Seguro contra acidentes de trabalho </t>
  </si>
  <si>
    <t>A8</t>
  </si>
  <si>
    <t>FGTS</t>
  </si>
  <si>
    <t>A</t>
  </si>
  <si>
    <t>SOMA GRUPO A</t>
  </si>
  <si>
    <t>B1</t>
  </si>
  <si>
    <t>Férias gozadas</t>
  </si>
  <si>
    <t>B2</t>
  </si>
  <si>
    <t>13º salário</t>
  </si>
  <si>
    <t>B3</t>
  </si>
  <si>
    <t>Licença Paternidade</t>
  </si>
  <si>
    <t>B4</t>
  </si>
  <si>
    <t>Faltas justificadas</t>
  </si>
  <si>
    <t>Auxilio acidente de trabalho</t>
  </si>
  <si>
    <t>B6</t>
  </si>
  <si>
    <t>Auxilio doença</t>
  </si>
  <si>
    <t>SOMA GRUPO B</t>
  </si>
  <si>
    <t>C1</t>
  </si>
  <si>
    <t>Aviso prévio indenizado</t>
  </si>
  <si>
    <t>C2</t>
  </si>
  <si>
    <t xml:space="preserve">Férias indenizadas </t>
  </si>
  <si>
    <t>C3</t>
  </si>
  <si>
    <t>Férias indenizadas s/ aviso previo inden.</t>
  </si>
  <si>
    <t>C4</t>
  </si>
  <si>
    <t>Depósito rescisão sem justa causa</t>
  </si>
  <si>
    <t>C5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</si>
  <si>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</si>
  <si>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</si>
  <si>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</si>
  <si>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</si>
  <si>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</si>
  <si>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</si>
  <si>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Grupo A sobre aviso prévio indenizado</t>
  </si>
  <si>
    <t>D</t>
  </si>
  <si>
    <t>SOMA GRUPO D</t>
  </si>
  <si>
    <t>SOMA (A+B+C+D)</t>
  </si>
  <si>
    <t>1. Esta planilha é somente um modelo-base e deve ser ajustada conforme cada caso concreto.</t>
  </si>
  <si>
    <t>2. Preencher somente células em amarelo</t>
  </si>
  <si>
    <t xml:space="preserve">Referência estudo </t>
  </si>
  <si>
    <t>1° Quartil</t>
  </si>
  <si>
    <t>Médio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</si>
  <si>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</si>
  <si>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</si>
  <si>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</si>
  <si>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</si>
  <si>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</si>
  <si>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</si>
  <si>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</si>
  <si>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</si>
  <si>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SELIC</t>
  </si>
  <si>
    <t>Tributos - ISS</t>
  </si>
  <si>
    <t>T</t>
  </si>
  <si>
    <t>DU</t>
  </si>
  <si>
    <t>Tributos - PIS/COFINS</t>
  </si>
  <si>
    <t>Fórmula para o cálculo do BDI:</t>
  </si>
  <si>
    <t>{[(1+AC+SRG) x (1+L) x (1+DF)] / (1-T)} -1</t>
  </si>
  <si>
    <t>Resultado do cálculo do BDI:</t>
  </si>
  <si>
    <t>3. Composição do BDI - Benefícios e Despesas Indiretas</t>
  </si>
  <si>
    <t xml:space="preserve">Obs: como os funcionários trabalham 12/36 conta como horário noturno das 22 horas às 06 horas. </t>
  </si>
  <si>
    <t>Hrs</t>
  </si>
  <si>
    <t>Média de dias Trabalhados por mês por porteiro</t>
  </si>
  <si>
    <r>
      <t xml:space="preserve">Total </t>
    </r>
    <r>
      <rPr>
        <b/>
        <u/>
        <sz val="9"/>
        <rFont val="Arial"/>
        <family val="2"/>
      </rPr>
      <t>(R$)</t>
    </r>
  </si>
  <si>
    <t>4. Benefícios e Despesas Indiretas (BDI)</t>
  </si>
  <si>
    <t>4. Custo Mensal Com BDI</t>
  </si>
  <si>
    <t>Piso da categoria 220 horas mensais</t>
  </si>
  <si>
    <t>B5</t>
  </si>
  <si>
    <t>B</t>
  </si>
  <si>
    <t>1.2. Encarregado/Supervisor</t>
  </si>
  <si>
    <t>1.3. Auxílio Alimentação</t>
  </si>
  <si>
    <t>1.4. Vale Transporte</t>
  </si>
  <si>
    <t xml:space="preserve">1.5. Plano de Benefício Social  </t>
  </si>
  <si>
    <t>3. Veículo de apoio para deslocamento e materiais de consumo</t>
  </si>
  <si>
    <t xml:space="preserve">Supervisor </t>
  </si>
  <si>
    <t>Intervalo Intrajornada Cfe. Convenção (50% do valor)</t>
  </si>
  <si>
    <t>Custo do veículo de apoio para Supervisor (05km dia)</t>
  </si>
  <si>
    <t>PREGÃO ELETRÔNICO     /2025</t>
  </si>
  <si>
    <t xml:space="preserve">Resumo </t>
  </si>
  <si>
    <t xml:space="preserve">Item </t>
  </si>
  <si>
    <t>Profissional</t>
  </si>
  <si>
    <t xml:space="preserve">Total </t>
  </si>
  <si>
    <t xml:space="preserve">RESUMO </t>
  </si>
  <si>
    <t>Valor ano R$</t>
  </si>
  <si>
    <t xml:space="preserve">&gt; 15 dias/funcion/mês x 8hrs/dia (cada hora hora contada equivale somente a 52 minutos e 30 segundos) = 137,10 horas mês. </t>
  </si>
  <si>
    <t xml:space="preserve">Composição dos Encargos Sociais </t>
  </si>
  <si>
    <t xml:space="preserve">Postos </t>
  </si>
  <si>
    <t xml:space="preserve">PREÇO MENSAL POR POSTO DE TRABALHO </t>
  </si>
  <si>
    <t xml:space="preserve">Postos de Trabalho </t>
  </si>
  <si>
    <t>Custo por Posto R$</t>
  </si>
  <si>
    <t>Custo Mês R$</t>
  </si>
  <si>
    <t xml:space="preserve">Obs: considerado 14 hrs semanais </t>
  </si>
  <si>
    <t>PLANILHA DE CUSTOS - PREFEITURA MUNICIPAL DE SÃO MARCOS</t>
  </si>
  <si>
    <t xml:space="preserve">Obs: considerado 14hrs semanais </t>
  </si>
  <si>
    <t>Custo/hr</t>
  </si>
  <si>
    <t>Horas</t>
  </si>
  <si>
    <t xml:space="preserve">Obs: considerado 08hrs semanais </t>
  </si>
  <si>
    <t xml:space="preserve">Obs: considerado 08 hrs semanais </t>
  </si>
  <si>
    <t>Custo do veículo de apoio para Supervisor (10km dia)</t>
  </si>
  <si>
    <t>a) Categoria: Profissional de prestador de serviços de vigia CBO 5173</t>
  </si>
  <si>
    <t>1.1. Categoria Profissional de Vigilantes (05 Postos de 12 horas noturnas 12/36)</t>
  </si>
  <si>
    <t>1.1. Categoria Profissional de Vigilante (05 Postos de 12 horas diurnas 12/36)</t>
  </si>
  <si>
    <t>Item 1 - Contratação Serviços de Vigilante - Noturno</t>
  </si>
  <si>
    <t>Item 2 - Contratação Serviços de Vigilante - Diurno</t>
  </si>
  <si>
    <t>Vigilante</t>
  </si>
  <si>
    <t>a) Categoria: Profissional de prestador de serviços de vigilante CBO 5173</t>
  </si>
  <si>
    <t>Item 3 - Contratação Serviços de Vigilante - Diurno (Eventos municipais)</t>
  </si>
  <si>
    <t>Item 4 - Contratação Serviços de Vigilante - Noturno (Eventos Municipais)</t>
  </si>
  <si>
    <t xml:space="preserve">Vigilante </t>
  </si>
  <si>
    <t xml:space="preserve">Adicional de Periculosidade </t>
  </si>
  <si>
    <t xml:space="preserve">Apitos de metal </t>
  </si>
  <si>
    <t>Unid/anual</t>
  </si>
  <si>
    <t>Calça</t>
  </si>
  <si>
    <t xml:space="preserve">Cinto operacional  </t>
  </si>
  <si>
    <t xml:space="preserve">Tonfa em fibra </t>
  </si>
  <si>
    <t>livro de ocorrência</t>
  </si>
  <si>
    <t>KM/mês</t>
  </si>
  <si>
    <t>Lanterna tática 12 volts com carregador</t>
  </si>
  <si>
    <t xml:space="preserve">Adicional por serviço em eventos </t>
  </si>
  <si>
    <t>Serviço de vigilante - São Marcos/RS</t>
  </si>
  <si>
    <t>vigilante noturno Hrs mês</t>
  </si>
  <si>
    <t>vigilante diurno Hrs mês</t>
  </si>
  <si>
    <t>Hrs ano vigilante diurno (eventos)</t>
  </si>
  <si>
    <t>Hrs ano vigilante noturno (eventos)</t>
  </si>
  <si>
    <t>1.1. Categoria Profissional de vigilante (02 Postos de 8:48 horas diurnas)</t>
  </si>
  <si>
    <t>1.1. Categoria Profissional de Vigilante (02 Postos de 8:48 horas noturnas)</t>
  </si>
  <si>
    <t xml:space="preserve">Obs: como os funcionários podem trabalhar 12/36 conta como horário noturno das 22 horas às 06 horas. </t>
  </si>
  <si>
    <t>São Marcos, 25 de Junho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</si>
</sst>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_-* #,##0.0_-;\-* #,##0.0_-;_-* \-??_-;_-@_-"/>
    <numFmt numFmtId="166" formatCode="&quot;R$ &quot;#,##0.00_);&quot;(R$ &quot;#,##0.00\)"/>
    <numFmt numFmtId="167" formatCode="_-* #,##0.00_-;\-* #,##0.00_-;_-* \-??_-;_-@_-"/>
    <numFmt numFmtId="168" formatCode="_ * #,##0.00_ ;_ * \-#,##0.00_ ;_ * \-??_ ;_ @_ "/>
    <numFmt numFmtId="169" formatCode="_(* #,##0.00_);_(* \(#,##0.00\);_(* \-??_);_(@_)"/>
    <numFmt numFmtId="170" formatCode="_ &quot;R$ &quot;* #,##0.00_ ;_ &quot;R$ &quot;* \-#,##0.00_ ;_ &quot;R$ &quot;* \-??_ ;_ @_ "/>
    <numFmt numFmtId="171" formatCode="&quot;R$ &quot;#,##0.00"/>
    <numFmt numFmtId="172" formatCode="&quot;R$ &quot;#,##0.00;[Red]&quot;R$ -&quot;#,##0.00"/>
    <numFmt numFmtId="173" formatCode="0.000%"/>
    <numFmt numFmtId="174" formatCode="_(* #,##0_);_(* \(#,##0\);_(* \-??_);_(@_)"/>
    <numFmt numFmtId="175" formatCode="_-[$R$-416]\ * #,##0.00_-;\-[$R$-416]\ * #,##0.00_-;_-[$R$-416]\ * \-??_-;_-@_-"/>
    <numFmt numFmtId="176" formatCode="_(* #,##0.0000_);_(* \(#,##0.0000\);_(* \-??_);_(@_)"/>
    <numFmt numFmtId="177" formatCode="_(* #,##0.00_);_(* \(#,##0.00\);_(* &quot;-&quot;??_);_(@_)"/>
    <numFmt numFmtId="178" formatCode="0.000"/>
  </numFmts>
  <fonts count="25" x14ac:knownFonts="1">
    <font>
      <sz val="10"/>
      <name val="Arial"/>
      <charset val="1"/>
    </font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b/>
      <sz val="14"/>
      <color rgb="FFFFFFFF"/>
      <name val="Arial"/>
      <family val="2"/>
      <charset val="1"/>
    </font>
    <font>
      <b/>
      <sz val="14"/>
      <name val="Arial"/>
      <family val="2"/>
      <charset val="1"/>
    </font>
    <font>
      <sz val="11"/>
      <name val="Arial"/>
      <family val="2"/>
      <charset val="1"/>
    </font>
    <font>
      <b/>
      <sz val="11"/>
      <name val="Arial"/>
      <family val="2"/>
      <charset val="1"/>
    </font>
    <font>
      <b/>
      <sz val="12"/>
      <name val="Arial"/>
      <family val="2"/>
      <charset val="1"/>
    </font>
    <font>
      <b/>
      <sz val="10"/>
      <name val="Arial"/>
      <family val="2"/>
      <charset val="1"/>
    </font>
    <font>
      <b/>
      <sz val="9"/>
      <name val="Arial"/>
      <family val="2"/>
      <charset val="1"/>
    </font>
    <font>
      <b/>
      <u/>
      <sz val="9"/>
      <name val="Arial"/>
      <family val="2"/>
      <charset val="1"/>
    </font>
    <font>
      <sz val="8"/>
      <name val="Arial"/>
      <family val="2"/>
      <charset val="1"/>
    </font>
    <font>
      <b/>
      <sz val="10"/>
      <color rgb="FFFFFFFF"/>
      <name val="Arial"/>
      <family val="2"/>
      <charset val="1"/>
    </font>
    <font>
      <sz val="7"/>
      <name val="Arial"/>
      <family val="2"/>
      <charset val="1"/>
    </font>
    <font>
      <sz val="10"/>
      <color rgb="FFFFFFFF"/>
      <name val="Arial"/>
      <family val="2"/>
      <charset val="1"/>
    </font>
    <font>
      <sz val="9"/>
      <color rgb="FF000000"/>
      <name val="Tahoma"/>
      <family val="2"/>
      <charset val="1"/>
    </font>
    <font>
      <sz val="11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10"/>
      <name val="Arial"/>
      <family val="2"/>
    </font>
    <font>
      <b/>
      <sz val="10"/>
      <name val="Arial"/>
      <family val="2"/>
    </font>
    <font>
      <b/>
      <u/>
      <sz val="9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808080"/>
        <bgColor rgb="FF666699"/>
      </patternFill>
    </fill>
    <fill>
      <patternFill patternType="solid">
        <fgColor rgb="FFBFBFBF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  <fill>
      <patternFill patternType="solid">
        <fgColor rgb="FFC0C0C0"/>
        <bgColor rgb="FFBFBFBF"/>
      </patternFill>
    </fill>
    <fill>
      <patternFill patternType="solid">
        <fgColor rgb="FFC6D9F1"/>
        <bgColor rgb="FFD9D9D9"/>
      </patternFill>
    </fill>
    <fill>
      <patternFill patternType="solid">
        <fgColor rgb="FFD9D9D9"/>
        <bgColor rgb="FFDDD9C3"/>
      </patternFill>
    </fill>
    <fill>
      <patternFill patternType="solid">
        <fgColor rgb="FFA6A6A6"/>
        <bgColor rgb="FFBFBFBF"/>
      </patternFill>
    </fill>
    <fill>
      <patternFill patternType="solid">
        <fgColor rgb="FFDDD9C3"/>
        <bgColor rgb="FFD9D9D9"/>
      </patternFill>
    </fill>
    <fill>
      <patternFill patternType="solid">
        <fgColor rgb="FFFFFF00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5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6">
    <xf numFmtId="0" fontId="0" fillId="0" borderId="0"/>
    <xf numFmtId="169" fontId="19" fillId="0" borderId="0" applyBorder="0" applyProtection="0"/>
    <xf numFmtId="164" fontId="19" fillId="0" borderId="0" applyBorder="0" applyProtection="0"/>
    <xf numFmtId="9" fontId="19" fillId="0" borderId="0" applyBorder="0" applyProtection="0"/>
    <xf numFmtId="164" fontId="19" fillId="0" borderId="0" applyBorder="0" applyProtection="0"/>
    <xf numFmtId="165" fontId="19" fillId="0" borderId="0" applyBorder="0" applyProtection="0"/>
    <xf numFmtId="164" fontId="19" fillId="0" borderId="0" applyBorder="0" applyProtection="0"/>
    <xf numFmtId="166" fontId="19" fillId="0" borderId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9" fillId="0" borderId="0" applyBorder="0" applyProtection="0"/>
    <xf numFmtId="9" fontId="19" fillId="0" borderId="0" applyBorder="0" applyProtection="0"/>
    <xf numFmtId="167" fontId="19" fillId="0" borderId="0" applyBorder="0" applyProtection="0"/>
    <xf numFmtId="167" fontId="19" fillId="0" borderId="0" applyBorder="0" applyProtection="0"/>
    <xf numFmtId="167" fontId="19" fillId="0" borderId="0" applyBorder="0" applyProtection="0"/>
    <xf numFmtId="167" fontId="19" fillId="0" borderId="0" applyBorder="0" applyProtection="0"/>
    <xf numFmtId="168" fontId="19" fillId="0" borderId="0" applyBorder="0" applyProtection="0"/>
    <xf numFmtId="167" fontId="19" fillId="0" borderId="0" applyBorder="0" applyProtection="0"/>
    <xf numFmtId="169" fontId="19" fillId="0" borderId="0" applyBorder="0" applyProtection="0"/>
    <xf numFmtId="167" fontId="19" fillId="0" borderId="0" applyBorder="0" applyProtection="0"/>
    <xf numFmtId="167" fontId="19" fillId="0" borderId="0" applyBorder="0" applyProtection="0"/>
    <xf numFmtId="167" fontId="19" fillId="0" borderId="0" applyBorder="0" applyProtection="0"/>
    <xf numFmtId="170" fontId="19" fillId="0" borderId="0" applyBorder="0" applyProtection="0"/>
    <xf numFmtId="168" fontId="19" fillId="0" borderId="0" applyBorder="0" applyProtection="0"/>
    <xf numFmtId="167" fontId="19" fillId="0" borderId="0" applyBorder="0" applyProtection="0"/>
    <xf numFmtId="167" fontId="19" fillId="0" borderId="0" applyBorder="0" applyProtection="0"/>
    <xf numFmtId="167" fontId="19" fillId="0" borderId="0" applyBorder="0" applyProtection="0"/>
    <xf numFmtId="167" fontId="19" fillId="0" borderId="0" applyBorder="0" applyProtection="0"/>
    <xf numFmtId="167" fontId="19" fillId="0" borderId="0" applyBorder="0" applyProtection="0"/>
    <xf numFmtId="167" fontId="19" fillId="0" borderId="0" applyBorder="0" applyProtection="0"/>
    <xf numFmtId="167" fontId="19" fillId="0" borderId="0" applyBorder="0" applyProtection="0"/>
    <xf numFmtId="168" fontId="19" fillId="0" borderId="0" applyBorder="0" applyProtection="0"/>
    <xf numFmtId="4" fontId="19" fillId="0" borderId="0"/>
    <xf numFmtId="178" fontId="19" fillId="0" borderId="0" applyFont="0" applyFill="0" applyBorder="0" applyAlignment="0" applyProtection="0"/>
    <xf numFmtId="9" fontId="19" fillId="0" borderId="0" applyFont="0" applyFill="0" applyBorder="0" applyAlignment="0" applyProtection="0"/>
  </cellStyleXfs>
  <cellXfs count="286">
    <xf numFmtId="0" fontId="0" fillId="0" borderId="0" xfId="0"/>
    <xf numFmtId="0" fontId="2" fillId="0" borderId="0" xfId="0" applyFont="1" applyAlignment="1">
      <alignment vertical="center"/>
    </xf>
    <xf numFmtId="169" fontId="2" fillId="0" borderId="0" xfId="1" applyFont="1" applyBorder="1" applyAlignment="1" applyProtection="1">
      <alignment vertical="center"/>
    </xf>
    <xf numFmtId="169" fontId="0" fillId="0" borderId="0" xfId="1" applyFont="1" applyBorder="1" applyAlignment="1" applyProtection="1">
      <alignment vertical="center"/>
    </xf>
    <xf numFmtId="0" fontId="0" fillId="0" borderId="0" xfId="0" applyAlignment="1">
      <alignment vertical="center"/>
    </xf>
    <xf numFmtId="169" fontId="5" fillId="0" borderId="0" xfId="1" applyFont="1" applyBorder="1" applyAlignment="1" applyProtection="1">
      <alignment vertical="center"/>
    </xf>
    <xf numFmtId="0" fontId="5" fillId="0" borderId="0" xfId="0" applyFont="1" applyAlignment="1">
      <alignment vertical="center"/>
    </xf>
    <xf numFmtId="0" fontId="0" fillId="0" borderId="3" xfId="0" applyBorder="1" applyAlignment="1">
      <alignment vertical="center"/>
    </xf>
    <xf numFmtId="4" fontId="0" fillId="0" borderId="0" xfId="0" applyNumberFormat="1" applyAlignment="1">
      <alignment vertical="center"/>
    </xf>
    <xf numFmtId="169" fontId="0" fillId="0" borderId="4" xfId="1" applyFont="1" applyBorder="1" applyAlignment="1" applyProtection="1">
      <alignment vertical="center"/>
    </xf>
    <xf numFmtId="169" fontId="8" fillId="0" borderId="6" xfId="1" applyFont="1" applyBorder="1" applyAlignment="1" applyProtection="1">
      <alignment horizontal="center" vertical="center"/>
    </xf>
    <xf numFmtId="169" fontId="0" fillId="0" borderId="7" xfId="1" applyFont="1" applyBorder="1" applyAlignment="1" applyProtection="1">
      <alignment vertical="center"/>
    </xf>
    <xf numFmtId="169" fontId="8" fillId="0" borderId="7" xfId="1" applyFont="1" applyBorder="1" applyAlignment="1" applyProtection="1">
      <alignment vertical="center"/>
    </xf>
    <xf numFmtId="169" fontId="8" fillId="0" borderId="8" xfId="1" applyFont="1" applyBorder="1" applyAlignment="1" applyProtection="1">
      <alignment vertical="center"/>
    </xf>
    <xf numFmtId="169" fontId="8" fillId="0" borderId="9" xfId="1" applyFont="1" applyBorder="1" applyAlignment="1" applyProtection="1">
      <alignment horizontal="center" vertical="center"/>
    </xf>
    <xf numFmtId="169" fontId="8" fillId="0" borderId="10" xfId="1" applyFont="1" applyBorder="1" applyAlignment="1" applyProtection="1">
      <alignment vertical="center"/>
    </xf>
    <xf numFmtId="169" fontId="8" fillId="0" borderId="11" xfId="0" applyNumberFormat="1" applyFont="1" applyBorder="1" applyAlignment="1">
      <alignment vertical="center"/>
    </xf>
    <xf numFmtId="169" fontId="8" fillId="0" borderId="11" xfId="1" applyFont="1" applyBorder="1" applyAlignment="1" applyProtection="1">
      <alignment vertical="center"/>
    </xf>
    <xf numFmtId="169" fontId="8" fillId="0" borderId="0" xfId="1" applyFont="1" applyBorder="1" applyAlignment="1" applyProtection="1">
      <alignment vertical="center"/>
    </xf>
    <xf numFmtId="0" fontId="8" fillId="0" borderId="0" xfId="0" applyFont="1" applyAlignment="1">
      <alignment vertical="center"/>
    </xf>
    <xf numFmtId="169" fontId="0" fillId="0" borderId="10" xfId="1" applyFont="1" applyBorder="1" applyAlignment="1" applyProtection="1">
      <alignment vertical="center"/>
    </xf>
    <xf numFmtId="169" fontId="0" fillId="0" borderId="11" xfId="0" applyNumberFormat="1" applyBorder="1" applyAlignment="1">
      <alignment vertical="center"/>
    </xf>
    <xf numFmtId="169" fontId="0" fillId="0" borderId="11" xfId="1" applyFont="1" applyBorder="1" applyAlignment="1" applyProtection="1">
      <alignment vertical="center"/>
    </xf>
    <xf numFmtId="169" fontId="8" fillId="0" borderId="10" xfId="1" applyFont="1" applyBorder="1" applyAlignment="1" applyProtection="1">
      <alignment horizontal="left" vertical="center"/>
    </xf>
    <xf numFmtId="169" fontId="2" fillId="0" borderId="10" xfId="1" applyFont="1" applyBorder="1" applyAlignment="1" applyProtection="1">
      <alignment horizontal="left" vertical="center"/>
    </xf>
    <xf numFmtId="169" fontId="8" fillId="0" borderId="11" xfId="1" applyFont="1" applyBorder="1" applyAlignment="1" applyProtection="1">
      <alignment horizontal="left" vertical="center"/>
    </xf>
    <xf numFmtId="4" fontId="8" fillId="0" borderId="11" xfId="0" applyNumberFormat="1" applyFont="1" applyBorder="1" applyAlignment="1">
      <alignment horizontal="center" vertical="center"/>
    </xf>
    <xf numFmtId="169" fontId="8" fillId="0" borderId="15" xfId="1" applyFont="1" applyBorder="1" applyAlignment="1" applyProtection="1">
      <alignment horizontal="left" vertical="center"/>
    </xf>
    <xf numFmtId="4" fontId="8" fillId="0" borderId="16" xfId="0" applyNumberFormat="1" applyFont="1" applyBorder="1" applyAlignment="1">
      <alignment horizontal="center" vertical="center"/>
    </xf>
    <xf numFmtId="169" fontId="8" fillId="0" borderId="16" xfId="1" applyFont="1" applyBorder="1" applyAlignment="1" applyProtection="1">
      <alignment vertical="center"/>
    </xf>
    <xf numFmtId="166" fontId="8" fillId="0" borderId="17" xfId="0" applyNumberFormat="1" applyFont="1" applyBorder="1" applyAlignment="1">
      <alignment vertical="center"/>
    </xf>
    <xf numFmtId="9" fontId="8" fillId="0" borderId="18" xfId="3" applyFont="1" applyBorder="1" applyAlignment="1" applyProtection="1">
      <alignment horizontal="center" vertical="center"/>
    </xf>
    <xf numFmtId="169" fontId="8" fillId="0" borderId="0" xfId="1" applyFont="1" applyBorder="1" applyAlignment="1" applyProtection="1">
      <alignment horizontal="left" vertical="center"/>
    </xf>
    <xf numFmtId="4" fontId="8" fillId="0" borderId="0" xfId="0" applyNumberFormat="1" applyFont="1" applyAlignment="1">
      <alignment horizontal="center" vertical="center"/>
    </xf>
    <xf numFmtId="166" fontId="8" fillId="0" borderId="0" xfId="0" applyNumberFormat="1" applyFont="1" applyAlignment="1">
      <alignment vertical="center"/>
    </xf>
    <xf numFmtId="9" fontId="8" fillId="0" borderId="0" xfId="3" applyFont="1" applyBorder="1" applyAlignment="1" applyProtection="1">
      <alignment horizontal="center" vertical="center"/>
    </xf>
    <xf numFmtId="169" fontId="8" fillId="0" borderId="20" xfId="1" applyFont="1" applyBorder="1" applyAlignment="1" applyProtection="1">
      <alignment horizontal="center" vertical="center"/>
    </xf>
    <xf numFmtId="169" fontId="8" fillId="0" borderId="6" xfId="1" applyFont="1" applyBorder="1" applyAlignment="1" applyProtection="1">
      <alignment vertical="center"/>
    </xf>
    <xf numFmtId="169" fontId="2" fillId="0" borderId="7" xfId="1" applyFont="1" applyBorder="1" applyAlignment="1" applyProtection="1">
      <alignment vertical="center"/>
    </xf>
    <xf numFmtId="0" fontId="0" fillId="0" borderId="7" xfId="0" applyBorder="1" applyAlignment="1">
      <alignment vertical="center"/>
    </xf>
    <xf numFmtId="1" fontId="8" fillId="0" borderId="9" xfId="1" applyNumberFormat="1" applyFont="1" applyBorder="1" applyAlignment="1" applyProtection="1">
      <alignment horizontal="center" vertical="center"/>
    </xf>
    <xf numFmtId="173" fontId="0" fillId="0" borderId="0" xfId="3" applyNumberFormat="1" applyFont="1" applyBorder="1" applyAlignment="1" applyProtection="1">
      <alignment vertical="center"/>
    </xf>
    <xf numFmtId="169" fontId="2" fillId="0" borderId="21" xfId="1" applyFont="1" applyBorder="1" applyAlignment="1" applyProtection="1">
      <alignment vertical="center"/>
    </xf>
    <xf numFmtId="169" fontId="2" fillId="0" borderId="22" xfId="1" applyFont="1" applyBorder="1" applyAlignment="1" applyProtection="1">
      <alignment vertical="center"/>
    </xf>
    <xf numFmtId="0" fontId="0" fillId="0" borderId="22" xfId="0" applyBorder="1" applyAlignment="1">
      <alignment vertical="center"/>
    </xf>
    <xf numFmtId="2" fontId="8" fillId="0" borderId="23" xfId="1" applyNumberFormat="1" applyFont="1" applyBorder="1" applyAlignment="1" applyProtection="1">
      <alignment horizontal="center" vertical="center"/>
    </xf>
    <xf numFmtId="1" fontId="8" fillId="0" borderId="23" xfId="1" applyNumberFormat="1" applyFont="1" applyBorder="1" applyAlignment="1" applyProtection="1">
      <alignment horizontal="center" vertical="center"/>
    </xf>
    <xf numFmtId="169" fontId="2" fillId="0" borderId="11" xfId="1" applyFont="1" applyBorder="1" applyAlignment="1" applyProtection="1">
      <alignment vertical="center"/>
    </xf>
    <xf numFmtId="0" fontId="0" fillId="0" borderId="11" xfId="0" applyBorder="1" applyAlignment="1">
      <alignment vertical="center"/>
    </xf>
    <xf numFmtId="1" fontId="8" fillId="4" borderId="24" xfId="1" applyNumberFormat="1" applyFont="1" applyFill="1" applyBorder="1" applyAlignment="1" applyProtection="1">
      <alignment horizontal="center" vertical="center"/>
    </xf>
    <xf numFmtId="164" fontId="8" fillId="4" borderId="24" xfId="2" applyFont="1" applyFill="1" applyBorder="1" applyAlignment="1" applyProtection="1">
      <alignment horizontal="center" vertical="center"/>
    </xf>
    <xf numFmtId="169" fontId="2" fillId="0" borderId="10" xfId="1" applyFont="1" applyBorder="1" applyAlignment="1" applyProtection="1">
      <alignment vertical="center"/>
    </xf>
    <xf numFmtId="169" fontId="8" fillId="0" borderId="25" xfId="1" applyFont="1" applyBorder="1" applyAlignment="1" applyProtection="1">
      <alignment vertical="center"/>
    </xf>
    <xf numFmtId="4" fontId="8" fillId="0" borderId="26" xfId="0" applyNumberFormat="1" applyFont="1" applyBorder="1" applyAlignment="1">
      <alignment vertical="center"/>
    </xf>
    <xf numFmtId="0" fontId="0" fillId="0" borderId="26" xfId="0" applyBorder="1" applyAlignment="1">
      <alignment vertical="center"/>
    </xf>
    <xf numFmtId="1" fontId="8" fillId="0" borderId="27" xfId="1" applyNumberFormat="1" applyFont="1" applyBorder="1" applyAlignment="1" applyProtection="1">
      <alignment horizontal="center" vertical="center"/>
    </xf>
    <xf numFmtId="174" fontId="2" fillId="0" borderId="0" xfId="1" applyNumberFormat="1" applyFont="1" applyBorder="1" applyAlignment="1" applyProtection="1">
      <alignment horizontal="center" vertical="center"/>
    </xf>
    <xf numFmtId="169" fontId="2" fillId="0" borderId="0" xfId="1" applyFont="1" applyBorder="1" applyAlignment="1" applyProtection="1">
      <alignment horizontal="center" vertical="center"/>
    </xf>
    <xf numFmtId="169" fontId="8" fillId="0" borderId="15" xfId="1" applyFont="1" applyBorder="1" applyAlignment="1" applyProtection="1">
      <alignment vertical="center"/>
    </xf>
    <xf numFmtId="10" fontId="8" fillId="5" borderId="5" xfId="3" applyNumberFormat="1" applyFont="1" applyFill="1" applyBorder="1" applyAlignment="1" applyProtection="1">
      <alignment vertical="center"/>
    </xf>
    <xf numFmtId="174" fontId="8" fillId="0" borderId="0" xfId="1" applyNumberFormat="1" applyFont="1" applyBorder="1" applyAlignment="1" applyProtection="1">
      <alignment horizontal="center" vertical="center"/>
    </xf>
    <xf numFmtId="0" fontId="9" fillId="6" borderId="19" xfId="0" applyFont="1" applyFill="1" applyBorder="1" applyAlignment="1">
      <alignment horizontal="center" vertical="center"/>
    </xf>
    <xf numFmtId="0" fontId="9" fillId="6" borderId="28" xfId="0" applyFont="1" applyFill="1" applyBorder="1" applyAlignment="1">
      <alignment horizontal="center" vertical="center"/>
    </xf>
    <xf numFmtId="169" fontId="9" fillId="6" borderId="28" xfId="1" applyFont="1" applyFill="1" applyBorder="1" applyAlignment="1" applyProtection="1">
      <alignment horizontal="center" vertical="center"/>
    </xf>
    <xf numFmtId="169" fontId="9" fillId="6" borderId="18" xfId="1" applyFont="1" applyFill="1" applyBorder="1" applyAlignment="1" applyProtection="1">
      <alignment horizontal="center" vertical="center"/>
    </xf>
    <xf numFmtId="0" fontId="2" fillId="0" borderId="29" xfId="0" applyFont="1" applyBorder="1" applyAlignment="1">
      <alignment vertical="center"/>
    </xf>
    <xf numFmtId="0" fontId="2" fillId="0" borderId="29" xfId="0" applyFont="1" applyBorder="1" applyAlignment="1">
      <alignment horizontal="center" vertical="center"/>
    </xf>
    <xf numFmtId="175" fontId="2" fillId="5" borderId="29" xfId="1" applyNumberFormat="1" applyFont="1" applyFill="1" applyBorder="1" applyAlignment="1" applyProtection="1">
      <alignment horizontal="center" vertical="center"/>
    </xf>
    <xf numFmtId="175" fontId="2" fillId="0" borderId="29" xfId="1" applyNumberFormat="1" applyFont="1" applyBorder="1" applyAlignment="1" applyProtection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2" fontId="2" fillId="5" borderId="12" xfId="0" applyNumberFormat="1" applyFont="1" applyFill="1" applyBorder="1" applyAlignment="1">
      <alignment horizontal="center" vertical="center"/>
    </xf>
    <xf numFmtId="175" fontId="2" fillId="0" borderId="12" xfId="1" applyNumberFormat="1" applyFont="1" applyBorder="1" applyAlignment="1" applyProtection="1">
      <alignment horizontal="center" vertical="center"/>
    </xf>
    <xf numFmtId="0" fontId="2" fillId="0" borderId="30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175" fontId="8" fillId="0" borderId="0" xfId="1" applyNumberFormat="1" applyFont="1" applyBorder="1" applyAlignment="1" applyProtection="1">
      <alignment horizontal="center" vertical="center"/>
    </xf>
    <xf numFmtId="0" fontId="2" fillId="7" borderId="12" xfId="1" applyNumberFormat="1" applyFont="1" applyFill="1" applyBorder="1" applyAlignment="1" applyProtection="1">
      <alignment horizontal="center" vertical="center"/>
    </xf>
    <xf numFmtId="1" fontId="2" fillId="5" borderId="12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169" fontId="2" fillId="0" borderId="0" xfId="1" applyFont="1" applyBorder="1" applyAlignment="1" applyProtection="1">
      <alignment horizontal="right" vertical="center"/>
    </xf>
    <xf numFmtId="169" fontId="2" fillId="0" borderId="12" xfId="1" applyFont="1" applyBorder="1" applyAlignment="1" applyProtection="1">
      <alignment vertical="center"/>
    </xf>
    <xf numFmtId="164" fontId="8" fillId="6" borderId="31" xfId="2" applyFont="1" applyFill="1" applyBorder="1" applyAlignment="1" applyProtection="1">
      <alignment horizontal="center" vertical="center"/>
    </xf>
    <xf numFmtId="176" fontId="2" fillId="0" borderId="0" xfId="1" applyNumberFormat="1" applyFont="1" applyBorder="1" applyAlignment="1" applyProtection="1">
      <alignment vertical="center"/>
    </xf>
    <xf numFmtId="169" fontId="8" fillId="5" borderId="0" xfId="1" applyFont="1" applyFill="1" applyBorder="1" applyAlignment="1" applyProtection="1">
      <alignment horizontal="center" vertical="center"/>
    </xf>
    <xf numFmtId="169" fontId="2" fillId="0" borderId="29" xfId="1" applyFont="1" applyBorder="1" applyAlignment="1" applyProtection="1">
      <alignment horizontal="center" vertical="center"/>
    </xf>
    <xf numFmtId="164" fontId="2" fillId="0" borderId="29" xfId="2" applyFont="1" applyBorder="1" applyAlignment="1" applyProtection="1">
      <alignment horizontal="center" vertical="center"/>
    </xf>
    <xf numFmtId="164" fontId="8" fillId="0" borderId="0" xfId="2" applyFont="1" applyBorder="1" applyAlignment="1" applyProtection="1">
      <alignment horizontal="center" vertical="center"/>
    </xf>
    <xf numFmtId="164" fontId="2" fillId="0" borderId="12" xfId="2" applyFont="1" applyBorder="1" applyAlignment="1" applyProtection="1">
      <alignment horizontal="center" vertical="center"/>
    </xf>
    <xf numFmtId="0" fontId="8" fillId="0" borderId="11" xfId="0" applyFont="1" applyBorder="1" applyAlignment="1">
      <alignment horizontal="center" vertical="center"/>
    </xf>
    <xf numFmtId="164" fontId="8" fillId="0" borderId="11" xfId="2" applyFont="1" applyBorder="1" applyAlignment="1" applyProtection="1">
      <alignment horizontal="center" vertical="center"/>
    </xf>
    <xf numFmtId="176" fontId="2" fillId="0" borderId="12" xfId="1" applyNumberFormat="1" applyFont="1" applyBorder="1" applyAlignment="1" applyProtection="1">
      <alignment vertical="center"/>
    </xf>
    <xf numFmtId="1" fontId="2" fillId="0" borderId="12" xfId="1" applyNumberFormat="1" applyFont="1" applyBorder="1" applyAlignment="1" applyProtection="1">
      <alignment horizontal="center" vertical="center"/>
    </xf>
    <xf numFmtId="164" fontId="2" fillId="0" borderId="12" xfId="2" applyFont="1" applyBorder="1" applyAlignment="1" applyProtection="1">
      <alignment vertical="center"/>
    </xf>
    <xf numFmtId="0" fontId="11" fillId="0" borderId="32" xfId="0" applyFont="1" applyBorder="1" applyAlignment="1">
      <alignment vertical="center"/>
    </xf>
    <xf numFmtId="164" fontId="8" fillId="6" borderId="5" xfId="2" applyFont="1" applyFill="1" applyBorder="1" applyAlignment="1" applyProtection="1">
      <alignment vertical="center"/>
    </xf>
    <xf numFmtId="0" fontId="2" fillId="0" borderId="0" xfId="0" applyFont="1" applyAlignment="1">
      <alignment horizontal="right" vertical="center"/>
    </xf>
    <xf numFmtId="169" fontId="2" fillId="0" borderId="0" xfId="0" applyNumberFormat="1" applyFont="1" applyAlignment="1">
      <alignment vertical="center"/>
    </xf>
    <xf numFmtId="174" fontId="2" fillId="0" borderId="12" xfId="1" applyNumberFormat="1" applyFont="1" applyBorder="1" applyAlignment="1" applyProtection="1">
      <alignment horizontal="center" vertical="center"/>
    </xf>
    <xf numFmtId="169" fontId="2" fillId="0" borderId="12" xfId="1" applyFont="1" applyBorder="1" applyAlignment="1" applyProtection="1">
      <alignment horizontal="center" vertical="center"/>
    </xf>
    <xf numFmtId="174" fontId="2" fillId="0" borderId="12" xfId="1" applyNumberFormat="1" applyFont="1" applyBorder="1" applyAlignment="1" applyProtection="1">
      <alignment vertical="center"/>
    </xf>
    <xf numFmtId="169" fontId="8" fillId="6" borderId="5" xfId="1" applyFont="1" applyFill="1" applyBorder="1" applyAlignment="1" applyProtection="1">
      <alignment vertical="center"/>
    </xf>
    <xf numFmtId="164" fontId="2" fillId="0" borderId="12" xfId="4" applyFont="1" applyBorder="1" applyAlignment="1" applyProtection="1">
      <alignment vertical="center"/>
    </xf>
    <xf numFmtId="164" fontId="8" fillId="6" borderId="5" xfId="4" applyFont="1" applyFill="1" applyBorder="1" applyAlignment="1" applyProtection="1">
      <alignment vertical="center"/>
    </xf>
    <xf numFmtId="0" fontId="12" fillId="2" borderId="15" xfId="0" applyFont="1" applyFill="1" applyBorder="1" applyAlignment="1">
      <alignment vertical="center"/>
    </xf>
    <xf numFmtId="0" fontId="12" fillId="2" borderId="16" xfId="0" applyFont="1" applyFill="1" applyBorder="1" applyAlignment="1">
      <alignment vertical="center"/>
    </xf>
    <xf numFmtId="169" fontId="12" fillId="2" borderId="16" xfId="1" applyFont="1" applyFill="1" applyBorder="1" applyAlignment="1" applyProtection="1">
      <alignment vertical="center"/>
    </xf>
    <xf numFmtId="169" fontId="12" fillId="2" borderId="31" xfId="1" applyFont="1" applyFill="1" applyBorder="1" applyAlignment="1" applyProtection="1">
      <alignment vertical="center"/>
    </xf>
    <xf numFmtId="164" fontId="12" fillId="2" borderId="5" xfId="2" applyFont="1" applyFill="1" applyBorder="1" applyAlignment="1" applyProtection="1">
      <alignment vertical="center"/>
    </xf>
    <xf numFmtId="170" fontId="2" fillId="0" borderId="0" xfId="0" applyNumberFormat="1" applyFont="1" applyAlignment="1">
      <alignment vertical="center"/>
    </xf>
    <xf numFmtId="0" fontId="9" fillId="6" borderId="28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vertical="center"/>
    </xf>
    <xf numFmtId="169" fontId="14" fillId="2" borderId="16" xfId="1" applyFont="1" applyFill="1" applyBorder="1" applyAlignment="1" applyProtection="1">
      <alignment vertical="center"/>
    </xf>
    <xf numFmtId="169" fontId="14" fillId="2" borderId="31" xfId="1" applyFont="1" applyFill="1" applyBorder="1" applyAlignment="1" applyProtection="1">
      <alignment vertical="center"/>
    </xf>
    <xf numFmtId="164" fontId="12" fillId="2" borderId="5" xfId="2" applyFont="1" applyFill="1" applyBorder="1" applyAlignment="1" applyProtection="1">
      <alignment horizontal="center" vertical="center"/>
    </xf>
    <xf numFmtId="169" fontId="8" fillId="0" borderId="0" xfId="1" applyFont="1" applyBorder="1" applyAlignment="1" applyProtection="1">
      <alignment horizontal="center" vertical="center"/>
    </xf>
    <xf numFmtId="0" fontId="9" fillId="6" borderId="33" xfId="0" applyFont="1" applyFill="1" applyBorder="1" applyAlignment="1">
      <alignment horizontal="center" vertical="center"/>
    </xf>
    <xf numFmtId="0" fontId="9" fillId="6" borderId="34" xfId="0" applyFont="1" applyFill="1" applyBorder="1" applyAlignment="1">
      <alignment horizontal="center" vertical="center"/>
    </xf>
    <xf numFmtId="169" fontId="9" fillId="6" borderId="34" xfId="1" applyFont="1" applyFill="1" applyBorder="1" applyAlignment="1" applyProtection="1">
      <alignment horizontal="center" vertical="center"/>
    </xf>
    <xf numFmtId="169" fontId="9" fillId="6" borderId="9" xfId="1" applyFont="1" applyFill="1" applyBorder="1" applyAlignment="1" applyProtection="1">
      <alignment horizontal="center" vertical="center"/>
    </xf>
    <xf numFmtId="0" fontId="2" fillId="5" borderId="12" xfId="0" applyFont="1" applyFill="1" applyBorder="1" applyAlignment="1">
      <alignment horizontal="left" vertical="center"/>
    </xf>
    <xf numFmtId="0" fontId="2" fillId="5" borderId="12" xfId="0" applyFont="1" applyFill="1" applyBorder="1" applyAlignment="1">
      <alignment horizontal="center" vertical="center"/>
    </xf>
    <xf numFmtId="10" fontId="2" fillId="5" borderId="12" xfId="0" applyNumberFormat="1" applyFont="1" applyFill="1" applyBorder="1" applyAlignment="1">
      <alignment horizontal="center" vertical="center"/>
    </xf>
    <xf numFmtId="164" fontId="2" fillId="5" borderId="12" xfId="0" applyNumberFormat="1" applyFont="1" applyFill="1" applyBorder="1" applyAlignment="1">
      <alignment vertical="center"/>
    </xf>
    <xf numFmtId="164" fontId="2" fillId="5" borderId="0" xfId="2" applyFont="1" applyFill="1" applyBorder="1" applyAlignment="1" applyProtection="1">
      <alignment vertical="center"/>
    </xf>
    <xf numFmtId="0" fontId="12" fillId="5" borderId="0" xfId="0" applyFont="1" applyFill="1" applyAlignment="1">
      <alignment horizontal="left" vertical="center"/>
    </xf>
    <xf numFmtId="164" fontId="12" fillId="5" borderId="0" xfId="2" applyFont="1" applyFill="1" applyBorder="1" applyAlignment="1" applyProtection="1">
      <alignment horizontal="center" vertical="center"/>
    </xf>
    <xf numFmtId="0" fontId="8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169" fontId="2" fillId="0" borderId="16" xfId="1" applyFont="1" applyBorder="1" applyAlignment="1" applyProtection="1">
      <alignment vertical="center"/>
    </xf>
    <xf numFmtId="169" fontId="2" fillId="0" borderId="31" xfId="1" applyFont="1" applyBorder="1" applyAlignment="1" applyProtection="1">
      <alignment vertical="center"/>
    </xf>
    <xf numFmtId="0" fontId="7" fillId="0" borderId="0" xfId="0" applyFont="1" applyAlignment="1">
      <alignment vertical="center"/>
    </xf>
    <xf numFmtId="169" fontId="7" fillId="0" borderId="0" xfId="1" applyFont="1" applyBorder="1" applyAlignment="1" applyProtection="1">
      <alignment vertical="center"/>
    </xf>
    <xf numFmtId="0" fontId="8" fillId="0" borderId="16" xfId="0" applyFont="1" applyBorder="1" applyAlignment="1">
      <alignment vertical="center"/>
    </xf>
    <xf numFmtId="10" fontId="2" fillId="0" borderId="0" xfId="3" applyNumberFormat="1" applyFont="1" applyBorder="1" applyAlignment="1" applyProtection="1">
      <alignment vertical="center"/>
    </xf>
    <xf numFmtId="0" fontId="2" fillId="0" borderId="0" xfId="0" applyFont="1"/>
    <xf numFmtId="4" fontId="2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16" fillId="0" borderId="36" xfId="0" applyFont="1" applyBorder="1" applyAlignment="1">
      <alignment horizontal="left" vertical="center"/>
    </xf>
    <xf numFmtId="0" fontId="16" fillId="0" borderId="12" xfId="0" applyFont="1" applyBorder="1" applyAlignment="1">
      <alignment horizontal="left" vertical="center"/>
    </xf>
    <xf numFmtId="0" fontId="16" fillId="0" borderId="24" xfId="0" applyFont="1" applyBorder="1" applyAlignment="1">
      <alignment horizontal="left" vertical="center"/>
    </xf>
    <xf numFmtId="10" fontId="16" fillId="0" borderId="24" xfId="0" applyNumberFormat="1" applyFont="1" applyBorder="1" applyAlignment="1">
      <alignment horizontal="right" vertical="center"/>
    </xf>
    <xf numFmtId="0" fontId="17" fillId="0" borderId="12" xfId="0" applyFont="1" applyBorder="1" applyAlignment="1">
      <alignment horizontal="left" vertical="center"/>
    </xf>
    <xf numFmtId="10" fontId="17" fillId="0" borderId="24" xfId="0" applyNumberFormat="1" applyFont="1" applyBorder="1" applyAlignment="1">
      <alignment horizontal="right" vertical="center"/>
    </xf>
    <xf numFmtId="0" fontId="16" fillId="8" borderId="36" xfId="0" applyFont="1" applyFill="1" applyBorder="1" applyAlignment="1">
      <alignment horizontal="left" vertical="center"/>
    </xf>
    <xf numFmtId="0" fontId="17" fillId="8" borderId="12" xfId="0" applyFont="1" applyFill="1" applyBorder="1" applyAlignment="1">
      <alignment horizontal="left" vertical="center"/>
    </xf>
    <xf numFmtId="10" fontId="17" fillId="8" borderId="24" xfId="0" applyNumberFormat="1" applyFont="1" applyFill="1" applyBorder="1" applyAlignment="1">
      <alignment horizontal="right" vertical="center"/>
    </xf>
    <xf numFmtId="10" fontId="2" fillId="0" borderId="0" xfId="0" applyNumberFormat="1" applyFont="1"/>
    <xf numFmtId="9" fontId="16" fillId="0" borderId="0" xfId="3" applyFont="1" applyBorder="1" applyAlignment="1" applyProtection="1">
      <alignment horizontal="right" vertical="center"/>
    </xf>
    <xf numFmtId="0" fontId="16" fillId="0" borderId="12" xfId="0" applyFont="1" applyBorder="1" applyAlignment="1">
      <alignment horizontal="left" vertical="center" wrapText="1"/>
    </xf>
    <xf numFmtId="0" fontId="16" fillId="9" borderId="37" xfId="0" applyFont="1" applyFill="1" applyBorder="1" applyAlignment="1">
      <alignment horizontal="left" vertical="center"/>
    </xf>
    <xf numFmtId="0" fontId="17" fillId="9" borderId="14" xfId="0" applyFont="1" applyFill="1" applyBorder="1" applyAlignment="1">
      <alignment horizontal="left" vertical="center"/>
    </xf>
    <xf numFmtId="10" fontId="17" fillId="9" borderId="38" xfId="0" applyNumberFormat="1" applyFont="1" applyFill="1" applyBorder="1" applyAlignment="1">
      <alignment horizontal="right"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0" fontId="17" fillId="0" borderId="0" xfId="0" applyNumberFormat="1" applyFont="1" applyAlignment="1">
      <alignment horizontal="right" vertical="center"/>
    </xf>
    <xf numFmtId="10" fontId="16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5" fillId="0" borderId="3" xfId="0" applyFont="1" applyBorder="1"/>
    <xf numFmtId="9" fontId="5" fillId="0" borderId="36" xfId="3" applyFont="1" applyBorder="1" applyProtection="1"/>
    <xf numFmtId="9" fontId="5" fillId="0" borderId="12" xfId="3" applyFont="1" applyBorder="1" applyAlignment="1" applyProtection="1">
      <alignment horizontal="center"/>
    </xf>
    <xf numFmtId="9" fontId="5" fillId="0" borderId="24" xfId="3" applyFont="1" applyBorder="1" applyProtection="1"/>
    <xf numFmtId="0" fontId="5" fillId="0" borderId="39" xfId="0" applyFont="1" applyBorder="1" applyAlignment="1">
      <alignment horizontal="left" vertical="center"/>
    </xf>
    <xf numFmtId="0" fontId="5" fillId="0" borderId="40" xfId="0" applyFont="1" applyBorder="1" applyAlignment="1">
      <alignment horizontal="center" vertical="center"/>
    </xf>
    <xf numFmtId="10" fontId="5" fillId="4" borderId="9" xfId="0" applyNumberFormat="1" applyFont="1" applyFill="1" applyBorder="1" applyAlignment="1">
      <alignment horizontal="center" vertical="center"/>
    </xf>
    <xf numFmtId="10" fontId="5" fillId="0" borderId="36" xfId="3" applyNumberFormat="1" applyFont="1" applyBorder="1" applyAlignment="1" applyProtection="1">
      <alignment horizontal="right"/>
    </xf>
    <xf numFmtId="10" fontId="5" fillId="0" borderId="12" xfId="3" applyNumberFormat="1" applyFont="1" applyBorder="1" applyAlignment="1" applyProtection="1">
      <alignment horizontal="right"/>
    </xf>
    <xf numFmtId="10" fontId="5" fillId="0" borderId="24" xfId="3" applyNumberFormat="1" applyFont="1" applyBorder="1" applyAlignment="1" applyProtection="1">
      <alignment horizontal="right"/>
    </xf>
    <xf numFmtId="0" fontId="5" fillId="0" borderId="36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10" fontId="5" fillId="4" borderId="24" xfId="0" applyNumberFormat="1" applyFont="1" applyFill="1" applyBorder="1" applyAlignment="1">
      <alignment horizontal="center" vertical="center"/>
    </xf>
    <xf numFmtId="10" fontId="5" fillId="4" borderId="12" xfId="3" applyNumberFormat="1" applyFont="1" applyFill="1" applyBorder="1" applyAlignment="1" applyProtection="1">
      <alignment horizontal="center"/>
    </xf>
    <xf numFmtId="10" fontId="5" fillId="0" borderId="24" xfId="3" applyNumberFormat="1" applyFont="1" applyBorder="1" applyProtection="1"/>
    <xf numFmtId="0" fontId="5" fillId="0" borderId="36" xfId="0" applyFont="1" applyBorder="1" applyAlignment="1">
      <alignment horizontal="right"/>
    </xf>
    <xf numFmtId="0" fontId="5" fillId="0" borderId="12" xfId="0" applyFont="1" applyBorder="1" applyAlignment="1">
      <alignment horizontal="center"/>
    </xf>
    <xf numFmtId="0" fontId="5" fillId="0" borderId="24" xfId="0" applyFont="1" applyBorder="1"/>
    <xf numFmtId="0" fontId="5" fillId="0" borderId="37" xfId="0" applyFont="1" applyBorder="1" applyAlignment="1">
      <alignment horizontal="left" vertical="center"/>
    </xf>
    <xf numFmtId="10" fontId="5" fillId="4" borderId="38" xfId="0" applyNumberFormat="1" applyFont="1" applyFill="1" applyBorder="1" applyAlignment="1">
      <alignment horizontal="center" vertical="center"/>
    </xf>
    <xf numFmtId="0" fontId="5" fillId="0" borderId="36" xfId="0" applyFont="1" applyBorder="1"/>
    <xf numFmtId="10" fontId="5" fillId="0" borderId="12" xfId="0" applyNumberFormat="1" applyFont="1" applyBorder="1" applyAlignment="1">
      <alignment horizontal="center"/>
    </xf>
    <xf numFmtId="0" fontId="5" fillId="0" borderId="41" xfId="0" applyFont="1" applyBorder="1" applyAlignment="1">
      <alignment vertical="center"/>
    </xf>
    <xf numFmtId="0" fontId="5" fillId="0" borderId="42" xfId="0" applyFont="1" applyBorder="1" applyAlignment="1">
      <alignment vertical="center"/>
    </xf>
    <xf numFmtId="10" fontId="5" fillId="0" borderId="43" xfId="0" applyNumberFormat="1" applyFont="1" applyBorder="1" applyAlignment="1">
      <alignment vertical="center"/>
    </xf>
    <xf numFmtId="0" fontId="5" fillId="0" borderId="25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0" fontId="5" fillId="0" borderId="44" xfId="0" applyFont="1" applyBorder="1" applyAlignment="1">
      <alignment vertical="center"/>
    </xf>
    <xf numFmtId="0" fontId="6" fillId="8" borderId="15" xfId="0" applyFont="1" applyFill="1" applyBorder="1" applyAlignment="1">
      <alignment vertical="center" wrapText="1"/>
    </xf>
    <xf numFmtId="0" fontId="5" fillId="8" borderId="16" xfId="0" applyFont="1" applyFill="1" applyBorder="1" applyAlignment="1">
      <alignment vertical="center"/>
    </xf>
    <xf numFmtId="10" fontId="6" fillId="8" borderId="31" xfId="3" applyNumberFormat="1" applyFont="1" applyFill="1" applyBorder="1" applyAlignment="1" applyProtection="1">
      <alignment horizontal="center" vertical="center" wrapText="1"/>
    </xf>
    <xf numFmtId="10" fontId="5" fillId="0" borderId="37" xfId="3" applyNumberFormat="1" applyFont="1" applyBorder="1" applyAlignment="1" applyProtection="1">
      <alignment horizontal="right"/>
    </xf>
    <xf numFmtId="10" fontId="5" fillId="0" borderId="14" xfId="3" applyNumberFormat="1" applyFont="1" applyBorder="1" applyAlignment="1" applyProtection="1">
      <alignment horizontal="right"/>
    </xf>
    <xf numFmtId="10" fontId="5" fillId="0" borderId="38" xfId="3" applyNumberFormat="1" applyFont="1" applyBorder="1" applyAlignment="1" applyProtection="1">
      <alignment horizontal="right"/>
    </xf>
    <xf numFmtId="43" fontId="2" fillId="0" borderId="0" xfId="0" applyNumberFormat="1" applyFont="1" applyAlignment="1">
      <alignment vertical="center"/>
    </xf>
    <xf numFmtId="175" fontId="2" fillId="11" borderId="29" xfId="1" applyNumberFormat="1" applyFont="1" applyFill="1" applyBorder="1" applyAlignment="1" applyProtection="1">
      <alignment horizontal="center" vertical="center"/>
    </xf>
    <xf numFmtId="0" fontId="19" fillId="0" borderId="12" xfId="0" applyFont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169" fontId="2" fillId="12" borderId="0" xfId="1" applyFont="1" applyFill="1" applyBorder="1" applyAlignment="1" applyProtection="1">
      <alignment vertical="center"/>
    </xf>
    <xf numFmtId="0" fontId="20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177" fontId="19" fillId="0" borderId="0" xfId="1" applyNumberFormat="1" applyAlignment="1">
      <alignment vertical="center"/>
    </xf>
    <xf numFmtId="177" fontId="20" fillId="0" borderId="0" xfId="1" applyNumberFormat="1" applyFont="1" applyBorder="1" applyAlignment="1">
      <alignment vertical="center"/>
    </xf>
    <xf numFmtId="1" fontId="19" fillId="0" borderId="12" xfId="1" applyNumberFormat="1" applyBorder="1" applyAlignment="1">
      <alignment horizontal="center" vertical="center"/>
    </xf>
    <xf numFmtId="44" fontId="19" fillId="12" borderId="12" xfId="4" applyNumberFormat="1" applyFill="1" applyBorder="1" applyAlignment="1">
      <alignment horizontal="center" vertical="center"/>
    </xf>
    <xf numFmtId="44" fontId="19" fillId="0" borderId="12" xfId="4" applyNumberFormat="1" applyBorder="1" applyAlignment="1">
      <alignment vertical="center"/>
    </xf>
    <xf numFmtId="177" fontId="19" fillId="0" borderId="0" xfId="1" applyNumberFormat="1" applyAlignment="1">
      <alignment horizontal="right" vertical="center"/>
    </xf>
    <xf numFmtId="177" fontId="19" fillId="0" borderId="12" xfId="1" applyNumberFormat="1" applyBorder="1" applyAlignment="1">
      <alignment vertical="center"/>
    </xf>
    <xf numFmtId="169" fontId="20" fillId="0" borderId="10" xfId="1" applyFont="1" applyBorder="1" applyAlignment="1" applyProtection="1">
      <alignment horizontal="left" vertical="center"/>
    </xf>
    <xf numFmtId="171" fontId="8" fillId="0" borderId="12" xfId="0" applyNumberFormat="1" applyFont="1" applyBorder="1" applyAlignment="1">
      <alignment horizontal="right" vertical="center"/>
    </xf>
    <xf numFmtId="10" fontId="8" fillId="0" borderId="13" xfId="3" applyNumberFormat="1" applyFont="1" applyBorder="1" applyAlignment="1" applyProtection="1">
      <alignment horizontal="right" vertical="center"/>
    </xf>
    <xf numFmtId="171" fontId="0" fillId="0" borderId="12" xfId="0" applyNumberFormat="1" applyBorder="1" applyAlignment="1">
      <alignment horizontal="right" vertical="center"/>
    </xf>
    <xf numFmtId="10" fontId="0" fillId="0" borderId="13" xfId="3" applyNumberFormat="1" applyFont="1" applyBorder="1" applyAlignment="1" applyProtection="1">
      <alignment horizontal="right" vertical="center"/>
    </xf>
    <xf numFmtId="171" fontId="2" fillId="0" borderId="12" xfId="0" applyNumberFormat="1" applyFont="1" applyBorder="1" applyAlignment="1">
      <alignment horizontal="right" vertical="center"/>
    </xf>
    <xf numFmtId="171" fontId="20" fillId="0" borderId="30" xfId="0" applyNumberFormat="1" applyFont="1" applyBorder="1" applyAlignment="1">
      <alignment horizontal="right" vertical="center"/>
    </xf>
    <xf numFmtId="171" fontId="8" fillId="0" borderId="14" xfId="0" applyNumberFormat="1" applyFont="1" applyBorder="1" applyAlignment="1">
      <alignment horizontal="right" vertical="center"/>
    </xf>
    <xf numFmtId="2" fontId="0" fillId="0" borderId="0" xfId="0" applyNumberFormat="1"/>
    <xf numFmtId="169" fontId="2" fillId="12" borderId="29" xfId="1" applyFont="1" applyFill="1" applyBorder="1" applyAlignment="1" applyProtection="1">
      <alignment horizontal="center" vertical="center"/>
    </xf>
    <xf numFmtId="175" fontId="20" fillId="0" borderId="30" xfId="1" applyNumberFormat="1" applyFont="1" applyBorder="1" applyAlignment="1" applyProtection="1">
      <alignment horizontal="center" vertical="center"/>
    </xf>
    <xf numFmtId="175" fontId="20" fillId="0" borderId="12" xfId="1" applyNumberFormat="1" applyFont="1" applyBorder="1" applyAlignment="1" applyProtection="1">
      <alignment horizontal="center" vertical="center"/>
    </xf>
    <xf numFmtId="0" fontId="19" fillId="0" borderId="12" xfId="0" applyFont="1" applyBorder="1" applyAlignment="1">
      <alignment vertical="center" wrapText="1"/>
    </xf>
    <xf numFmtId="4" fontId="23" fillId="0" borderId="0" xfId="53" applyFont="1"/>
    <xf numFmtId="4" fontId="24" fillId="0" borderId="0" xfId="53" applyFont="1"/>
    <xf numFmtId="0" fontId="23" fillId="0" borderId="0" xfId="53" applyNumberFormat="1" applyFont="1" applyAlignment="1">
      <alignment vertical="center"/>
    </xf>
    <xf numFmtId="4" fontId="23" fillId="0" borderId="0" xfId="53" applyFont="1" applyAlignment="1">
      <alignment horizontal="center"/>
    </xf>
    <xf numFmtId="4" fontId="23" fillId="0" borderId="49" xfId="53" applyFont="1" applyBorder="1" applyAlignment="1">
      <alignment horizontal="center"/>
    </xf>
    <xf numFmtId="4" fontId="23" fillId="0" borderId="50" xfId="53" applyFont="1" applyBorder="1" applyAlignment="1">
      <alignment horizontal="center"/>
    </xf>
    <xf numFmtId="4" fontId="23" fillId="0" borderId="23" xfId="53" applyFont="1" applyBorder="1" applyAlignment="1">
      <alignment horizontal="center"/>
    </xf>
    <xf numFmtId="0" fontId="23" fillId="0" borderId="36" xfId="53" applyNumberFormat="1" applyFont="1" applyBorder="1" applyAlignment="1">
      <alignment horizontal="center"/>
    </xf>
    <xf numFmtId="177" fontId="23" fillId="0" borderId="12" xfId="54" applyNumberFormat="1" applyFont="1" applyFill="1" applyBorder="1" applyAlignment="1">
      <alignment horizontal="center"/>
    </xf>
    <xf numFmtId="177" fontId="23" fillId="0" borderId="24" xfId="54" applyNumberFormat="1" applyFont="1" applyFill="1" applyBorder="1" applyAlignment="1">
      <alignment horizontal="center"/>
    </xf>
    <xf numFmtId="0" fontId="23" fillId="0" borderId="51" xfId="53" applyNumberFormat="1" applyFont="1" applyBorder="1" applyAlignment="1">
      <alignment horizontal="center"/>
    </xf>
    <xf numFmtId="3" fontId="23" fillId="0" borderId="12" xfId="53" applyNumberFormat="1" applyFont="1" applyBorder="1" applyAlignment="1">
      <alignment horizontal="center"/>
    </xf>
    <xf numFmtId="0" fontId="23" fillId="0" borderId="52" xfId="53" applyNumberFormat="1" applyFont="1" applyBorder="1" applyAlignment="1">
      <alignment horizontal="center"/>
    </xf>
    <xf numFmtId="0" fontId="23" fillId="0" borderId="53" xfId="53" applyNumberFormat="1" applyFont="1" applyBorder="1" applyAlignment="1">
      <alignment horizontal="center"/>
    </xf>
    <xf numFmtId="177" fontId="23" fillId="0" borderId="54" xfId="54" applyNumberFormat="1" applyFont="1" applyFill="1" applyBorder="1"/>
    <xf numFmtId="177" fontId="23" fillId="0" borderId="55" xfId="54" applyNumberFormat="1" applyFont="1" applyFill="1" applyBorder="1"/>
    <xf numFmtId="4" fontId="23" fillId="0" borderId="29" xfId="53" applyFont="1" applyBorder="1" applyAlignment="1">
      <alignment horizontal="center" wrapText="1"/>
    </xf>
    <xf numFmtId="169" fontId="20" fillId="0" borderId="5" xfId="1" applyFont="1" applyBorder="1" applyAlignment="1" applyProtection="1">
      <alignment vertical="center"/>
    </xf>
    <xf numFmtId="174" fontId="20" fillId="0" borderId="15" xfId="1" applyNumberFormat="1" applyFont="1" applyBorder="1" applyAlignment="1" applyProtection="1">
      <alignment vertical="center"/>
    </xf>
    <xf numFmtId="172" fontId="8" fillId="12" borderId="23" xfId="2" applyNumberFormat="1" applyFont="1" applyFill="1" applyBorder="1" applyAlignment="1" applyProtection="1">
      <alignment horizontal="center" vertical="center"/>
    </xf>
    <xf numFmtId="164" fontId="2" fillId="12" borderId="12" xfId="4" applyFont="1" applyFill="1" applyBorder="1" applyAlignment="1" applyProtection="1">
      <alignment horizontal="center" vertical="center"/>
    </xf>
    <xf numFmtId="164" fontId="2" fillId="12" borderId="12" xfId="2" applyFont="1" applyFill="1" applyBorder="1" applyAlignment="1" applyProtection="1">
      <alignment horizontal="center" vertical="center"/>
    </xf>
    <xf numFmtId="3" fontId="23" fillId="0" borderId="12" xfId="53" applyNumberFormat="1" applyFont="1" applyBorder="1" applyAlignment="1">
      <alignment horizontal="right"/>
    </xf>
    <xf numFmtId="0" fontId="23" fillId="0" borderId="51" xfId="53" applyNumberFormat="1" applyFont="1" applyBorder="1" applyAlignment="1">
      <alignment horizontal="left" wrapText="1"/>
    </xf>
    <xf numFmtId="4" fontId="23" fillId="0" borderId="23" xfId="53" applyFont="1" applyBorder="1" applyAlignment="1">
      <alignment horizontal="center" wrapText="1"/>
    </xf>
    <xf numFmtId="9" fontId="2" fillId="0" borderId="29" xfId="0" applyNumberFormat="1" applyFont="1" applyBorder="1" applyAlignment="1">
      <alignment horizontal="center" vertical="center"/>
    </xf>
    <xf numFmtId="164" fontId="2" fillId="12" borderId="29" xfId="2" applyFont="1" applyFill="1" applyBorder="1" applyAlignment="1" applyProtection="1">
      <alignment horizontal="center" vertical="center"/>
    </xf>
    <xf numFmtId="0" fontId="19" fillId="0" borderId="0" xfId="0" applyFont="1"/>
    <xf numFmtId="4" fontId="23" fillId="0" borderId="19" xfId="53" applyFont="1" applyBorder="1" applyAlignment="1">
      <alignment horizontal="center"/>
    </xf>
    <xf numFmtId="4" fontId="23" fillId="0" borderId="48" xfId="53" applyFont="1" applyBorder="1" applyAlignment="1">
      <alignment horizontal="center"/>
    </xf>
    <xf numFmtId="4" fontId="23" fillId="0" borderId="28" xfId="53" applyFont="1" applyBorder="1" applyAlignment="1">
      <alignment horizontal="center"/>
    </xf>
    <xf numFmtId="4" fontId="23" fillId="0" borderId="18" xfId="53" applyFont="1" applyBorder="1" applyAlignment="1">
      <alignment horizontal="center"/>
    </xf>
    <xf numFmtId="4" fontId="23" fillId="13" borderId="15" xfId="53" applyFont="1" applyFill="1" applyBorder="1" applyAlignment="1">
      <alignment horizontal="center"/>
    </xf>
    <xf numFmtId="4" fontId="23" fillId="13" borderId="16" xfId="53" applyFont="1" applyFill="1" applyBorder="1" applyAlignment="1">
      <alignment horizontal="center"/>
    </xf>
    <xf numFmtId="4" fontId="23" fillId="13" borderId="31" xfId="53" applyFont="1" applyFill="1" applyBorder="1" applyAlignment="1">
      <alignment horizontal="center"/>
    </xf>
    <xf numFmtId="4" fontId="23" fillId="14" borderId="15" xfId="53" applyFont="1" applyFill="1" applyBorder="1" applyAlignment="1">
      <alignment horizontal="center"/>
    </xf>
    <xf numFmtId="4" fontId="23" fillId="14" borderId="16" xfId="53" applyFont="1" applyFill="1" applyBorder="1" applyAlignment="1">
      <alignment horizontal="center"/>
    </xf>
    <xf numFmtId="4" fontId="23" fillId="14" borderId="31" xfId="53" applyFont="1" applyFill="1" applyBorder="1" applyAlignment="1">
      <alignment horizontal="center"/>
    </xf>
    <xf numFmtId="0" fontId="23" fillId="14" borderId="41" xfId="53" applyNumberFormat="1" applyFont="1" applyFill="1" applyBorder="1" applyAlignment="1">
      <alignment horizontal="center" vertical="center"/>
    </xf>
    <xf numFmtId="0" fontId="23" fillId="14" borderId="42" xfId="53" applyNumberFormat="1" applyFont="1" applyFill="1" applyBorder="1" applyAlignment="1">
      <alignment horizontal="center" vertical="center"/>
    </xf>
    <xf numFmtId="0" fontId="23" fillId="14" borderId="43" xfId="53" applyNumberFormat="1" applyFont="1" applyFill="1" applyBorder="1" applyAlignment="1">
      <alignment horizontal="center" vertical="center"/>
    </xf>
    <xf numFmtId="0" fontId="23" fillId="0" borderId="45" xfId="53" applyNumberFormat="1" applyFont="1" applyBorder="1" applyAlignment="1">
      <alignment horizontal="center" vertical="center"/>
    </xf>
    <xf numFmtId="0" fontId="23" fillId="0" borderId="46" xfId="53" applyNumberFormat="1" applyFont="1" applyBorder="1" applyAlignment="1">
      <alignment horizontal="center" vertical="center"/>
    </xf>
    <xf numFmtId="0" fontId="23" fillId="0" borderId="30" xfId="53" applyNumberFormat="1" applyFont="1" applyBorder="1" applyAlignment="1">
      <alignment horizontal="center" vertical="center"/>
    </xf>
    <xf numFmtId="0" fontId="23" fillId="0" borderId="47" xfId="53" applyNumberFormat="1" applyFont="1" applyBorder="1" applyAlignment="1">
      <alignment horizontal="center" vertical="center"/>
    </xf>
    <xf numFmtId="0" fontId="11" fillId="0" borderId="0" xfId="0" applyFont="1" applyAlignment="1">
      <alignment horizontal="left" wrapText="1"/>
    </xf>
    <xf numFmtId="0" fontId="2" fillId="0" borderId="12" xfId="0" applyFont="1" applyBorder="1" applyAlignment="1">
      <alignment horizontal="left" vertical="center"/>
    </xf>
    <xf numFmtId="0" fontId="12" fillId="2" borderId="5" xfId="0" applyFont="1" applyFill="1" applyBorder="1" applyAlignment="1">
      <alignment horizontal="left" vertical="center"/>
    </xf>
    <xf numFmtId="169" fontId="7" fillId="3" borderId="5" xfId="1" applyFont="1" applyFill="1" applyBorder="1" applyAlignment="1" applyProtection="1">
      <alignment horizontal="center" vertical="center"/>
    </xf>
    <xf numFmtId="169" fontId="8" fillId="0" borderId="19" xfId="1" applyFont="1" applyBorder="1" applyAlignment="1" applyProtection="1">
      <alignment horizontal="center" vertical="center"/>
    </xf>
    <xf numFmtId="0" fontId="11" fillId="0" borderId="32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2" fillId="0" borderId="32" xfId="0" applyFont="1" applyBorder="1" applyAlignment="1">
      <alignment horizontal="left" vertical="top" wrapText="1"/>
    </xf>
    <xf numFmtId="0" fontId="3" fillId="2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wrapText="1"/>
    </xf>
    <xf numFmtId="0" fontId="6" fillId="3" borderId="2" xfId="0" applyFont="1" applyFill="1" applyBorder="1" applyAlignment="1">
      <alignment horizontal="center" vertical="center"/>
    </xf>
    <xf numFmtId="169" fontId="8" fillId="0" borderId="10" xfId="1" applyFont="1" applyBorder="1" applyAlignment="1" applyProtection="1">
      <alignment horizontal="left" vertical="center"/>
    </xf>
    <xf numFmtId="0" fontId="4" fillId="3" borderId="35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9" fontId="6" fillId="0" borderId="35" xfId="3" applyFont="1" applyBorder="1" applyAlignment="1" applyProtection="1">
      <alignment horizontal="center"/>
    </xf>
    <xf numFmtId="0" fontId="5" fillId="0" borderId="14" xfId="0" applyFont="1" applyBorder="1" applyAlignment="1">
      <alignment horizontal="center" vertical="center"/>
    </xf>
  </cellXfs>
  <cellStyles count="56">
    <cellStyle name="Moeda" xfId="2" builtinId="4"/>
    <cellStyle name="Moeda 2" xfId="4" xr:uid="{00000000-0005-0000-0000-000001000000}"/>
    <cellStyle name="Moeda 3" xfId="5" xr:uid="{00000000-0005-0000-0000-000002000000}"/>
    <cellStyle name="Moeda 4" xfId="6" xr:uid="{00000000-0005-0000-0000-000003000000}"/>
    <cellStyle name="Moeda 5" xfId="7" xr:uid="{00000000-0005-0000-0000-000004000000}"/>
    <cellStyle name="Normal" xfId="0" builtinId="0"/>
    <cellStyle name="Normal 10" xfId="8" xr:uid="{00000000-0005-0000-0000-000006000000}"/>
    <cellStyle name="Normal 11" xfId="9" xr:uid="{00000000-0005-0000-0000-000007000000}"/>
    <cellStyle name="Normal 12" xfId="10" xr:uid="{00000000-0005-0000-0000-000008000000}"/>
    <cellStyle name="Normal 13" xfId="11" xr:uid="{00000000-0005-0000-0000-000009000000}"/>
    <cellStyle name="Normal 14" xfId="12" xr:uid="{00000000-0005-0000-0000-00000A000000}"/>
    <cellStyle name="Normal 15" xfId="13" xr:uid="{00000000-0005-0000-0000-00000B000000}"/>
    <cellStyle name="Normal 15 2" xfId="53" xr:uid="{00000000-0005-0000-0000-00000C000000}"/>
    <cellStyle name="Normal 16" xfId="14" xr:uid="{00000000-0005-0000-0000-00000D000000}"/>
    <cellStyle name="Normal 17" xfId="15" xr:uid="{00000000-0005-0000-0000-00000E000000}"/>
    <cellStyle name="Normal 18" xfId="16" xr:uid="{00000000-0005-0000-0000-00000F000000}"/>
    <cellStyle name="Normal 19" xfId="17" xr:uid="{00000000-0005-0000-0000-000010000000}"/>
    <cellStyle name="Normal 2" xfId="18" xr:uid="{00000000-0005-0000-0000-000011000000}"/>
    <cellStyle name="Normal 2 2" xfId="19" xr:uid="{00000000-0005-0000-0000-000012000000}"/>
    <cellStyle name="Normal 2 3" xfId="20" xr:uid="{00000000-0005-0000-0000-000013000000}"/>
    <cellStyle name="Normal 20" xfId="21" xr:uid="{00000000-0005-0000-0000-000014000000}"/>
    <cellStyle name="Normal 21" xfId="22" xr:uid="{00000000-0005-0000-0000-000015000000}"/>
    <cellStyle name="Normal 22" xfId="23" xr:uid="{00000000-0005-0000-0000-000016000000}"/>
    <cellStyle name="Normal 3" xfId="24" xr:uid="{00000000-0005-0000-0000-000017000000}"/>
    <cellStyle name="Normal 4" xfId="25" xr:uid="{00000000-0005-0000-0000-000018000000}"/>
    <cellStyle name="Normal 5" xfId="26" xr:uid="{00000000-0005-0000-0000-000019000000}"/>
    <cellStyle name="Normal 6" xfId="27" xr:uid="{00000000-0005-0000-0000-00001A000000}"/>
    <cellStyle name="Normal 7" xfId="28" xr:uid="{00000000-0005-0000-0000-00001B000000}"/>
    <cellStyle name="Normal 8" xfId="29" xr:uid="{00000000-0005-0000-0000-00001C000000}"/>
    <cellStyle name="Normal 9" xfId="30" xr:uid="{00000000-0005-0000-0000-00001D000000}"/>
    <cellStyle name="Porcentagem" xfId="3" builtinId="5"/>
    <cellStyle name="Porcentagem 2" xfId="31" xr:uid="{00000000-0005-0000-0000-00001F000000}"/>
    <cellStyle name="Porcentagem 3" xfId="32" xr:uid="{00000000-0005-0000-0000-000020000000}"/>
    <cellStyle name="Porcentagem 5" xfId="55" xr:uid="{00000000-0005-0000-0000-000021000000}"/>
    <cellStyle name="Separador de milhares 10" xfId="33" xr:uid="{00000000-0005-0000-0000-000022000000}"/>
    <cellStyle name="Separador de milhares 11" xfId="34" xr:uid="{00000000-0005-0000-0000-000023000000}"/>
    <cellStyle name="Separador de milhares 12" xfId="35" xr:uid="{00000000-0005-0000-0000-000024000000}"/>
    <cellStyle name="Separador de milhares 13" xfId="36" xr:uid="{00000000-0005-0000-0000-000025000000}"/>
    <cellStyle name="Separador de milhares 14" xfId="37" xr:uid="{00000000-0005-0000-0000-000026000000}"/>
    <cellStyle name="Separador de milhares 15" xfId="38" xr:uid="{00000000-0005-0000-0000-000027000000}"/>
    <cellStyle name="Separador de milhares 15 2" xfId="54" xr:uid="{00000000-0005-0000-0000-000028000000}"/>
    <cellStyle name="Separador de milhares 16" xfId="39" xr:uid="{00000000-0005-0000-0000-000029000000}"/>
    <cellStyle name="Separador de milhares 17" xfId="40" xr:uid="{00000000-0005-0000-0000-00002A000000}"/>
    <cellStyle name="Separador de milhares 18" xfId="41" xr:uid="{00000000-0005-0000-0000-00002B000000}"/>
    <cellStyle name="Separador de milhares 19" xfId="42" xr:uid="{00000000-0005-0000-0000-00002C000000}"/>
    <cellStyle name="Separador de milhares 2" xfId="43" xr:uid="{00000000-0005-0000-0000-00002D000000}"/>
    <cellStyle name="Separador de milhares 20" xfId="44" xr:uid="{00000000-0005-0000-0000-00002E000000}"/>
    <cellStyle name="Separador de milhares 3" xfId="45" xr:uid="{00000000-0005-0000-0000-00002F000000}"/>
    <cellStyle name="Separador de milhares 4" xfId="46" xr:uid="{00000000-0005-0000-0000-000030000000}"/>
    <cellStyle name="Separador de milhares 5" xfId="47" xr:uid="{00000000-0005-0000-0000-000031000000}"/>
    <cellStyle name="Separador de milhares 6" xfId="48" xr:uid="{00000000-0005-0000-0000-000032000000}"/>
    <cellStyle name="Separador de milhares 7" xfId="49" xr:uid="{00000000-0005-0000-0000-000033000000}"/>
    <cellStyle name="Separador de milhares 8" xfId="50" xr:uid="{00000000-0005-0000-0000-000034000000}"/>
    <cellStyle name="Separador de milhares 9" xfId="51" xr:uid="{00000000-0005-0000-0000-000035000000}"/>
    <cellStyle name="Vírgula" xfId="1" builtinId="3"/>
    <cellStyle name="Vírgula 2" xfId="52" xr:uid="{00000000-0005-0000-0000-000037000000}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BFBFBF"/>
      <rgbColor rgb="FFFF99CC"/>
      <rgbColor rgb="FFCC99FF"/>
      <rgbColor rgb="FFDDD9C3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1514475</xdr:colOff>
      <xdr:row>37</xdr:row>
      <xdr:rowOff>0</xdr:rowOff>
    </xdr:to>
    <xdr:sp macro="" textlink="">
      <xdr:nvSpPr>
        <xdr:cNvPr id="1036" name="_x0000_t202" hidden="1">
          <a:extLst>
            <a:ext uri="{FF2B5EF4-FFF2-40B4-BE49-F238E27FC236}">
              <a16:creationId xmlns:a16="http://schemas.microsoft.com/office/drawing/2014/main" id="{00000000-0008-0000-0100-00000C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8"/>
  <sheetViews>
    <sheetView tabSelected="1" workbookViewId="0">
      <selection sqref="A1:H1"/>
    </sheetView>
  </sheetViews>
  <sheetFormatPr defaultColWidth="8.85546875" defaultRowHeight="15" x14ac:dyDescent="0.2"/>
  <cols>
    <col min="1" max="1" width="9" style="226" customWidth="1"/>
    <col min="2" max="2" width="21.140625" style="226" customWidth="1"/>
    <col min="3" max="4" width="13.7109375" style="226" bestFit="1" customWidth="1"/>
    <col min="5" max="5" width="13.7109375" style="226" customWidth="1"/>
    <col min="6" max="6" width="10.7109375" style="226" bestFit="1" customWidth="1"/>
    <col min="7" max="7" width="14.28515625" style="226" bestFit="1" customWidth="1"/>
    <col min="8" max="8" width="16.140625" style="226" bestFit="1" customWidth="1"/>
    <col min="9" max="9" width="16" style="226" customWidth="1"/>
    <col min="10" max="10" width="12.7109375" style="226" hidden="1" customWidth="1"/>
    <col min="11" max="11" width="11.42578125" style="226" hidden="1" customWidth="1"/>
    <col min="12" max="12" width="8.28515625" style="226" bestFit="1" customWidth="1"/>
    <col min="13" max="13" width="7.85546875" style="226" bestFit="1" customWidth="1"/>
    <col min="14" max="14" width="16" style="226" bestFit="1" customWidth="1"/>
    <col min="15" max="15" width="11.42578125" style="226" bestFit="1" customWidth="1"/>
    <col min="16" max="16" width="12.7109375" style="226" bestFit="1" customWidth="1"/>
    <col min="17" max="17" width="8.85546875" style="226"/>
    <col min="18" max="18" width="11.42578125" style="226" bestFit="1" customWidth="1"/>
    <col min="19" max="256" width="8.85546875" style="226"/>
    <col min="257" max="257" width="9" style="226" customWidth="1"/>
    <col min="258" max="258" width="15.28515625" style="226" bestFit="1" customWidth="1"/>
    <col min="259" max="259" width="13.7109375" style="226" bestFit="1" customWidth="1"/>
    <col min="260" max="260" width="15.140625" style="226" customWidth="1"/>
    <col min="261" max="262" width="13.28515625" style="226" customWidth="1"/>
    <col min="263" max="263" width="14.28515625" style="226" bestFit="1" customWidth="1"/>
    <col min="264" max="264" width="16" style="226" customWidth="1"/>
    <col min="265" max="272" width="0" style="226" hidden="1" customWidth="1"/>
    <col min="273" max="512" width="8.85546875" style="226"/>
    <col min="513" max="513" width="9" style="226" customWidth="1"/>
    <col min="514" max="514" width="15.28515625" style="226" bestFit="1" customWidth="1"/>
    <col min="515" max="515" width="13.7109375" style="226" bestFit="1" customWidth="1"/>
    <col min="516" max="516" width="15.140625" style="226" customWidth="1"/>
    <col min="517" max="518" width="13.28515625" style="226" customWidth="1"/>
    <col min="519" max="519" width="14.28515625" style="226" bestFit="1" customWidth="1"/>
    <col min="520" max="520" width="16" style="226" customWidth="1"/>
    <col min="521" max="528" width="0" style="226" hidden="1" customWidth="1"/>
    <col min="529" max="768" width="8.85546875" style="226"/>
    <col min="769" max="769" width="9" style="226" customWidth="1"/>
    <col min="770" max="770" width="15.28515625" style="226" bestFit="1" customWidth="1"/>
    <col min="771" max="771" width="13.7109375" style="226" bestFit="1" customWidth="1"/>
    <col min="772" max="772" width="15.140625" style="226" customWidth="1"/>
    <col min="773" max="774" width="13.28515625" style="226" customWidth="1"/>
    <col min="775" max="775" width="14.28515625" style="226" bestFit="1" customWidth="1"/>
    <col min="776" max="776" width="16" style="226" customWidth="1"/>
    <col min="777" max="784" width="0" style="226" hidden="1" customWidth="1"/>
    <col min="785" max="1024" width="8.85546875" style="226"/>
    <col min="1025" max="1025" width="9" style="226" customWidth="1"/>
    <col min="1026" max="1026" width="15.28515625" style="226" bestFit="1" customWidth="1"/>
    <col min="1027" max="1027" width="13.7109375" style="226" bestFit="1" customWidth="1"/>
    <col min="1028" max="1028" width="15.140625" style="226" customWidth="1"/>
    <col min="1029" max="1030" width="13.28515625" style="226" customWidth="1"/>
    <col min="1031" max="1031" width="14.28515625" style="226" bestFit="1" customWidth="1"/>
    <col min="1032" max="1032" width="16" style="226" customWidth="1"/>
    <col min="1033" max="1040" width="0" style="226" hidden="1" customWidth="1"/>
    <col min="1041" max="1280" width="8.85546875" style="226"/>
    <col min="1281" max="1281" width="9" style="226" customWidth="1"/>
    <col min="1282" max="1282" width="15.28515625" style="226" bestFit="1" customWidth="1"/>
    <col min="1283" max="1283" width="13.7109375" style="226" bestFit="1" customWidth="1"/>
    <col min="1284" max="1284" width="15.140625" style="226" customWidth="1"/>
    <col min="1285" max="1286" width="13.28515625" style="226" customWidth="1"/>
    <col min="1287" max="1287" width="14.28515625" style="226" bestFit="1" customWidth="1"/>
    <col min="1288" max="1288" width="16" style="226" customWidth="1"/>
    <col min="1289" max="1296" width="0" style="226" hidden="1" customWidth="1"/>
    <col min="1297" max="1536" width="8.85546875" style="226"/>
    <col min="1537" max="1537" width="9" style="226" customWidth="1"/>
    <col min="1538" max="1538" width="15.28515625" style="226" bestFit="1" customWidth="1"/>
    <col min="1539" max="1539" width="13.7109375" style="226" bestFit="1" customWidth="1"/>
    <col min="1540" max="1540" width="15.140625" style="226" customWidth="1"/>
    <col min="1541" max="1542" width="13.28515625" style="226" customWidth="1"/>
    <col min="1543" max="1543" width="14.28515625" style="226" bestFit="1" customWidth="1"/>
    <col min="1544" max="1544" width="16" style="226" customWidth="1"/>
    <col min="1545" max="1552" width="0" style="226" hidden="1" customWidth="1"/>
    <col min="1553" max="1792" width="8.85546875" style="226"/>
    <col min="1793" max="1793" width="9" style="226" customWidth="1"/>
    <col min="1794" max="1794" width="15.28515625" style="226" bestFit="1" customWidth="1"/>
    <col min="1795" max="1795" width="13.7109375" style="226" bestFit="1" customWidth="1"/>
    <col min="1796" max="1796" width="15.140625" style="226" customWidth="1"/>
    <col min="1797" max="1798" width="13.28515625" style="226" customWidth="1"/>
    <col min="1799" max="1799" width="14.28515625" style="226" bestFit="1" customWidth="1"/>
    <col min="1800" max="1800" width="16" style="226" customWidth="1"/>
    <col min="1801" max="1808" width="0" style="226" hidden="1" customWidth="1"/>
    <col min="1809" max="2048" width="8.85546875" style="226"/>
    <col min="2049" max="2049" width="9" style="226" customWidth="1"/>
    <col min="2050" max="2050" width="15.28515625" style="226" bestFit="1" customWidth="1"/>
    <col min="2051" max="2051" width="13.7109375" style="226" bestFit="1" customWidth="1"/>
    <col min="2052" max="2052" width="15.140625" style="226" customWidth="1"/>
    <col min="2053" max="2054" width="13.28515625" style="226" customWidth="1"/>
    <col min="2055" max="2055" width="14.28515625" style="226" bestFit="1" customWidth="1"/>
    <col min="2056" max="2056" width="16" style="226" customWidth="1"/>
    <col min="2057" max="2064" width="0" style="226" hidden="1" customWidth="1"/>
    <col min="2065" max="2304" width="8.85546875" style="226"/>
    <col min="2305" max="2305" width="9" style="226" customWidth="1"/>
    <col min="2306" max="2306" width="15.28515625" style="226" bestFit="1" customWidth="1"/>
    <col min="2307" max="2307" width="13.7109375" style="226" bestFit="1" customWidth="1"/>
    <col min="2308" max="2308" width="15.140625" style="226" customWidth="1"/>
    <col min="2309" max="2310" width="13.28515625" style="226" customWidth="1"/>
    <col min="2311" max="2311" width="14.28515625" style="226" bestFit="1" customWidth="1"/>
    <col min="2312" max="2312" width="16" style="226" customWidth="1"/>
    <col min="2313" max="2320" width="0" style="226" hidden="1" customWidth="1"/>
    <col min="2321" max="2560" width="8.85546875" style="226"/>
    <col min="2561" max="2561" width="9" style="226" customWidth="1"/>
    <col min="2562" max="2562" width="15.28515625" style="226" bestFit="1" customWidth="1"/>
    <col min="2563" max="2563" width="13.7109375" style="226" bestFit="1" customWidth="1"/>
    <col min="2564" max="2564" width="15.140625" style="226" customWidth="1"/>
    <col min="2565" max="2566" width="13.28515625" style="226" customWidth="1"/>
    <col min="2567" max="2567" width="14.28515625" style="226" bestFit="1" customWidth="1"/>
    <col min="2568" max="2568" width="16" style="226" customWidth="1"/>
    <col min="2569" max="2576" width="0" style="226" hidden="1" customWidth="1"/>
    <col min="2577" max="2816" width="8.85546875" style="226"/>
    <col min="2817" max="2817" width="9" style="226" customWidth="1"/>
    <col min="2818" max="2818" width="15.28515625" style="226" bestFit="1" customWidth="1"/>
    <col min="2819" max="2819" width="13.7109375" style="226" bestFit="1" customWidth="1"/>
    <col min="2820" max="2820" width="15.140625" style="226" customWidth="1"/>
    <col min="2821" max="2822" width="13.28515625" style="226" customWidth="1"/>
    <col min="2823" max="2823" width="14.28515625" style="226" bestFit="1" customWidth="1"/>
    <col min="2824" max="2824" width="16" style="226" customWidth="1"/>
    <col min="2825" max="2832" width="0" style="226" hidden="1" customWidth="1"/>
    <col min="2833" max="3072" width="8.85546875" style="226"/>
    <col min="3073" max="3073" width="9" style="226" customWidth="1"/>
    <col min="3074" max="3074" width="15.28515625" style="226" bestFit="1" customWidth="1"/>
    <col min="3075" max="3075" width="13.7109375" style="226" bestFit="1" customWidth="1"/>
    <col min="3076" max="3076" width="15.140625" style="226" customWidth="1"/>
    <col min="3077" max="3078" width="13.28515625" style="226" customWidth="1"/>
    <col min="3079" max="3079" width="14.28515625" style="226" bestFit="1" customWidth="1"/>
    <col min="3080" max="3080" width="16" style="226" customWidth="1"/>
    <col min="3081" max="3088" width="0" style="226" hidden="1" customWidth="1"/>
    <col min="3089" max="3328" width="8.85546875" style="226"/>
    <col min="3329" max="3329" width="9" style="226" customWidth="1"/>
    <col min="3330" max="3330" width="15.28515625" style="226" bestFit="1" customWidth="1"/>
    <col min="3331" max="3331" width="13.7109375" style="226" bestFit="1" customWidth="1"/>
    <col min="3332" max="3332" width="15.140625" style="226" customWidth="1"/>
    <col min="3333" max="3334" width="13.28515625" style="226" customWidth="1"/>
    <col min="3335" max="3335" width="14.28515625" style="226" bestFit="1" customWidth="1"/>
    <col min="3336" max="3336" width="16" style="226" customWidth="1"/>
    <col min="3337" max="3344" width="0" style="226" hidden="1" customWidth="1"/>
    <col min="3345" max="3584" width="8.85546875" style="226"/>
    <col min="3585" max="3585" width="9" style="226" customWidth="1"/>
    <col min="3586" max="3586" width="15.28515625" style="226" bestFit="1" customWidth="1"/>
    <col min="3587" max="3587" width="13.7109375" style="226" bestFit="1" customWidth="1"/>
    <col min="3588" max="3588" width="15.140625" style="226" customWidth="1"/>
    <col min="3589" max="3590" width="13.28515625" style="226" customWidth="1"/>
    <col min="3591" max="3591" width="14.28515625" style="226" bestFit="1" customWidth="1"/>
    <col min="3592" max="3592" width="16" style="226" customWidth="1"/>
    <col min="3593" max="3600" width="0" style="226" hidden="1" customWidth="1"/>
    <col min="3601" max="3840" width="8.85546875" style="226"/>
    <col min="3841" max="3841" width="9" style="226" customWidth="1"/>
    <col min="3842" max="3842" width="15.28515625" style="226" bestFit="1" customWidth="1"/>
    <col min="3843" max="3843" width="13.7109375" style="226" bestFit="1" customWidth="1"/>
    <col min="3844" max="3844" width="15.140625" style="226" customWidth="1"/>
    <col min="3845" max="3846" width="13.28515625" style="226" customWidth="1"/>
    <col min="3847" max="3847" width="14.28515625" style="226" bestFit="1" customWidth="1"/>
    <col min="3848" max="3848" width="16" style="226" customWidth="1"/>
    <col min="3849" max="3856" width="0" style="226" hidden="1" customWidth="1"/>
    <col min="3857" max="4096" width="8.85546875" style="226"/>
    <col min="4097" max="4097" width="9" style="226" customWidth="1"/>
    <col min="4098" max="4098" width="15.28515625" style="226" bestFit="1" customWidth="1"/>
    <col min="4099" max="4099" width="13.7109375" style="226" bestFit="1" customWidth="1"/>
    <col min="4100" max="4100" width="15.140625" style="226" customWidth="1"/>
    <col min="4101" max="4102" width="13.28515625" style="226" customWidth="1"/>
    <col min="4103" max="4103" width="14.28515625" style="226" bestFit="1" customWidth="1"/>
    <col min="4104" max="4104" width="16" style="226" customWidth="1"/>
    <col min="4105" max="4112" width="0" style="226" hidden="1" customWidth="1"/>
    <col min="4113" max="4352" width="8.85546875" style="226"/>
    <col min="4353" max="4353" width="9" style="226" customWidth="1"/>
    <col min="4354" max="4354" width="15.28515625" style="226" bestFit="1" customWidth="1"/>
    <col min="4355" max="4355" width="13.7109375" style="226" bestFit="1" customWidth="1"/>
    <col min="4356" max="4356" width="15.140625" style="226" customWidth="1"/>
    <col min="4357" max="4358" width="13.28515625" style="226" customWidth="1"/>
    <col min="4359" max="4359" width="14.28515625" style="226" bestFit="1" customWidth="1"/>
    <col min="4360" max="4360" width="16" style="226" customWidth="1"/>
    <col min="4361" max="4368" width="0" style="226" hidden="1" customWidth="1"/>
    <col min="4369" max="4608" width="8.85546875" style="226"/>
    <col min="4609" max="4609" width="9" style="226" customWidth="1"/>
    <col min="4610" max="4610" width="15.28515625" style="226" bestFit="1" customWidth="1"/>
    <col min="4611" max="4611" width="13.7109375" style="226" bestFit="1" customWidth="1"/>
    <col min="4612" max="4612" width="15.140625" style="226" customWidth="1"/>
    <col min="4613" max="4614" width="13.28515625" style="226" customWidth="1"/>
    <col min="4615" max="4615" width="14.28515625" style="226" bestFit="1" customWidth="1"/>
    <col min="4616" max="4616" width="16" style="226" customWidth="1"/>
    <col min="4617" max="4624" width="0" style="226" hidden="1" customWidth="1"/>
    <col min="4625" max="4864" width="8.85546875" style="226"/>
    <col min="4865" max="4865" width="9" style="226" customWidth="1"/>
    <col min="4866" max="4866" width="15.28515625" style="226" bestFit="1" customWidth="1"/>
    <col min="4867" max="4867" width="13.7109375" style="226" bestFit="1" customWidth="1"/>
    <col min="4868" max="4868" width="15.140625" style="226" customWidth="1"/>
    <col min="4869" max="4870" width="13.28515625" style="226" customWidth="1"/>
    <col min="4871" max="4871" width="14.28515625" style="226" bestFit="1" customWidth="1"/>
    <col min="4872" max="4872" width="16" style="226" customWidth="1"/>
    <col min="4873" max="4880" width="0" style="226" hidden="1" customWidth="1"/>
    <col min="4881" max="5120" width="8.85546875" style="226"/>
    <col min="5121" max="5121" width="9" style="226" customWidth="1"/>
    <col min="5122" max="5122" width="15.28515625" style="226" bestFit="1" customWidth="1"/>
    <col min="5123" max="5123" width="13.7109375" style="226" bestFit="1" customWidth="1"/>
    <col min="5124" max="5124" width="15.140625" style="226" customWidth="1"/>
    <col min="5125" max="5126" width="13.28515625" style="226" customWidth="1"/>
    <col min="5127" max="5127" width="14.28515625" style="226" bestFit="1" customWidth="1"/>
    <col min="5128" max="5128" width="16" style="226" customWidth="1"/>
    <col min="5129" max="5136" width="0" style="226" hidden="1" customWidth="1"/>
    <col min="5137" max="5376" width="8.85546875" style="226"/>
    <col min="5377" max="5377" width="9" style="226" customWidth="1"/>
    <col min="5378" max="5378" width="15.28515625" style="226" bestFit="1" customWidth="1"/>
    <col min="5379" max="5379" width="13.7109375" style="226" bestFit="1" customWidth="1"/>
    <col min="5380" max="5380" width="15.140625" style="226" customWidth="1"/>
    <col min="5381" max="5382" width="13.28515625" style="226" customWidth="1"/>
    <col min="5383" max="5383" width="14.28515625" style="226" bestFit="1" customWidth="1"/>
    <col min="5384" max="5384" width="16" style="226" customWidth="1"/>
    <col min="5385" max="5392" width="0" style="226" hidden="1" customWidth="1"/>
    <col min="5393" max="5632" width="8.85546875" style="226"/>
    <col min="5633" max="5633" width="9" style="226" customWidth="1"/>
    <col min="5634" max="5634" width="15.28515625" style="226" bestFit="1" customWidth="1"/>
    <col min="5635" max="5635" width="13.7109375" style="226" bestFit="1" customWidth="1"/>
    <col min="5636" max="5636" width="15.140625" style="226" customWidth="1"/>
    <col min="5637" max="5638" width="13.28515625" style="226" customWidth="1"/>
    <col min="5639" max="5639" width="14.28515625" style="226" bestFit="1" customWidth="1"/>
    <col min="5640" max="5640" width="16" style="226" customWidth="1"/>
    <col min="5641" max="5648" width="0" style="226" hidden="1" customWidth="1"/>
    <col min="5649" max="5888" width="8.85546875" style="226"/>
    <col min="5889" max="5889" width="9" style="226" customWidth="1"/>
    <col min="5890" max="5890" width="15.28515625" style="226" bestFit="1" customWidth="1"/>
    <col min="5891" max="5891" width="13.7109375" style="226" bestFit="1" customWidth="1"/>
    <col min="5892" max="5892" width="15.140625" style="226" customWidth="1"/>
    <col min="5893" max="5894" width="13.28515625" style="226" customWidth="1"/>
    <col min="5895" max="5895" width="14.28515625" style="226" bestFit="1" customWidth="1"/>
    <col min="5896" max="5896" width="16" style="226" customWidth="1"/>
    <col min="5897" max="5904" width="0" style="226" hidden="1" customWidth="1"/>
    <col min="5905" max="6144" width="8.85546875" style="226"/>
    <col min="6145" max="6145" width="9" style="226" customWidth="1"/>
    <col min="6146" max="6146" width="15.28515625" style="226" bestFit="1" customWidth="1"/>
    <col min="6147" max="6147" width="13.7109375" style="226" bestFit="1" customWidth="1"/>
    <col min="6148" max="6148" width="15.140625" style="226" customWidth="1"/>
    <col min="6149" max="6150" width="13.28515625" style="226" customWidth="1"/>
    <col min="6151" max="6151" width="14.28515625" style="226" bestFit="1" customWidth="1"/>
    <col min="6152" max="6152" width="16" style="226" customWidth="1"/>
    <col min="6153" max="6160" width="0" style="226" hidden="1" customWidth="1"/>
    <col min="6161" max="6400" width="8.85546875" style="226"/>
    <col min="6401" max="6401" width="9" style="226" customWidth="1"/>
    <col min="6402" max="6402" width="15.28515625" style="226" bestFit="1" customWidth="1"/>
    <col min="6403" max="6403" width="13.7109375" style="226" bestFit="1" customWidth="1"/>
    <col min="6404" max="6404" width="15.140625" style="226" customWidth="1"/>
    <col min="6405" max="6406" width="13.28515625" style="226" customWidth="1"/>
    <col min="6407" max="6407" width="14.28515625" style="226" bestFit="1" customWidth="1"/>
    <col min="6408" max="6408" width="16" style="226" customWidth="1"/>
    <col min="6409" max="6416" width="0" style="226" hidden="1" customWidth="1"/>
    <col min="6417" max="6656" width="8.85546875" style="226"/>
    <col min="6657" max="6657" width="9" style="226" customWidth="1"/>
    <col min="6658" max="6658" width="15.28515625" style="226" bestFit="1" customWidth="1"/>
    <col min="6659" max="6659" width="13.7109375" style="226" bestFit="1" customWidth="1"/>
    <col min="6660" max="6660" width="15.140625" style="226" customWidth="1"/>
    <col min="6661" max="6662" width="13.28515625" style="226" customWidth="1"/>
    <col min="6663" max="6663" width="14.28515625" style="226" bestFit="1" customWidth="1"/>
    <col min="6664" max="6664" width="16" style="226" customWidth="1"/>
    <col min="6665" max="6672" width="0" style="226" hidden="1" customWidth="1"/>
    <col min="6673" max="6912" width="8.85546875" style="226"/>
    <col min="6913" max="6913" width="9" style="226" customWidth="1"/>
    <col min="6914" max="6914" width="15.28515625" style="226" bestFit="1" customWidth="1"/>
    <col min="6915" max="6915" width="13.7109375" style="226" bestFit="1" customWidth="1"/>
    <col min="6916" max="6916" width="15.140625" style="226" customWidth="1"/>
    <col min="6917" max="6918" width="13.28515625" style="226" customWidth="1"/>
    <col min="6919" max="6919" width="14.28515625" style="226" bestFit="1" customWidth="1"/>
    <col min="6920" max="6920" width="16" style="226" customWidth="1"/>
    <col min="6921" max="6928" width="0" style="226" hidden="1" customWidth="1"/>
    <col min="6929" max="7168" width="8.85546875" style="226"/>
    <col min="7169" max="7169" width="9" style="226" customWidth="1"/>
    <col min="7170" max="7170" width="15.28515625" style="226" bestFit="1" customWidth="1"/>
    <col min="7171" max="7171" width="13.7109375" style="226" bestFit="1" customWidth="1"/>
    <col min="7172" max="7172" width="15.140625" style="226" customWidth="1"/>
    <col min="7173" max="7174" width="13.28515625" style="226" customWidth="1"/>
    <col min="7175" max="7175" width="14.28515625" style="226" bestFit="1" customWidth="1"/>
    <col min="7176" max="7176" width="16" style="226" customWidth="1"/>
    <col min="7177" max="7184" width="0" style="226" hidden="1" customWidth="1"/>
    <col min="7185" max="7424" width="8.85546875" style="226"/>
    <col min="7425" max="7425" width="9" style="226" customWidth="1"/>
    <col min="7426" max="7426" width="15.28515625" style="226" bestFit="1" customWidth="1"/>
    <col min="7427" max="7427" width="13.7109375" style="226" bestFit="1" customWidth="1"/>
    <col min="7428" max="7428" width="15.140625" style="226" customWidth="1"/>
    <col min="7429" max="7430" width="13.28515625" style="226" customWidth="1"/>
    <col min="7431" max="7431" width="14.28515625" style="226" bestFit="1" customWidth="1"/>
    <col min="7432" max="7432" width="16" style="226" customWidth="1"/>
    <col min="7433" max="7440" width="0" style="226" hidden="1" customWidth="1"/>
    <col min="7441" max="7680" width="8.85546875" style="226"/>
    <col min="7681" max="7681" width="9" style="226" customWidth="1"/>
    <col min="7682" max="7682" width="15.28515625" style="226" bestFit="1" customWidth="1"/>
    <col min="7683" max="7683" width="13.7109375" style="226" bestFit="1" customWidth="1"/>
    <col min="7684" max="7684" width="15.140625" style="226" customWidth="1"/>
    <col min="7685" max="7686" width="13.28515625" style="226" customWidth="1"/>
    <col min="7687" max="7687" width="14.28515625" style="226" bestFit="1" customWidth="1"/>
    <col min="7688" max="7688" width="16" style="226" customWidth="1"/>
    <col min="7689" max="7696" width="0" style="226" hidden="1" customWidth="1"/>
    <col min="7697" max="7936" width="8.85546875" style="226"/>
    <col min="7937" max="7937" width="9" style="226" customWidth="1"/>
    <col min="7938" max="7938" width="15.28515625" style="226" bestFit="1" customWidth="1"/>
    <col min="7939" max="7939" width="13.7109375" style="226" bestFit="1" customWidth="1"/>
    <col min="7940" max="7940" width="15.140625" style="226" customWidth="1"/>
    <col min="7941" max="7942" width="13.28515625" style="226" customWidth="1"/>
    <col min="7943" max="7943" width="14.28515625" style="226" bestFit="1" customWidth="1"/>
    <col min="7944" max="7944" width="16" style="226" customWidth="1"/>
    <col min="7945" max="7952" width="0" style="226" hidden="1" customWidth="1"/>
    <col min="7953" max="8192" width="8.85546875" style="226"/>
    <col min="8193" max="8193" width="9" style="226" customWidth="1"/>
    <col min="8194" max="8194" width="15.28515625" style="226" bestFit="1" customWidth="1"/>
    <col min="8195" max="8195" width="13.7109375" style="226" bestFit="1" customWidth="1"/>
    <col min="8196" max="8196" width="15.140625" style="226" customWidth="1"/>
    <col min="8197" max="8198" width="13.28515625" style="226" customWidth="1"/>
    <col min="8199" max="8199" width="14.28515625" style="226" bestFit="1" customWidth="1"/>
    <col min="8200" max="8200" width="16" style="226" customWidth="1"/>
    <col min="8201" max="8208" width="0" style="226" hidden="1" customWidth="1"/>
    <col min="8209" max="8448" width="8.85546875" style="226"/>
    <col min="8449" max="8449" width="9" style="226" customWidth="1"/>
    <col min="8450" max="8450" width="15.28515625" style="226" bestFit="1" customWidth="1"/>
    <col min="8451" max="8451" width="13.7109375" style="226" bestFit="1" customWidth="1"/>
    <col min="8452" max="8452" width="15.140625" style="226" customWidth="1"/>
    <col min="8453" max="8454" width="13.28515625" style="226" customWidth="1"/>
    <col min="8455" max="8455" width="14.28515625" style="226" bestFit="1" customWidth="1"/>
    <col min="8456" max="8456" width="16" style="226" customWidth="1"/>
    <col min="8457" max="8464" width="0" style="226" hidden="1" customWidth="1"/>
    <col min="8465" max="8704" width="8.85546875" style="226"/>
    <col min="8705" max="8705" width="9" style="226" customWidth="1"/>
    <col min="8706" max="8706" width="15.28515625" style="226" bestFit="1" customWidth="1"/>
    <col min="8707" max="8707" width="13.7109375" style="226" bestFit="1" customWidth="1"/>
    <col min="8708" max="8708" width="15.140625" style="226" customWidth="1"/>
    <col min="8709" max="8710" width="13.28515625" style="226" customWidth="1"/>
    <col min="8711" max="8711" width="14.28515625" style="226" bestFit="1" customWidth="1"/>
    <col min="8712" max="8712" width="16" style="226" customWidth="1"/>
    <col min="8713" max="8720" width="0" style="226" hidden="1" customWidth="1"/>
    <col min="8721" max="8960" width="8.85546875" style="226"/>
    <col min="8961" max="8961" width="9" style="226" customWidth="1"/>
    <col min="8962" max="8962" width="15.28515625" style="226" bestFit="1" customWidth="1"/>
    <col min="8963" max="8963" width="13.7109375" style="226" bestFit="1" customWidth="1"/>
    <col min="8964" max="8964" width="15.140625" style="226" customWidth="1"/>
    <col min="8965" max="8966" width="13.28515625" style="226" customWidth="1"/>
    <col min="8967" max="8967" width="14.28515625" style="226" bestFit="1" customWidth="1"/>
    <col min="8968" max="8968" width="16" style="226" customWidth="1"/>
    <col min="8969" max="8976" width="0" style="226" hidden="1" customWidth="1"/>
    <col min="8977" max="9216" width="8.85546875" style="226"/>
    <col min="9217" max="9217" width="9" style="226" customWidth="1"/>
    <col min="9218" max="9218" width="15.28515625" style="226" bestFit="1" customWidth="1"/>
    <col min="9219" max="9219" width="13.7109375" style="226" bestFit="1" customWidth="1"/>
    <col min="9220" max="9220" width="15.140625" style="226" customWidth="1"/>
    <col min="9221" max="9222" width="13.28515625" style="226" customWidth="1"/>
    <col min="9223" max="9223" width="14.28515625" style="226" bestFit="1" customWidth="1"/>
    <col min="9224" max="9224" width="16" style="226" customWidth="1"/>
    <col min="9225" max="9232" width="0" style="226" hidden="1" customWidth="1"/>
    <col min="9233" max="9472" width="8.85546875" style="226"/>
    <col min="9473" max="9473" width="9" style="226" customWidth="1"/>
    <col min="9474" max="9474" width="15.28515625" style="226" bestFit="1" customWidth="1"/>
    <col min="9475" max="9475" width="13.7109375" style="226" bestFit="1" customWidth="1"/>
    <col min="9476" max="9476" width="15.140625" style="226" customWidth="1"/>
    <col min="9477" max="9478" width="13.28515625" style="226" customWidth="1"/>
    <col min="9479" max="9479" width="14.28515625" style="226" bestFit="1" customWidth="1"/>
    <col min="9480" max="9480" width="16" style="226" customWidth="1"/>
    <col min="9481" max="9488" width="0" style="226" hidden="1" customWidth="1"/>
    <col min="9489" max="9728" width="8.85546875" style="226"/>
    <col min="9729" max="9729" width="9" style="226" customWidth="1"/>
    <col min="9730" max="9730" width="15.28515625" style="226" bestFit="1" customWidth="1"/>
    <col min="9731" max="9731" width="13.7109375" style="226" bestFit="1" customWidth="1"/>
    <col min="9732" max="9732" width="15.140625" style="226" customWidth="1"/>
    <col min="9733" max="9734" width="13.28515625" style="226" customWidth="1"/>
    <col min="9735" max="9735" width="14.28515625" style="226" bestFit="1" customWidth="1"/>
    <col min="9736" max="9736" width="16" style="226" customWidth="1"/>
    <col min="9737" max="9744" width="0" style="226" hidden="1" customWidth="1"/>
    <col min="9745" max="9984" width="8.85546875" style="226"/>
    <col min="9985" max="9985" width="9" style="226" customWidth="1"/>
    <col min="9986" max="9986" width="15.28515625" style="226" bestFit="1" customWidth="1"/>
    <col min="9987" max="9987" width="13.7109375" style="226" bestFit="1" customWidth="1"/>
    <col min="9988" max="9988" width="15.140625" style="226" customWidth="1"/>
    <col min="9989" max="9990" width="13.28515625" style="226" customWidth="1"/>
    <col min="9991" max="9991" width="14.28515625" style="226" bestFit="1" customWidth="1"/>
    <col min="9992" max="9992" width="16" style="226" customWidth="1"/>
    <col min="9993" max="10000" width="0" style="226" hidden="1" customWidth="1"/>
    <col min="10001" max="10240" width="8.85546875" style="226"/>
    <col min="10241" max="10241" width="9" style="226" customWidth="1"/>
    <col min="10242" max="10242" width="15.28515625" style="226" bestFit="1" customWidth="1"/>
    <col min="10243" max="10243" width="13.7109375" style="226" bestFit="1" customWidth="1"/>
    <col min="10244" max="10244" width="15.140625" style="226" customWidth="1"/>
    <col min="10245" max="10246" width="13.28515625" style="226" customWidth="1"/>
    <col min="10247" max="10247" width="14.28515625" style="226" bestFit="1" customWidth="1"/>
    <col min="10248" max="10248" width="16" style="226" customWidth="1"/>
    <col min="10249" max="10256" width="0" style="226" hidden="1" customWidth="1"/>
    <col min="10257" max="10496" width="8.85546875" style="226"/>
    <col min="10497" max="10497" width="9" style="226" customWidth="1"/>
    <col min="10498" max="10498" width="15.28515625" style="226" bestFit="1" customWidth="1"/>
    <col min="10499" max="10499" width="13.7109375" style="226" bestFit="1" customWidth="1"/>
    <col min="10500" max="10500" width="15.140625" style="226" customWidth="1"/>
    <col min="10501" max="10502" width="13.28515625" style="226" customWidth="1"/>
    <col min="10503" max="10503" width="14.28515625" style="226" bestFit="1" customWidth="1"/>
    <col min="10504" max="10504" width="16" style="226" customWidth="1"/>
    <col min="10505" max="10512" width="0" style="226" hidden="1" customWidth="1"/>
    <col min="10513" max="10752" width="8.85546875" style="226"/>
    <col min="10753" max="10753" width="9" style="226" customWidth="1"/>
    <col min="10754" max="10754" width="15.28515625" style="226" bestFit="1" customWidth="1"/>
    <col min="10755" max="10755" width="13.7109375" style="226" bestFit="1" customWidth="1"/>
    <col min="10756" max="10756" width="15.140625" style="226" customWidth="1"/>
    <col min="10757" max="10758" width="13.28515625" style="226" customWidth="1"/>
    <col min="10759" max="10759" width="14.28515625" style="226" bestFit="1" customWidth="1"/>
    <col min="10760" max="10760" width="16" style="226" customWidth="1"/>
    <col min="10761" max="10768" width="0" style="226" hidden="1" customWidth="1"/>
    <col min="10769" max="11008" width="8.85546875" style="226"/>
    <col min="11009" max="11009" width="9" style="226" customWidth="1"/>
    <col min="11010" max="11010" width="15.28515625" style="226" bestFit="1" customWidth="1"/>
    <col min="11011" max="11011" width="13.7109375" style="226" bestFit="1" customWidth="1"/>
    <col min="11012" max="11012" width="15.140625" style="226" customWidth="1"/>
    <col min="11013" max="11014" width="13.28515625" style="226" customWidth="1"/>
    <col min="11015" max="11015" width="14.28515625" style="226" bestFit="1" customWidth="1"/>
    <col min="11016" max="11016" width="16" style="226" customWidth="1"/>
    <col min="11017" max="11024" width="0" style="226" hidden="1" customWidth="1"/>
    <col min="11025" max="11264" width="8.85546875" style="226"/>
    <col min="11265" max="11265" width="9" style="226" customWidth="1"/>
    <col min="11266" max="11266" width="15.28515625" style="226" bestFit="1" customWidth="1"/>
    <col min="11267" max="11267" width="13.7109375" style="226" bestFit="1" customWidth="1"/>
    <col min="11268" max="11268" width="15.140625" style="226" customWidth="1"/>
    <col min="11269" max="11270" width="13.28515625" style="226" customWidth="1"/>
    <col min="11271" max="11271" width="14.28515625" style="226" bestFit="1" customWidth="1"/>
    <col min="11272" max="11272" width="16" style="226" customWidth="1"/>
    <col min="11273" max="11280" width="0" style="226" hidden="1" customWidth="1"/>
    <col min="11281" max="11520" width="8.85546875" style="226"/>
    <col min="11521" max="11521" width="9" style="226" customWidth="1"/>
    <col min="11522" max="11522" width="15.28515625" style="226" bestFit="1" customWidth="1"/>
    <col min="11523" max="11523" width="13.7109375" style="226" bestFit="1" customWidth="1"/>
    <col min="11524" max="11524" width="15.140625" style="226" customWidth="1"/>
    <col min="11525" max="11526" width="13.28515625" style="226" customWidth="1"/>
    <col min="11527" max="11527" width="14.28515625" style="226" bestFit="1" customWidth="1"/>
    <col min="11528" max="11528" width="16" style="226" customWidth="1"/>
    <col min="11529" max="11536" width="0" style="226" hidden="1" customWidth="1"/>
    <col min="11537" max="11776" width="8.85546875" style="226"/>
    <col min="11777" max="11777" width="9" style="226" customWidth="1"/>
    <col min="11778" max="11778" width="15.28515625" style="226" bestFit="1" customWidth="1"/>
    <col min="11779" max="11779" width="13.7109375" style="226" bestFit="1" customWidth="1"/>
    <col min="11780" max="11780" width="15.140625" style="226" customWidth="1"/>
    <col min="11781" max="11782" width="13.28515625" style="226" customWidth="1"/>
    <col min="11783" max="11783" width="14.28515625" style="226" bestFit="1" customWidth="1"/>
    <col min="11784" max="11784" width="16" style="226" customWidth="1"/>
    <col min="11785" max="11792" width="0" style="226" hidden="1" customWidth="1"/>
    <col min="11793" max="12032" width="8.85546875" style="226"/>
    <col min="12033" max="12033" width="9" style="226" customWidth="1"/>
    <col min="12034" max="12034" width="15.28515625" style="226" bestFit="1" customWidth="1"/>
    <col min="12035" max="12035" width="13.7109375" style="226" bestFit="1" customWidth="1"/>
    <col min="12036" max="12036" width="15.140625" style="226" customWidth="1"/>
    <col min="12037" max="12038" width="13.28515625" style="226" customWidth="1"/>
    <col min="12039" max="12039" width="14.28515625" style="226" bestFit="1" customWidth="1"/>
    <col min="12040" max="12040" width="16" style="226" customWidth="1"/>
    <col min="12041" max="12048" width="0" style="226" hidden="1" customWidth="1"/>
    <col min="12049" max="12288" width="8.85546875" style="226"/>
    <col min="12289" max="12289" width="9" style="226" customWidth="1"/>
    <col min="12290" max="12290" width="15.28515625" style="226" bestFit="1" customWidth="1"/>
    <col min="12291" max="12291" width="13.7109375" style="226" bestFit="1" customWidth="1"/>
    <col min="12292" max="12292" width="15.140625" style="226" customWidth="1"/>
    <col min="12293" max="12294" width="13.28515625" style="226" customWidth="1"/>
    <col min="12295" max="12295" width="14.28515625" style="226" bestFit="1" customWidth="1"/>
    <col min="12296" max="12296" width="16" style="226" customWidth="1"/>
    <col min="12297" max="12304" width="0" style="226" hidden="1" customWidth="1"/>
    <col min="12305" max="12544" width="8.85546875" style="226"/>
    <col min="12545" max="12545" width="9" style="226" customWidth="1"/>
    <col min="12546" max="12546" width="15.28515625" style="226" bestFit="1" customWidth="1"/>
    <col min="12547" max="12547" width="13.7109375" style="226" bestFit="1" customWidth="1"/>
    <col min="12548" max="12548" width="15.140625" style="226" customWidth="1"/>
    <col min="12549" max="12550" width="13.28515625" style="226" customWidth="1"/>
    <col min="12551" max="12551" width="14.28515625" style="226" bestFit="1" customWidth="1"/>
    <col min="12552" max="12552" width="16" style="226" customWidth="1"/>
    <col min="12553" max="12560" width="0" style="226" hidden="1" customWidth="1"/>
    <col min="12561" max="12800" width="8.85546875" style="226"/>
    <col min="12801" max="12801" width="9" style="226" customWidth="1"/>
    <col min="12802" max="12802" width="15.28515625" style="226" bestFit="1" customWidth="1"/>
    <col min="12803" max="12803" width="13.7109375" style="226" bestFit="1" customWidth="1"/>
    <col min="12804" max="12804" width="15.140625" style="226" customWidth="1"/>
    <col min="12805" max="12806" width="13.28515625" style="226" customWidth="1"/>
    <col min="12807" max="12807" width="14.28515625" style="226" bestFit="1" customWidth="1"/>
    <col min="12808" max="12808" width="16" style="226" customWidth="1"/>
    <col min="12809" max="12816" width="0" style="226" hidden="1" customWidth="1"/>
    <col min="12817" max="13056" width="8.85546875" style="226"/>
    <col min="13057" max="13057" width="9" style="226" customWidth="1"/>
    <col min="13058" max="13058" width="15.28515625" style="226" bestFit="1" customWidth="1"/>
    <col min="13059" max="13059" width="13.7109375" style="226" bestFit="1" customWidth="1"/>
    <col min="13060" max="13060" width="15.140625" style="226" customWidth="1"/>
    <col min="13061" max="13062" width="13.28515625" style="226" customWidth="1"/>
    <col min="13063" max="13063" width="14.28515625" style="226" bestFit="1" customWidth="1"/>
    <col min="13064" max="13064" width="16" style="226" customWidth="1"/>
    <col min="13065" max="13072" width="0" style="226" hidden="1" customWidth="1"/>
    <col min="13073" max="13312" width="8.85546875" style="226"/>
    <col min="13313" max="13313" width="9" style="226" customWidth="1"/>
    <col min="13314" max="13314" width="15.28515625" style="226" bestFit="1" customWidth="1"/>
    <col min="13315" max="13315" width="13.7109375" style="226" bestFit="1" customWidth="1"/>
    <col min="13316" max="13316" width="15.140625" style="226" customWidth="1"/>
    <col min="13317" max="13318" width="13.28515625" style="226" customWidth="1"/>
    <col min="13319" max="13319" width="14.28515625" style="226" bestFit="1" customWidth="1"/>
    <col min="13320" max="13320" width="16" style="226" customWidth="1"/>
    <col min="13321" max="13328" width="0" style="226" hidden="1" customWidth="1"/>
    <col min="13329" max="13568" width="8.85546875" style="226"/>
    <col min="13569" max="13569" width="9" style="226" customWidth="1"/>
    <col min="13570" max="13570" width="15.28515625" style="226" bestFit="1" customWidth="1"/>
    <col min="13571" max="13571" width="13.7109375" style="226" bestFit="1" customWidth="1"/>
    <col min="13572" max="13572" width="15.140625" style="226" customWidth="1"/>
    <col min="13573" max="13574" width="13.28515625" style="226" customWidth="1"/>
    <col min="13575" max="13575" width="14.28515625" style="226" bestFit="1" customWidth="1"/>
    <col min="13576" max="13576" width="16" style="226" customWidth="1"/>
    <col min="13577" max="13584" width="0" style="226" hidden="1" customWidth="1"/>
    <col min="13585" max="13824" width="8.85546875" style="226"/>
    <col min="13825" max="13825" width="9" style="226" customWidth="1"/>
    <col min="13826" max="13826" width="15.28515625" style="226" bestFit="1" customWidth="1"/>
    <col min="13827" max="13827" width="13.7109375" style="226" bestFit="1" customWidth="1"/>
    <col min="13828" max="13828" width="15.140625" style="226" customWidth="1"/>
    <col min="13829" max="13830" width="13.28515625" style="226" customWidth="1"/>
    <col min="13831" max="13831" width="14.28515625" style="226" bestFit="1" customWidth="1"/>
    <col min="13832" max="13832" width="16" style="226" customWidth="1"/>
    <col min="13833" max="13840" width="0" style="226" hidden="1" customWidth="1"/>
    <col min="13841" max="14080" width="8.85546875" style="226"/>
    <col min="14081" max="14081" width="9" style="226" customWidth="1"/>
    <col min="14082" max="14082" width="15.28515625" style="226" bestFit="1" customWidth="1"/>
    <col min="14083" max="14083" width="13.7109375" style="226" bestFit="1" customWidth="1"/>
    <col min="14084" max="14084" width="15.140625" style="226" customWidth="1"/>
    <col min="14085" max="14086" width="13.28515625" style="226" customWidth="1"/>
    <col min="14087" max="14087" width="14.28515625" style="226" bestFit="1" customWidth="1"/>
    <col min="14088" max="14088" width="16" style="226" customWidth="1"/>
    <col min="14089" max="14096" width="0" style="226" hidden="1" customWidth="1"/>
    <col min="14097" max="14336" width="8.85546875" style="226"/>
    <col min="14337" max="14337" width="9" style="226" customWidth="1"/>
    <col min="14338" max="14338" width="15.28515625" style="226" bestFit="1" customWidth="1"/>
    <col min="14339" max="14339" width="13.7109375" style="226" bestFit="1" customWidth="1"/>
    <col min="14340" max="14340" width="15.140625" style="226" customWidth="1"/>
    <col min="14341" max="14342" width="13.28515625" style="226" customWidth="1"/>
    <col min="14343" max="14343" width="14.28515625" style="226" bestFit="1" customWidth="1"/>
    <col min="14344" max="14344" width="16" style="226" customWidth="1"/>
    <col min="14345" max="14352" width="0" style="226" hidden="1" customWidth="1"/>
    <col min="14353" max="14592" width="8.85546875" style="226"/>
    <col min="14593" max="14593" width="9" style="226" customWidth="1"/>
    <col min="14594" max="14594" width="15.28515625" style="226" bestFit="1" customWidth="1"/>
    <col min="14595" max="14595" width="13.7109375" style="226" bestFit="1" customWidth="1"/>
    <col min="14596" max="14596" width="15.140625" style="226" customWidth="1"/>
    <col min="14597" max="14598" width="13.28515625" style="226" customWidth="1"/>
    <col min="14599" max="14599" width="14.28515625" style="226" bestFit="1" customWidth="1"/>
    <col min="14600" max="14600" width="16" style="226" customWidth="1"/>
    <col min="14601" max="14608" width="0" style="226" hidden="1" customWidth="1"/>
    <col min="14609" max="14848" width="8.85546875" style="226"/>
    <col min="14849" max="14849" width="9" style="226" customWidth="1"/>
    <col min="14850" max="14850" width="15.28515625" style="226" bestFit="1" customWidth="1"/>
    <col min="14851" max="14851" width="13.7109375" style="226" bestFit="1" customWidth="1"/>
    <col min="14852" max="14852" width="15.140625" style="226" customWidth="1"/>
    <col min="14853" max="14854" width="13.28515625" style="226" customWidth="1"/>
    <col min="14855" max="14855" width="14.28515625" style="226" bestFit="1" customWidth="1"/>
    <col min="14856" max="14856" width="16" style="226" customWidth="1"/>
    <col min="14857" max="14864" width="0" style="226" hidden="1" customWidth="1"/>
    <col min="14865" max="15104" width="8.85546875" style="226"/>
    <col min="15105" max="15105" width="9" style="226" customWidth="1"/>
    <col min="15106" max="15106" width="15.28515625" style="226" bestFit="1" customWidth="1"/>
    <col min="15107" max="15107" width="13.7109375" style="226" bestFit="1" customWidth="1"/>
    <col min="15108" max="15108" width="15.140625" style="226" customWidth="1"/>
    <col min="15109" max="15110" width="13.28515625" style="226" customWidth="1"/>
    <col min="15111" max="15111" width="14.28515625" style="226" bestFit="1" customWidth="1"/>
    <col min="15112" max="15112" width="16" style="226" customWidth="1"/>
    <col min="15113" max="15120" width="0" style="226" hidden="1" customWidth="1"/>
    <col min="15121" max="15360" width="8.85546875" style="226"/>
    <col min="15361" max="15361" width="9" style="226" customWidth="1"/>
    <col min="15362" max="15362" width="15.28515625" style="226" bestFit="1" customWidth="1"/>
    <col min="15363" max="15363" width="13.7109375" style="226" bestFit="1" customWidth="1"/>
    <col min="15364" max="15364" width="15.140625" style="226" customWidth="1"/>
    <col min="15365" max="15366" width="13.28515625" style="226" customWidth="1"/>
    <col min="15367" max="15367" width="14.28515625" style="226" bestFit="1" customWidth="1"/>
    <col min="15368" max="15368" width="16" style="226" customWidth="1"/>
    <col min="15369" max="15376" width="0" style="226" hidden="1" customWidth="1"/>
    <col min="15377" max="15616" width="8.85546875" style="226"/>
    <col min="15617" max="15617" width="9" style="226" customWidth="1"/>
    <col min="15618" max="15618" width="15.28515625" style="226" bestFit="1" customWidth="1"/>
    <col min="15619" max="15619" width="13.7109375" style="226" bestFit="1" customWidth="1"/>
    <col min="15620" max="15620" width="15.140625" style="226" customWidth="1"/>
    <col min="15621" max="15622" width="13.28515625" style="226" customWidth="1"/>
    <col min="15623" max="15623" width="14.28515625" style="226" bestFit="1" customWidth="1"/>
    <col min="15624" max="15624" width="16" style="226" customWidth="1"/>
    <col min="15625" max="15632" width="0" style="226" hidden="1" customWidth="1"/>
    <col min="15633" max="15872" width="8.85546875" style="226"/>
    <col min="15873" max="15873" width="9" style="226" customWidth="1"/>
    <col min="15874" max="15874" width="15.28515625" style="226" bestFit="1" customWidth="1"/>
    <col min="15875" max="15875" width="13.7109375" style="226" bestFit="1" customWidth="1"/>
    <col min="15876" max="15876" width="15.140625" style="226" customWidth="1"/>
    <col min="15877" max="15878" width="13.28515625" style="226" customWidth="1"/>
    <col min="15879" max="15879" width="14.28515625" style="226" bestFit="1" customWidth="1"/>
    <col min="15880" max="15880" width="16" style="226" customWidth="1"/>
    <col min="15881" max="15888" width="0" style="226" hidden="1" customWidth="1"/>
    <col min="15889" max="16128" width="8.85546875" style="226"/>
    <col min="16129" max="16129" width="9" style="226" customWidth="1"/>
    <col min="16130" max="16130" width="15.28515625" style="226" bestFit="1" customWidth="1"/>
    <col min="16131" max="16131" width="13.7109375" style="226" bestFit="1" customWidth="1"/>
    <col min="16132" max="16132" width="15.140625" style="226" customWidth="1"/>
    <col min="16133" max="16134" width="13.28515625" style="226" customWidth="1"/>
    <col min="16135" max="16135" width="14.28515625" style="226" bestFit="1" customWidth="1"/>
    <col min="16136" max="16136" width="16" style="226" customWidth="1"/>
    <col min="16137" max="16144" width="0" style="226" hidden="1" customWidth="1"/>
    <col min="16145" max="16384" width="8.85546875" style="226"/>
  </cols>
  <sheetData>
    <row r="1" spans="1:11" ht="18.600000000000001" customHeight="1" thickBot="1" x14ac:dyDescent="0.3">
      <c r="A1" s="257" t="s">
        <v>144</v>
      </c>
      <c r="B1" s="258"/>
      <c r="C1" s="258"/>
      <c r="D1" s="258"/>
      <c r="E1" s="258"/>
      <c r="F1" s="258"/>
      <c r="G1" s="258"/>
      <c r="H1" s="259"/>
      <c r="I1" s="225"/>
    </row>
    <row r="2" spans="1:11" ht="16.899999999999999" customHeight="1" thickBot="1" x14ac:dyDescent="0.3">
      <c r="A2" s="260" t="s">
        <v>149</v>
      </c>
      <c r="B2" s="261"/>
      <c r="C2" s="261"/>
      <c r="D2" s="261"/>
      <c r="E2" s="261"/>
      <c r="F2" s="261"/>
      <c r="G2" s="261"/>
      <c r="H2" s="262"/>
      <c r="I2" s="225"/>
    </row>
    <row r="3" spans="1:11" ht="15.6" customHeight="1" thickBot="1" x14ac:dyDescent="0.3">
      <c r="A3" s="257" t="s">
        <v>186</v>
      </c>
      <c r="B3" s="258"/>
      <c r="C3" s="258"/>
      <c r="D3" s="258"/>
      <c r="E3" s="258"/>
      <c r="F3" s="258"/>
      <c r="G3" s="258"/>
      <c r="H3" s="259"/>
      <c r="I3" s="225"/>
    </row>
    <row r="4" spans="1:11" ht="17.45" customHeight="1" x14ac:dyDescent="0.2">
      <c r="A4" s="263" t="s">
        <v>0</v>
      </c>
      <c r="B4" s="264"/>
      <c r="C4" s="264"/>
      <c r="D4" s="264"/>
      <c r="E4" s="264"/>
      <c r="F4" s="264"/>
      <c r="G4" s="264"/>
      <c r="H4" s="265"/>
      <c r="I4" s="227"/>
    </row>
    <row r="5" spans="1:11" ht="16.5" thickBot="1" x14ac:dyDescent="0.3">
      <c r="A5" s="266"/>
      <c r="B5" s="267"/>
      <c r="C5" s="267"/>
      <c r="D5" s="268"/>
      <c r="E5" s="268"/>
      <c r="F5" s="268"/>
      <c r="G5" s="268"/>
      <c r="H5" s="269"/>
      <c r="I5" s="228"/>
    </row>
    <row r="6" spans="1:11" ht="16.5" thickBot="1" x14ac:dyDescent="0.3">
      <c r="A6" s="253" t="s">
        <v>145</v>
      </c>
      <c r="B6" s="254"/>
      <c r="C6" s="254"/>
      <c r="D6" s="255"/>
      <c r="E6" s="255"/>
      <c r="F6" s="255"/>
      <c r="G6" s="255"/>
      <c r="H6" s="256"/>
      <c r="I6" s="228"/>
    </row>
    <row r="7" spans="1:11" ht="31.5" x14ac:dyDescent="0.25">
      <c r="A7" s="229" t="s">
        <v>146</v>
      </c>
      <c r="B7" s="230" t="s">
        <v>147</v>
      </c>
      <c r="C7" s="230" t="s">
        <v>162</v>
      </c>
      <c r="D7" s="241" t="s">
        <v>155</v>
      </c>
      <c r="E7" s="241" t="s">
        <v>156</v>
      </c>
      <c r="F7" s="231" t="s">
        <v>161</v>
      </c>
      <c r="G7" s="241" t="s">
        <v>157</v>
      </c>
      <c r="H7" s="249" t="s">
        <v>150</v>
      </c>
    </row>
    <row r="8" spans="1:11" ht="31.5" x14ac:dyDescent="0.25">
      <c r="A8" s="232">
        <v>1</v>
      </c>
      <c r="B8" s="248" t="s">
        <v>187</v>
      </c>
      <c r="C8" s="247">
        <f>'1. Vigilante  Noturno'!C47*180</f>
        <v>1800</v>
      </c>
      <c r="D8" s="236">
        <f>'1. Vigilante  Noturno'!D114</f>
        <v>5</v>
      </c>
      <c r="E8" s="233">
        <f>G8/D8</f>
        <v>15360.972076974556</v>
      </c>
      <c r="F8" s="234">
        <f>'1. Vigilante  Noturno'!F118</f>
        <v>42.66936688048488</v>
      </c>
      <c r="G8" s="233">
        <f>'1. Vigilante  Noturno'!F112</f>
        <v>76804.86038487278</v>
      </c>
      <c r="H8" s="234">
        <f>G8*12</f>
        <v>921658.32461847342</v>
      </c>
      <c r="J8" s="226">
        <v>57365</v>
      </c>
      <c r="K8" s="226">
        <f>G8-J8</f>
        <v>19439.86038487278</v>
      </c>
    </row>
    <row r="9" spans="1:11" ht="31.5" x14ac:dyDescent="0.25">
      <c r="A9" s="232">
        <v>2</v>
      </c>
      <c r="B9" s="248" t="s">
        <v>188</v>
      </c>
      <c r="C9" s="247">
        <f>'2. Vigilante Diurno'!C47*180</f>
        <v>1800</v>
      </c>
      <c r="D9" s="236">
        <f>'2. Vigilante Diurno'!D113</f>
        <v>5</v>
      </c>
      <c r="E9" s="233">
        <f>G9/D9</f>
        <v>13935.013271777309</v>
      </c>
      <c r="F9" s="234">
        <f>'2. Vigilante Diurno'!F117</f>
        <v>38.708370199381413</v>
      </c>
      <c r="G9" s="233">
        <f>'2. Vigilante Diurno'!F111</f>
        <v>69675.066358886543</v>
      </c>
      <c r="H9" s="234">
        <f>G9*12</f>
        <v>836100.79630663851</v>
      </c>
      <c r="J9" s="226">
        <v>52037.68</v>
      </c>
      <c r="K9" s="226">
        <f t="shared" ref="K9:K13" si="0">G9-J9</f>
        <v>17637.386358886542</v>
      </c>
    </row>
    <row r="10" spans="1:11" ht="31.5" x14ac:dyDescent="0.25">
      <c r="A10" s="232">
        <v>3</v>
      </c>
      <c r="B10" s="248" t="s">
        <v>189</v>
      </c>
      <c r="C10" s="247">
        <v>5000</v>
      </c>
      <c r="D10" s="236"/>
      <c r="E10" s="233"/>
      <c r="F10" s="234">
        <f>'3. Vigilante Diurno '!F118</f>
        <v>42.933591535517884</v>
      </c>
      <c r="G10" s="233">
        <f>H10/12</f>
        <v>17888.996473132451</v>
      </c>
      <c r="H10" s="234">
        <f>C10*F10</f>
        <v>214667.95767758941</v>
      </c>
      <c r="J10" s="226">
        <v>12293.55</v>
      </c>
      <c r="K10" s="226">
        <f t="shared" si="0"/>
        <v>5595.4464731324515</v>
      </c>
    </row>
    <row r="11" spans="1:11" ht="31.5" x14ac:dyDescent="0.25">
      <c r="A11" s="232">
        <v>4</v>
      </c>
      <c r="B11" s="248" t="s">
        <v>190</v>
      </c>
      <c r="C11" s="247">
        <v>5000</v>
      </c>
      <c r="D11" s="236"/>
      <c r="E11" s="233"/>
      <c r="F11" s="234">
        <f>'4. Vigilante  Noturno '!F119</f>
        <v>46.764363108365288</v>
      </c>
      <c r="G11" s="233">
        <f>H11/12</f>
        <v>19485.151295152205</v>
      </c>
      <c r="H11" s="234">
        <f>C11*F11</f>
        <v>233821.81554182645</v>
      </c>
      <c r="J11" s="226">
        <v>13526.92</v>
      </c>
      <c r="K11" s="226">
        <f t="shared" si="0"/>
        <v>5958.2312951522053</v>
      </c>
    </row>
    <row r="12" spans="1:11" ht="18" customHeight="1" x14ac:dyDescent="0.25">
      <c r="A12" s="232"/>
      <c r="B12" s="235"/>
      <c r="C12" s="236"/>
      <c r="D12" s="236"/>
      <c r="E12" s="233"/>
      <c r="F12" s="234"/>
      <c r="G12" s="233"/>
      <c r="H12" s="234"/>
      <c r="K12" s="226">
        <f t="shared" si="0"/>
        <v>0</v>
      </c>
    </row>
    <row r="13" spans="1:11" ht="15.75" x14ac:dyDescent="0.25">
      <c r="A13" s="232" t="s">
        <v>148</v>
      </c>
      <c r="B13" s="235"/>
      <c r="C13" s="235"/>
      <c r="D13" s="236"/>
      <c r="E13" s="233"/>
      <c r="F13" s="234"/>
      <c r="G13" s="233">
        <f>SUM(G8:G12)</f>
        <v>183854.07451204397</v>
      </c>
      <c r="H13" s="234">
        <f>SUM(H8:H12)</f>
        <v>2206248.8941445281</v>
      </c>
      <c r="J13" s="226">
        <f>SUM(J8:J12)</f>
        <v>135223.15</v>
      </c>
      <c r="K13" s="226">
        <f t="shared" si="0"/>
        <v>48630.924512043974</v>
      </c>
    </row>
    <row r="14" spans="1:11" ht="16.5" thickBot="1" x14ac:dyDescent="0.3">
      <c r="A14" s="237"/>
      <c r="B14" s="238"/>
      <c r="C14" s="238"/>
      <c r="D14" s="238"/>
      <c r="E14" s="239"/>
      <c r="F14" s="240"/>
      <c r="G14" s="239"/>
      <c r="H14" s="240"/>
    </row>
    <row r="15" spans="1:11" ht="15.75" x14ac:dyDescent="0.25">
      <c r="A15" s="225"/>
      <c r="B15" s="225"/>
      <c r="C15" s="225"/>
    </row>
    <row r="16" spans="1:11" ht="15.75" x14ac:dyDescent="0.25">
      <c r="A16" s="225" t="s">
        <v>194</v>
      </c>
      <c r="B16" s="225"/>
      <c r="C16" s="225"/>
    </row>
    <row r="18" spans="1:3" ht="15.75" x14ac:dyDescent="0.25">
      <c r="A18" s="225"/>
      <c r="B18" s="225"/>
      <c r="C18" s="225"/>
    </row>
  </sheetData>
  <mergeCells count="6">
    <mergeCell ref="A6:H6"/>
    <mergeCell ref="A1:H1"/>
    <mergeCell ref="A2:H2"/>
    <mergeCell ref="A3:H3"/>
    <mergeCell ref="A4:H4"/>
    <mergeCell ref="A5:H5"/>
  </mergeCells>
  <pageMargins left="0.78740157480314965" right="0.59055118110236227" top="0.59055118110236227" bottom="0.59055118110236227" header="0.51181102362204722" footer="0.31496062992125984"/>
  <pageSetup paperSize="9" scale="78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MK147"/>
  <sheetViews>
    <sheetView zoomScale="120" zoomScaleNormal="120" workbookViewId="0">
      <pane ySplit="1" topLeftCell="A11" activePane="bottomLeft" state="frozen"/>
      <selection activeCell="A17" sqref="A17"/>
      <selection pane="bottomLeft" activeCell="A17" sqref="A17"/>
    </sheetView>
  </sheetViews>
  <sheetFormatPr defaultRowHeight="12.75" x14ac:dyDescent="0.2"/>
  <cols>
    <col min="1" max="1" width="44.42578125" style="1" customWidth="1"/>
    <col min="2" max="2" width="16.140625" style="1" customWidth="1"/>
    <col min="3" max="3" width="14.5703125" style="1" customWidth="1"/>
    <col min="4" max="4" width="14.7109375" style="2" customWidth="1"/>
    <col min="5" max="5" width="15.28515625" style="2" customWidth="1"/>
    <col min="6" max="6" width="15" style="2" customWidth="1"/>
    <col min="7" max="7" width="28" style="2" customWidth="1"/>
    <col min="8" max="8" width="23.85546875" style="1" hidden="1" customWidth="1"/>
    <col min="9" max="9" width="14.5703125" style="1" customWidth="1"/>
    <col min="10" max="10" width="13.42578125" style="1" customWidth="1"/>
    <col min="11" max="1025" width="9.28515625" style="1" customWidth="1"/>
  </cols>
  <sheetData>
    <row r="1" spans="1:7" s="4" customFormat="1" ht="21.75" customHeight="1" x14ac:dyDescent="0.2">
      <c r="A1" s="278" t="s">
        <v>159</v>
      </c>
      <c r="B1" s="278"/>
      <c r="C1" s="278"/>
      <c r="D1" s="278"/>
      <c r="E1" s="278"/>
      <c r="F1" s="278"/>
      <c r="G1" s="3"/>
    </row>
    <row r="2" spans="1:7" s="6" customFormat="1" ht="12.6" customHeight="1" x14ac:dyDescent="0.2">
      <c r="A2" s="279" t="s">
        <v>169</v>
      </c>
      <c r="B2" s="279"/>
      <c r="C2" s="279"/>
      <c r="D2" s="279"/>
      <c r="E2" s="279"/>
      <c r="F2" s="279"/>
      <c r="G2" s="5"/>
    </row>
    <row r="3" spans="1:7" s="6" customFormat="1" ht="10.9" customHeight="1" x14ac:dyDescent="0.2">
      <c r="A3" s="279"/>
      <c r="B3" s="279"/>
      <c r="C3" s="279"/>
      <c r="D3" s="279"/>
      <c r="E3" s="279"/>
      <c r="F3" s="279"/>
      <c r="G3" s="5"/>
    </row>
    <row r="4" spans="1:7" s="6" customFormat="1" ht="21.75" customHeight="1" x14ac:dyDescent="0.2">
      <c r="A4" s="280" t="s">
        <v>0</v>
      </c>
      <c r="B4" s="280"/>
      <c r="C4" s="280"/>
      <c r="D4" s="280"/>
      <c r="E4" s="280"/>
      <c r="F4" s="280"/>
      <c r="G4" s="5"/>
    </row>
    <row r="5" spans="1:7" s="4" customFormat="1" ht="10.9" customHeight="1" x14ac:dyDescent="0.2">
      <c r="A5" s="7"/>
      <c r="B5" s="8"/>
      <c r="C5" s="8"/>
      <c r="D5" s="3"/>
      <c r="E5" s="3"/>
      <c r="F5" s="9"/>
      <c r="G5" s="3"/>
    </row>
    <row r="6" spans="1:7" s="4" customFormat="1" ht="15.75" customHeight="1" x14ac:dyDescent="0.2">
      <c r="A6" s="273" t="s">
        <v>1</v>
      </c>
      <c r="B6" s="273"/>
      <c r="C6" s="273"/>
      <c r="D6" s="273"/>
      <c r="E6" s="273"/>
      <c r="F6" s="273"/>
      <c r="G6" s="3"/>
    </row>
    <row r="7" spans="1:7" s="4" customFormat="1" ht="15.75" customHeight="1" x14ac:dyDescent="0.2">
      <c r="A7" s="10" t="s">
        <v>2</v>
      </c>
      <c r="B7" s="11"/>
      <c r="C7" s="11"/>
      <c r="D7" s="12"/>
      <c r="E7" s="13" t="s">
        <v>3</v>
      </c>
      <c r="F7" s="14" t="s">
        <v>4</v>
      </c>
      <c r="G7" s="3"/>
    </row>
    <row r="8" spans="1:7" s="19" customFormat="1" ht="15.75" customHeight="1" x14ac:dyDescent="0.2">
      <c r="A8" s="15" t="str">
        <f>A37</f>
        <v>1. Mão de obra</v>
      </c>
      <c r="B8" s="16"/>
      <c r="C8" s="17"/>
      <c r="D8" s="17"/>
      <c r="E8" s="213">
        <f>+F82</f>
        <v>61356.688996145458</v>
      </c>
      <c r="F8" s="214">
        <f t="shared" ref="F8:F17" si="0">IFERROR(E8/$E$18,0)</f>
        <v>0.7988646641460474</v>
      </c>
      <c r="G8" s="18"/>
    </row>
    <row r="9" spans="1:7" s="4" customFormat="1" ht="15.75" customHeight="1" x14ac:dyDescent="0.2">
      <c r="A9" s="20" t="str">
        <f>A38</f>
        <v>1.1. Categoria Profissional de Vigilantes (05 Postos de 12 horas noturnas 12/36)</v>
      </c>
      <c r="B9" s="21"/>
      <c r="C9" s="22"/>
      <c r="D9" s="22"/>
      <c r="E9" s="215">
        <f>F48</f>
        <v>55546.6885416</v>
      </c>
      <c r="F9" s="216">
        <f t="shared" si="0"/>
        <v>0.7232184039298154</v>
      </c>
      <c r="G9" s="3"/>
    </row>
    <row r="10" spans="1:7" s="4" customFormat="1" ht="15.6" customHeight="1" x14ac:dyDescent="0.2">
      <c r="A10" s="20" t="str">
        <f>A50</f>
        <v>1.2. Encarregado/Supervisor</v>
      </c>
      <c r="B10" s="21"/>
      <c r="C10" s="22"/>
      <c r="D10" s="22"/>
      <c r="E10" s="215">
        <f>F57</f>
        <v>1449.2004545454545</v>
      </c>
      <c r="F10" s="216">
        <f t="shared" si="0"/>
        <v>1.8868603461857005E-2</v>
      </c>
      <c r="G10" s="3"/>
    </row>
    <row r="11" spans="1:7" s="4" customFormat="1" ht="15.75" customHeight="1" x14ac:dyDescent="0.2">
      <c r="A11" s="20" t="str">
        <f>A59</f>
        <v>1.3. Auxílio Alimentação</v>
      </c>
      <c r="B11" s="21"/>
      <c r="C11" s="22"/>
      <c r="D11" s="22"/>
      <c r="E11" s="215">
        <f>F63</f>
        <v>4360.8</v>
      </c>
      <c r="F11" s="216">
        <f t="shared" si="0"/>
        <v>5.6777656754374989E-2</v>
      </c>
      <c r="G11" s="3"/>
    </row>
    <row r="12" spans="1:7" s="4" customFormat="1" ht="15.75" hidden="1" customHeight="1" x14ac:dyDescent="0.2">
      <c r="A12" s="20" t="str">
        <f>A65</f>
        <v>1.4. Vale Transporte</v>
      </c>
      <c r="B12" s="21"/>
      <c r="C12" s="22"/>
      <c r="D12" s="22"/>
      <c r="E12" s="215">
        <f>F70</f>
        <v>0</v>
      </c>
      <c r="F12" s="216">
        <f t="shared" si="0"/>
        <v>0</v>
      </c>
      <c r="G12" s="3"/>
    </row>
    <row r="13" spans="1:7" s="4" customFormat="1" ht="15.75" hidden="1" customHeight="1" x14ac:dyDescent="0.2">
      <c r="A13" s="20" t="str">
        <f>A72</f>
        <v xml:space="preserve">1.5. Plano de Benefício Social  </v>
      </c>
      <c r="B13" s="21"/>
      <c r="C13" s="22"/>
      <c r="D13" s="22"/>
      <c r="E13" s="215">
        <f>F75</f>
        <v>0</v>
      </c>
      <c r="F13" s="216">
        <f t="shared" si="0"/>
        <v>0</v>
      </c>
      <c r="G13" s="3"/>
    </row>
    <row r="14" spans="1:7" s="19" customFormat="1" ht="15.75" customHeight="1" x14ac:dyDescent="0.2">
      <c r="A14" s="281" t="str">
        <f>A84</f>
        <v>2. Uniformes e Equipamentos de Proteção Individual</v>
      </c>
      <c r="B14" s="281"/>
      <c r="C14" s="281"/>
      <c r="D14" s="17"/>
      <c r="E14" s="213">
        <f>+F95</f>
        <v>528.75</v>
      </c>
      <c r="F14" s="214">
        <f t="shared" si="0"/>
        <v>6.8843299414960042E-3</v>
      </c>
      <c r="G14" s="18"/>
    </row>
    <row r="15" spans="1:7" s="19" customFormat="1" ht="15.75" customHeight="1" x14ac:dyDescent="0.2">
      <c r="A15" s="24" t="str">
        <f>A85</f>
        <v>2.1. Uniformes e EPIs</v>
      </c>
      <c r="B15" s="25"/>
      <c r="C15" s="25"/>
      <c r="D15" s="17"/>
      <c r="E15" s="217">
        <f>F93</f>
        <v>528.75</v>
      </c>
      <c r="F15" s="214">
        <f t="shared" si="0"/>
        <v>6.8843299414960042E-3</v>
      </c>
      <c r="G15" s="18"/>
    </row>
    <row r="16" spans="1:7" s="19" customFormat="1" ht="15.75" customHeight="1" x14ac:dyDescent="0.2">
      <c r="A16" s="212" t="str">
        <f>A97</f>
        <v>3. Veículo de apoio para deslocamento e materiais de consumo</v>
      </c>
      <c r="B16" s="25"/>
      <c r="C16" s="25"/>
      <c r="D16" s="17"/>
      <c r="E16" s="218">
        <f>F104</f>
        <v>740.83333333333337</v>
      </c>
      <c r="F16" s="214">
        <f t="shared" si="0"/>
        <v>9.6456569235460182E-3</v>
      </c>
      <c r="G16" s="18"/>
    </row>
    <row r="17" spans="1:9" s="19" customFormat="1" ht="15.75" customHeight="1" thickBot="1" x14ac:dyDescent="0.25">
      <c r="A17" s="23" t="str">
        <f>A106</f>
        <v>4. Benefícios e Despesas Indiretas (BDI)</v>
      </c>
      <c r="B17" s="26"/>
      <c r="C17" s="17"/>
      <c r="D17" s="17"/>
      <c r="E17" s="219">
        <f>F110</f>
        <v>14178.588055393999</v>
      </c>
      <c r="F17" s="214">
        <f t="shared" si="0"/>
        <v>0.18460534898891065</v>
      </c>
      <c r="G17" s="18"/>
    </row>
    <row r="18" spans="1:9" s="4" customFormat="1" ht="15.75" customHeight="1" thickBot="1" x14ac:dyDescent="0.25">
      <c r="A18" s="27" t="s">
        <v>5</v>
      </c>
      <c r="B18" s="28"/>
      <c r="C18" s="29"/>
      <c r="D18" s="29"/>
      <c r="E18" s="30">
        <f>E8+E14+E17+E16</f>
        <v>76804.86038487278</v>
      </c>
      <c r="F18" s="31">
        <f>F8+F14+F17+F16</f>
        <v>1</v>
      </c>
      <c r="G18" s="3"/>
    </row>
    <row r="19" spans="1:9" s="4" customFormat="1" ht="15.75" customHeight="1" x14ac:dyDescent="0.2">
      <c r="A19" s="32"/>
      <c r="B19" s="33"/>
      <c r="C19" s="18"/>
      <c r="D19" s="18"/>
      <c r="E19" s="34"/>
      <c r="F19" s="35"/>
      <c r="G19" s="3"/>
    </row>
    <row r="20" spans="1:9" ht="13.5" thickBot="1" x14ac:dyDescent="0.25"/>
    <row r="21" spans="1:9" s="4" customFormat="1" ht="15" customHeight="1" x14ac:dyDescent="0.2">
      <c r="A21" s="273" t="s">
        <v>6</v>
      </c>
      <c r="B21" s="273"/>
      <c r="C21" s="273"/>
      <c r="D21" s="273"/>
      <c r="E21" s="273"/>
      <c r="F21" s="2"/>
      <c r="G21" s="3"/>
    </row>
    <row r="22" spans="1:9" s="4" customFormat="1" ht="15" customHeight="1" x14ac:dyDescent="0.2">
      <c r="A22" s="274" t="s">
        <v>7</v>
      </c>
      <c r="B22" s="274"/>
      <c r="C22" s="274"/>
      <c r="D22" s="274"/>
      <c r="E22" s="36" t="s">
        <v>8</v>
      </c>
      <c r="F22" s="2"/>
      <c r="G22" s="3"/>
    </row>
    <row r="23" spans="1:9" s="4" customFormat="1" ht="15" customHeight="1" x14ac:dyDescent="0.2">
      <c r="A23" s="37" t="s">
        <v>166</v>
      </c>
      <c r="B23" s="38"/>
      <c r="C23" s="38"/>
      <c r="D23" s="39"/>
      <c r="E23" s="40"/>
      <c r="F23" s="2"/>
      <c r="G23" s="41"/>
    </row>
    <row r="24" spans="1:9" s="4" customFormat="1" ht="15" customHeight="1" x14ac:dyDescent="0.2">
      <c r="A24" s="42" t="s">
        <v>133</v>
      </c>
      <c r="B24" s="43"/>
      <c r="C24" s="43"/>
      <c r="D24" s="44"/>
      <c r="E24" s="244">
        <v>2105.4</v>
      </c>
      <c r="F24" s="2"/>
      <c r="G24" s="3"/>
    </row>
    <row r="25" spans="1:9" s="4" customFormat="1" ht="15" customHeight="1" x14ac:dyDescent="0.2">
      <c r="A25" s="42" t="s">
        <v>10</v>
      </c>
      <c r="B25" s="43"/>
      <c r="C25" s="43"/>
      <c r="D25" s="44"/>
      <c r="E25" s="45">
        <f>9.14*15</f>
        <v>137.10000000000002</v>
      </c>
      <c r="F25" s="2"/>
      <c r="G25" s="3"/>
    </row>
    <row r="26" spans="1:9" s="4" customFormat="1" ht="15" customHeight="1" x14ac:dyDescent="0.2">
      <c r="A26" s="42" t="s">
        <v>11</v>
      </c>
      <c r="B26" s="43"/>
      <c r="C26" s="43"/>
      <c r="D26" s="44"/>
      <c r="E26" s="46">
        <v>220</v>
      </c>
      <c r="F26" s="2"/>
      <c r="G26" s="3"/>
      <c r="I26" s="3"/>
    </row>
    <row r="27" spans="1:9" s="4" customFormat="1" ht="15" hidden="1" customHeight="1" x14ac:dyDescent="0.2">
      <c r="A27" s="15" t="str">
        <f>+A50</f>
        <v>1.2. Encarregado/Supervisor</v>
      </c>
      <c r="B27" s="47"/>
      <c r="C27" s="47"/>
      <c r="D27" s="48"/>
      <c r="E27" s="49"/>
      <c r="F27" s="2"/>
      <c r="G27" s="3"/>
      <c r="I27" s="3"/>
    </row>
    <row r="28" spans="1:9" s="4" customFormat="1" ht="15" hidden="1" customHeight="1" x14ac:dyDescent="0.2">
      <c r="A28" s="42"/>
      <c r="B28" s="47"/>
      <c r="C28" s="47"/>
      <c r="D28" s="48"/>
      <c r="E28" s="50"/>
      <c r="F28" s="2"/>
      <c r="G28" s="3"/>
      <c r="I28" s="3"/>
    </row>
    <row r="29" spans="1:9" s="4" customFormat="1" ht="15" hidden="1" customHeight="1" x14ac:dyDescent="0.2">
      <c r="A29" s="51"/>
      <c r="B29" s="47"/>
      <c r="C29" s="47"/>
      <c r="D29" s="48"/>
      <c r="E29" s="49"/>
      <c r="F29" s="2"/>
      <c r="G29" s="3"/>
      <c r="I29" s="3"/>
    </row>
    <row r="30" spans="1:9" s="4" customFormat="1" ht="15" customHeight="1" thickBot="1" x14ac:dyDescent="0.25">
      <c r="A30" s="52" t="s">
        <v>12</v>
      </c>
      <c r="B30" s="53"/>
      <c r="C30" s="53"/>
      <c r="D30" s="54"/>
      <c r="E30" s="55">
        <v>10</v>
      </c>
      <c r="F30" s="2"/>
      <c r="G30" s="3"/>
      <c r="I30" s="3"/>
    </row>
    <row r="31" spans="1:9" s="4" customFormat="1" x14ac:dyDescent="0.2">
      <c r="A31" s="2" t="s">
        <v>13</v>
      </c>
      <c r="B31" s="2"/>
      <c r="C31" s="2"/>
      <c r="D31" s="1"/>
      <c r="E31" s="56"/>
      <c r="F31" s="1"/>
      <c r="G31" s="3"/>
      <c r="I31" s="3"/>
    </row>
    <row r="32" spans="1:9" s="4" customFormat="1" x14ac:dyDescent="0.2">
      <c r="A32" s="2" t="s">
        <v>151</v>
      </c>
      <c r="B32" s="2"/>
      <c r="C32" s="2"/>
      <c r="D32" s="1"/>
      <c r="E32" s="57"/>
      <c r="F32" s="1"/>
      <c r="G32" s="3"/>
      <c r="I32" s="3"/>
    </row>
    <row r="33" spans="1:9" s="4" customFormat="1" x14ac:dyDescent="0.2">
      <c r="A33" s="2" t="s">
        <v>127</v>
      </c>
      <c r="B33" s="2"/>
      <c r="C33" s="2"/>
      <c r="D33" s="1"/>
      <c r="E33" s="57"/>
      <c r="F33" s="1"/>
      <c r="G33" s="3"/>
      <c r="I33" s="3"/>
    </row>
    <row r="34" spans="1:9" s="4" customFormat="1" x14ac:dyDescent="0.2">
      <c r="A34" s="2"/>
      <c r="B34" s="2"/>
      <c r="C34" s="2"/>
      <c r="D34" s="1"/>
      <c r="E34" s="57"/>
      <c r="F34" s="198"/>
      <c r="G34" s="3"/>
      <c r="I34" s="3"/>
    </row>
    <row r="35" spans="1:9" s="19" customFormat="1" ht="15.75" customHeight="1" x14ac:dyDescent="0.2">
      <c r="A35" s="58" t="s">
        <v>14</v>
      </c>
      <c r="B35" s="59">
        <v>1</v>
      </c>
      <c r="C35" s="18"/>
      <c r="E35" s="60"/>
      <c r="G35" s="18"/>
    </row>
    <row r="36" spans="1:9" s="4" customFormat="1" ht="15.75" customHeight="1" x14ac:dyDescent="0.2">
      <c r="A36" s="2"/>
      <c r="B36" s="2"/>
      <c r="C36" s="2"/>
      <c r="D36" s="1"/>
      <c r="E36" s="56"/>
      <c r="F36" s="1"/>
      <c r="G36" s="3"/>
    </row>
    <row r="37" spans="1:9" customFormat="1" ht="13.15" customHeight="1" x14ac:dyDescent="0.2">
      <c r="A37" s="19" t="s">
        <v>15</v>
      </c>
      <c r="B37" s="1"/>
      <c r="C37" s="1"/>
      <c r="D37" s="2"/>
      <c r="E37" s="2"/>
      <c r="F37" s="2"/>
      <c r="G37" s="2"/>
      <c r="H37" s="1"/>
      <c r="I37" s="1"/>
    </row>
    <row r="38" spans="1:9" customFormat="1" ht="13.9" customHeight="1" thickBot="1" x14ac:dyDescent="0.25">
      <c r="A38" s="276" t="s">
        <v>167</v>
      </c>
      <c r="B38" s="276"/>
      <c r="C38" s="276"/>
      <c r="D38" s="276"/>
      <c r="E38" s="276"/>
      <c r="F38" s="276"/>
      <c r="G38" s="3"/>
    </row>
    <row r="39" spans="1:9" customFormat="1" ht="13.9" customHeight="1" thickBot="1" x14ac:dyDescent="0.25">
      <c r="A39" s="61" t="s">
        <v>16</v>
      </c>
      <c r="B39" s="62" t="s">
        <v>17</v>
      </c>
      <c r="C39" s="62" t="s">
        <v>8</v>
      </c>
      <c r="D39" s="63" t="s">
        <v>18</v>
      </c>
      <c r="E39" s="63" t="s">
        <v>19</v>
      </c>
      <c r="F39" s="64" t="s">
        <v>20</v>
      </c>
      <c r="G39" s="3"/>
    </row>
    <row r="40" spans="1:9" customFormat="1" ht="13.9" customHeight="1" x14ac:dyDescent="0.2">
      <c r="A40" s="65" t="s">
        <v>9</v>
      </c>
      <c r="B40" s="66" t="s">
        <v>21</v>
      </c>
      <c r="C40" s="66">
        <v>1</v>
      </c>
      <c r="D40" s="199">
        <f>E24</f>
        <v>2105.4</v>
      </c>
      <c r="E40" s="68">
        <f>C40*D40</f>
        <v>2105.4</v>
      </c>
      <c r="F40" s="2"/>
      <c r="G40" s="3"/>
    </row>
    <row r="41" spans="1:9" customFormat="1" ht="13.9" customHeight="1" x14ac:dyDescent="0.2">
      <c r="A41" s="65" t="s">
        <v>176</v>
      </c>
      <c r="B41" s="66" t="s">
        <v>4</v>
      </c>
      <c r="C41" s="250">
        <v>0.3</v>
      </c>
      <c r="D41" s="68">
        <f>E40</f>
        <v>2105.4</v>
      </c>
      <c r="E41" s="68">
        <f>D41*C41</f>
        <v>631.62</v>
      </c>
      <c r="F41" s="2"/>
      <c r="G41" s="3"/>
    </row>
    <row r="42" spans="1:9" customFormat="1" ht="13.9" customHeight="1" x14ac:dyDescent="0.2">
      <c r="A42" s="65" t="s">
        <v>142</v>
      </c>
      <c r="B42" s="66" t="s">
        <v>128</v>
      </c>
      <c r="C42" s="66">
        <v>15</v>
      </c>
      <c r="D42" s="67">
        <v>14.35</v>
      </c>
      <c r="E42" s="68">
        <f>C42*D42</f>
        <v>215.25</v>
      </c>
      <c r="F42" s="2"/>
      <c r="G42" s="3"/>
    </row>
    <row r="43" spans="1:9" customFormat="1" ht="13.9" customHeight="1" x14ac:dyDescent="0.2">
      <c r="A43" s="69" t="s">
        <v>22</v>
      </c>
      <c r="B43" s="70" t="s">
        <v>23</v>
      </c>
      <c r="C43" s="71">
        <f>E25*1</f>
        <v>137.10000000000002</v>
      </c>
      <c r="D43" s="72">
        <f>(E40/220*0.2)+0.57</f>
        <v>2.484</v>
      </c>
      <c r="E43" s="72">
        <f>C43*D43</f>
        <v>340.55640000000005</v>
      </c>
      <c r="F43" s="2"/>
      <c r="G43" s="3"/>
    </row>
    <row r="44" spans="1:9" customFormat="1" ht="13.9" customHeight="1" x14ac:dyDescent="0.2">
      <c r="A44" s="73" t="s">
        <v>24</v>
      </c>
      <c r="B44" s="74"/>
      <c r="C44" s="74"/>
      <c r="D44" s="75"/>
      <c r="E44" s="222">
        <f>SUM(E40:E43)</f>
        <v>3292.8263999999999</v>
      </c>
      <c r="F44" s="2"/>
      <c r="G44" s="3"/>
    </row>
    <row r="45" spans="1:9" customFormat="1" ht="13.9" customHeight="1" x14ac:dyDescent="0.2">
      <c r="A45" s="69" t="s">
        <v>25</v>
      </c>
      <c r="B45" s="70" t="s">
        <v>4</v>
      </c>
      <c r="C45" s="76">
        <f>'5.Encargos Sociais'!$C$34*100</f>
        <v>68.690000000000012</v>
      </c>
      <c r="D45" s="72">
        <f>E44</f>
        <v>3292.8263999999999</v>
      </c>
      <c r="E45" s="223">
        <f>D45*C45/100</f>
        <v>2261.8424541600002</v>
      </c>
      <c r="F45" s="2"/>
      <c r="G45" s="3"/>
    </row>
    <row r="46" spans="1:9" customFormat="1" ht="13.9" customHeight="1" x14ac:dyDescent="0.2">
      <c r="A46" s="73" t="s">
        <v>26</v>
      </c>
      <c r="B46" s="74"/>
      <c r="C46" s="74"/>
      <c r="D46" s="75"/>
      <c r="E46" s="222">
        <f>SUM(E44:E45)</f>
        <v>5554.6688541599997</v>
      </c>
      <c r="F46" s="2"/>
      <c r="G46" s="3"/>
    </row>
    <row r="47" spans="1:9" customFormat="1" ht="13.9" customHeight="1" thickBot="1" x14ac:dyDescent="0.25">
      <c r="A47" s="69" t="s">
        <v>27</v>
      </c>
      <c r="B47" s="70" t="s">
        <v>28</v>
      </c>
      <c r="C47" s="77">
        <f>E30</f>
        <v>10</v>
      </c>
      <c r="D47" s="72">
        <f>E46</f>
        <v>5554.6688541599997</v>
      </c>
      <c r="E47" s="72">
        <f>C47*D47</f>
        <v>55546.6885416</v>
      </c>
      <c r="F47" s="2"/>
      <c r="G47" s="3"/>
    </row>
    <row r="48" spans="1:9" customFormat="1" ht="13.9" customHeight="1" thickBot="1" x14ac:dyDescent="0.25">
      <c r="A48" s="78"/>
      <c r="B48" s="1"/>
      <c r="C48" s="1"/>
      <c r="D48" s="79" t="s">
        <v>29</v>
      </c>
      <c r="E48" s="80">
        <f>$B$35</f>
        <v>1</v>
      </c>
      <c r="F48" s="81">
        <f>E47*E48</f>
        <v>55546.6885416</v>
      </c>
      <c r="G48" s="3"/>
    </row>
    <row r="49" spans="1:7" customFormat="1" ht="11.25" customHeight="1" x14ac:dyDescent="0.2">
      <c r="A49" s="1"/>
      <c r="B49" s="1"/>
      <c r="C49" s="1"/>
      <c r="D49" s="2"/>
      <c r="E49" s="2"/>
      <c r="F49" s="2"/>
      <c r="G49" s="2"/>
    </row>
    <row r="50" spans="1:7" customFormat="1" x14ac:dyDescent="0.2">
      <c r="A50" s="1" t="s">
        <v>136</v>
      </c>
      <c r="B50" s="1"/>
      <c r="C50" s="1"/>
      <c r="D50" s="2"/>
      <c r="E50" s="2"/>
      <c r="F50" s="2"/>
      <c r="G50" s="2"/>
    </row>
    <row r="51" spans="1:7" s="78" customFormat="1" ht="13.15" customHeight="1" x14ac:dyDescent="0.2">
      <c r="A51" s="61" t="s">
        <v>16</v>
      </c>
      <c r="B51" s="62" t="s">
        <v>17</v>
      </c>
      <c r="C51" s="62" t="s">
        <v>8</v>
      </c>
      <c r="D51" s="63" t="s">
        <v>18</v>
      </c>
      <c r="E51" s="63" t="s">
        <v>19</v>
      </c>
      <c r="F51" s="64" t="s">
        <v>20</v>
      </c>
      <c r="G51" s="2"/>
    </row>
    <row r="52" spans="1:7" customFormat="1" x14ac:dyDescent="0.2">
      <c r="A52" s="65" t="s">
        <v>9</v>
      </c>
      <c r="B52" s="66" t="s">
        <v>21</v>
      </c>
      <c r="C52" s="66">
        <v>1</v>
      </c>
      <c r="D52" s="221">
        <v>2700</v>
      </c>
      <c r="E52" s="85">
        <f>C52*D52</f>
        <v>2700</v>
      </c>
      <c r="F52" s="2"/>
      <c r="G52" s="2"/>
    </row>
    <row r="53" spans="1:7" s="19" customFormat="1" x14ac:dyDescent="0.2">
      <c r="A53" s="69" t="s">
        <v>24</v>
      </c>
      <c r="B53" s="74"/>
      <c r="C53" s="74"/>
      <c r="D53" s="86"/>
      <c r="E53" s="87">
        <f>SUM(E52:E52)</f>
        <v>2700</v>
      </c>
      <c r="F53" s="18"/>
      <c r="G53" s="18"/>
    </row>
    <row r="54" spans="1:7" customFormat="1" x14ac:dyDescent="0.2">
      <c r="A54" s="69" t="s">
        <v>25</v>
      </c>
      <c r="B54" s="70" t="s">
        <v>4</v>
      </c>
      <c r="C54" s="76">
        <f>'5.Encargos Sociais'!$C$34*100</f>
        <v>68.690000000000012</v>
      </c>
      <c r="D54" s="87">
        <f>E53</f>
        <v>2700</v>
      </c>
      <c r="E54" s="87">
        <f>D54*C54/100</f>
        <v>1854.6300000000003</v>
      </c>
      <c r="F54" s="2"/>
      <c r="G54" s="2"/>
    </row>
    <row r="55" spans="1:7" s="19" customFormat="1" x14ac:dyDescent="0.2">
      <c r="A55" s="69" t="s">
        <v>26</v>
      </c>
      <c r="B55" s="88"/>
      <c r="C55" s="88"/>
      <c r="D55" s="89"/>
      <c r="E55" s="87">
        <f>E53+E54</f>
        <v>4554.63</v>
      </c>
      <c r="F55" s="18"/>
      <c r="G55" s="18"/>
    </row>
    <row r="56" spans="1:7" customFormat="1" x14ac:dyDescent="0.2">
      <c r="A56" s="69" t="s">
        <v>27</v>
      </c>
      <c r="B56" s="70" t="s">
        <v>28</v>
      </c>
      <c r="C56" s="77">
        <v>1</v>
      </c>
      <c r="D56" s="87">
        <f>E55</f>
        <v>4554.63</v>
      </c>
      <c r="E56" s="87">
        <f>C56*D56</f>
        <v>4554.63</v>
      </c>
      <c r="F56" s="2"/>
      <c r="G56" s="2"/>
    </row>
    <row r="57" spans="1:7" customFormat="1" x14ac:dyDescent="0.2">
      <c r="A57" s="275" t="s">
        <v>158</v>
      </c>
      <c r="B57" s="275"/>
      <c r="C57" s="275"/>
      <c r="D57" s="79" t="s">
        <v>29</v>
      </c>
      <c r="E57" s="90">
        <f>14/44</f>
        <v>0.31818181818181818</v>
      </c>
      <c r="F57" s="81">
        <f>E56*E57</f>
        <v>1449.2004545454545</v>
      </c>
      <c r="G57" s="3"/>
    </row>
    <row r="58" spans="1:7" customFormat="1" x14ac:dyDescent="0.2">
      <c r="A58" s="270"/>
      <c r="B58" s="270"/>
      <c r="C58" s="270"/>
      <c r="D58" s="270"/>
      <c r="E58" s="82"/>
      <c r="F58" s="83"/>
      <c r="G58" s="3"/>
    </row>
    <row r="59" spans="1:7" customFormat="1" x14ac:dyDescent="0.2">
      <c r="A59" s="1" t="s">
        <v>137</v>
      </c>
      <c r="B59" s="1"/>
      <c r="C59" s="1"/>
      <c r="D59" s="2"/>
      <c r="E59" s="2"/>
      <c r="F59" s="18"/>
      <c r="G59" s="2"/>
    </row>
    <row r="60" spans="1:7" customFormat="1" ht="13.5" thickBot="1" x14ac:dyDescent="0.25">
      <c r="A60" s="61" t="s">
        <v>16</v>
      </c>
      <c r="B60" s="62" t="s">
        <v>17</v>
      </c>
      <c r="C60" s="62" t="s">
        <v>8</v>
      </c>
      <c r="D60" s="63" t="s">
        <v>18</v>
      </c>
      <c r="E60" s="63" t="s">
        <v>19</v>
      </c>
      <c r="F60" s="64" t="s">
        <v>20</v>
      </c>
      <c r="G60" s="2"/>
    </row>
    <row r="61" spans="1:7" customFormat="1" x14ac:dyDescent="0.2">
      <c r="A61" s="69" t="s">
        <v>171</v>
      </c>
      <c r="B61" s="70" t="s">
        <v>30</v>
      </c>
      <c r="C61" s="91">
        <f>((C47)*15)</f>
        <v>150</v>
      </c>
      <c r="D61" s="246">
        <f>34.5*0.8</f>
        <v>27.6</v>
      </c>
      <c r="E61" s="92">
        <f>((D61*C61))</f>
        <v>4140</v>
      </c>
      <c r="F61" s="18"/>
      <c r="G61" s="2"/>
    </row>
    <row r="62" spans="1:7" customFormat="1" ht="13.5" thickBot="1" x14ac:dyDescent="0.25">
      <c r="A62" s="69" t="s">
        <v>141</v>
      </c>
      <c r="B62" s="70" t="s">
        <v>30</v>
      </c>
      <c r="C62" s="91">
        <v>8</v>
      </c>
      <c r="D62" s="246">
        <f>34.5*0.8</f>
        <v>27.6</v>
      </c>
      <c r="E62" s="92">
        <f>((D62*C62))</f>
        <v>220.8</v>
      </c>
      <c r="F62" s="18"/>
      <c r="G62" s="2"/>
    </row>
    <row r="63" spans="1:7" s="1" customFormat="1" ht="13.5" thickBot="1" x14ac:dyDescent="0.25">
      <c r="A63" s="93"/>
      <c r="B63" s="93"/>
      <c r="D63" s="79" t="s">
        <v>29</v>
      </c>
      <c r="E63" s="80">
        <v>1</v>
      </c>
      <c r="F63" s="94">
        <f>SUM(E61:E62)*E63</f>
        <v>4360.8</v>
      </c>
    </row>
    <row r="64" spans="1:7" customFormat="1" ht="13.5" thickBot="1" x14ac:dyDescent="0.25">
      <c r="A64" s="78"/>
      <c r="B64" s="78"/>
      <c r="C64" s="1"/>
      <c r="D64" s="79"/>
      <c r="E64" s="2"/>
      <c r="F64" s="83"/>
      <c r="G64" s="1"/>
    </row>
    <row r="65" spans="1:8" s="1" customFormat="1" hidden="1" x14ac:dyDescent="0.2">
      <c r="A65" s="1" t="s">
        <v>138</v>
      </c>
      <c r="B65" s="95"/>
      <c r="E65" s="96"/>
      <c r="F65" s="2"/>
    </row>
    <row r="66" spans="1:8" s="1" customFormat="1" hidden="1" x14ac:dyDescent="0.2">
      <c r="A66" s="61" t="s">
        <v>16</v>
      </c>
      <c r="B66" s="62" t="s">
        <v>17</v>
      </c>
      <c r="C66" s="62" t="s">
        <v>8</v>
      </c>
      <c r="D66" s="63" t="s">
        <v>18</v>
      </c>
      <c r="E66" s="63" t="s">
        <v>19</v>
      </c>
      <c r="F66" s="64" t="s">
        <v>20</v>
      </c>
    </row>
    <row r="67" spans="1:8" customFormat="1" hidden="1" x14ac:dyDescent="0.2">
      <c r="A67" s="69" t="s">
        <v>31</v>
      </c>
      <c r="B67" s="70" t="s">
        <v>32</v>
      </c>
      <c r="C67" s="97">
        <v>1</v>
      </c>
      <c r="D67" s="202">
        <v>3.5</v>
      </c>
      <c r="E67" s="98"/>
      <c r="F67" s="2"/>
      <c r="G67" s="1"/>
    </row>
    <row r="68" spans="1:8" customFormat="1" hidden="1" x14ac:dyDescent="0.2">
      <c r="A68" s="69" t="s">
        <v>129</v>
      </c>
      <c r="B68" s="70" t="s">
        <v>33</v>
      </c>
      <c r="C68" s="1">
        <v>15</v>
      </c>
      <c r="D68" s="98"/>
      <c r="E68" s="98"/>
      <c r="F68" s="2"/>
      <c r="G68" s="1"/>
    </row>
    <row r="69" spans="1:8" customFormat="1" ht="13.5" hidden="1" thickBot="1" x14ac:dyDescent="0.25">
      <c r="A69" s="69" t="s">
        <v>171</v>
      </c>
      <c r="B69" s="70" t="s">
        <v>34</v>
      </c>
      <c r="C69" s="99">
        <f>C68*E30*2</f>
        <v>300</v>
      </c>
      <c r="D69" s="84">
        <f>D67-((E40*0.06)/30)</f>
        <v>-0.71079999999999988</v>
      </c>
      <c r="E69" s="98">
        <f>IFERROR(C69*D69,"-")</f>
        <v>-213.23999999999995</v>
      </c>
      <c r="F69" s="2"/>
      <c r="G69" s="1"/>
    </row>
    <row r="70" spans="1:8" customFormat="1" ht="13.5" hidden="1" thickBot="1" x14ac:dyDescent="0.25">
      <c r="A70" s="1"/>
      <c r="B70" s="1"/>
      <c r="C70" s="1"/>
      <c r="D70" s="2"/>
      <c r="E70" s="2"/>
      <c r="F70" s="100">
        <f>SUM(E69:E69)-E69</f>
        <v>0</v>
      </c>
      <c r="G70" s="1"/>
      <c r="H70" s="1"/>
    </row>
    <row r="71" spans="1:8" customFormat="1" ht="10.9" hidden="1" customHeight="1" x14ac:dyDescent="0.2">
      <c r="A71" s="78"/>
      <c r="B71" s="78"/>
      <c r="C71" s="1"/>
      <c r="D71" s="79"/>
      <c r="E71" s="2"/>
      <c r="F71" s="83"/>
      <c r="G71" s="1"/>
      <c r="H71" s="1"/>
    </row>
    <row r="72" spans="1:8" customFormat="1" hidden="1" x14ac:dyDescent="0.2">
      <c r="A72" s="1" t="s">
        <v>139</v>
      </c>
      <c r="B72" s="1"/>
      <c r="C72" s="1"/>
      <c r="D72" s="2"/>
      <c r="E72" s="2"/>
      <c r="F72" s="18"/>
      <c r="G72" s="1"/>
      <c r="H72" s="1"/>
    </row>
    <row r="73" spans="1:8" s="1" customFormat="1" ht="13.5" hidden="1" thickBot="1" x14ac:dyDescent="0.25">
      <c r="A73" s="61" t="s">
        <v>16</v>
      </c>
      <c r="B73" s="62" t="s">
        <v>17</v>
      </c>
      <c r="C73" s="62" t="s">
        <v>8</v>
      </c>
      <c r="D73" s="63" t="s">
        <v>18</v>
      </c>
      <c r="E73" s="63" t="s">
        <v>19</v>
      </c>
      <c r="F73" s="64" t="s">
        <v>20</v>
      </c>
    </row>
    <row r="74" spans="1:8" s="1" customFormat="1" ht="13.5" hidden="1" thickBot="1" x14ac:dyDescent="0.25">
      <c r="A74" s="69" t="s">
        <v>35</v>
      </c>
      <c r="B74" s="70" t="s">
        <v>30</v>
      </c>
      <c r="C74" s="91">
        <v>0</v>
      </c>
      <c r="D74" s="245">
        <v>24.1</v>
      </c>
      <c r="E74" s="101">
        <f>C74*D74</f>
        <v>0</v>
      </c>
      <c r="F74" s="18"/>
    </row>
    <row r="75" spans="1:8" s="1" customFormat="1" ht="13.5" hidden="1" thickBot="1" x14ac:dyDescent="0.25">
      <c r="A75" s="93"/>
      <c r="B75" s="93"/>
      <c r="D75" s="79" t="s">
        <v>29</v>
      </c>
      <c r="E75" s="90">
        <v>1</v>
      </c>
      <c r="F75" s="102">
        <f>SUM(E74:E74)*E75</f>
        <v>0</v>
      </c>
    </row>
    <row r="76" spans="1:8" customFormat="1" ht="13.5" hidden="1" thickBot="1" x14ac:dyDescent="0.25">
      <c r="A76" s="78"/>
      <c r="B76" s="78"/>
      <c r="C76" s="1"/>
      <c r="D76" s="79"/>
      <c r="E76" s="2"/>
      <c r="F76" s="83"/>
      <c r="G76" s="1"/>
      <c r="H76" s="1"/>
    </row>
    <row r="77" spans="1:8" customFormat="1" hidden="1" x14ac:dyDescent="0.2">
      <c r="A77" s="78"/>
      <c r="B77" s="78"/>
      <c r="C77" s="1"/>
      <c r="D77" s="79"/>
      <c r="E77" s="2"/>
      <c r="F77" s="83"/>
      <c r="G77" s="1"/>
      <c r="H77" s="1"/>
    </row>
    <row r="78" spans="1:8" customFormat="1" hidden="1" x14ac:dyDescent="0.2">
      <c r="A78" s="78"/>
      <c r="B78" s="78"/>
      <c r="C78" s="1"/>
      <c r="D78" s="79"/>
      <c r="E78" s="2"/>
      <c r="F78" s="83"/>
      <c r="G78" s="1"/>
      <c r="H78" s="1"/>
    </row>
    <row r="79" spans="1:8" customFormat="1" hidden="1" x14ac:dyDescent="0.2">
      <c r="A79" s="78"/>
      <c r="B79" s="78"/>
      <c r="C79" s="1"/>
      <c r="D79" s="79"/>
      <c r="E79" s="2"/>
      <c r="F79" s="83"/>
      <c r="G79" s="1"/>
      <c r="H79" s="1"/>
    </row>
    <row r="80" spans="1:8" customFormat="1" hidden="1" x14ac:dyDescent="0.2">
      <c r="A80" s="78"/>
      <c r="B80" s="78"/>
      <c r="C80" s="1"/>
      <c r="D80" s="79"/>
      <c r="E80" s="2"/>
      <c r="F80" s="83"/>
      <c r="G80" s="1"/>
      <c r="H80" s="1"/>
    </row>
    <row r="81" spans="1:8" customFormat="1" ht="9" hidden="1" customHeight="1" x14ac:dyDescent="0.2">
      <c r="A81" s="1"/>
      <c r="B81" s="1"/>
      <c r="C81" s="1"/>
      <c r="D81" s="2"/>
      <c r="E81" s="2"/>
      <c r="F81" s="2"/>
      <c r="G81" s="1"/>
      <c r="H81" s="1"/>
    </row>
    <row r="82" spans="1:8" s="1" customFormat="1" ht="13.5" thickBot="1" x14ac:dyDescent="0.25">
      <c r="A82" s="103" t="s">
        <v>36</v>
      </c>
      <c r="B82" s="104"/>
      <c r="C82" s="104"/>
      <c r="D82" s="105"/>
      <c r="E82" s="106"/>
      <c r="F82" s="107">
        <f>F63+F57+F70+F75+F48</f>
        <v>61356.688996145458</v>
      </c>
      <c r="H82" s="108"/>
    </row>
    <row r="83" spans="1:8" customFormat="1" ht="15" customHeight="1" x14ac:dyDescent="0.2">
      <c r="A83" s="1"/>
      <c r="B83" s="1"/>
      <c r="C83" s="1"/>
      <c r="D83" s="2"/>
      <c r="E83" s="2"/>
      <c r="F83" s="2"/>
      <c r="G83" s="2"/>
      <c r="H83" s="1"/>
    </row>
    <row r="84" spans="1:8" customFormat="1" x14ac:dyDescent="0.2">
      <c r="A84" s="19" t="s">
        <v>37</v>
      </c>
      <c r="B84" s="1"/>
      <c r="C84" s="1"/>
      <c r="D84" s="2"/>
      <c r="E84" s="2"/>
      <c r="F84" s="2"/>
      <c r="G84" s="1"/>
      <c r="H84" s="1"/>
    </row>
    <row r="85" spans="1:8" customFormat="1" ht="13.9" customHeight="1" x14ac:dyDescent="0.2">
      <c r="A85" s="1" t="s">
        <v>38</v>
      </c>
      <c r="B85" s="1"/>
      <c r="C85" s="1"/>
      <c r="D85" s="2"/>
      <c r="E85" s="2"/>
      <c r="F85" s="2"/>
      <c r="G85" s="1"/>
    </row>
    <row r="86" spans="1:8" s="1" customFormat="1" ht="27.75" customHeight="1" x14ac:dyDescent="0.2">
      <c r="A86" s="61" t="s">
        <v>16</v>
      </c>
      <c r="B86" s="62" t="s">
        <v>17</v>
      </c>
      <c r="C86" s="109" t="s">
        <v>39</v>
      </c>
      <c r="D86" s="63" t="s">
        <v>18</v>
      </c>
      <c r="E86" s="63" t="s">
        <v>19</v>
      </c>
      <c r="F86" s="64" t="s">
        <v>20</v>
      </c>
    </row>
    <row r="87" spans="1:8" customFormat="1" ht="13.15" customHeight="1" x14ac:dyDescent="0.2">
      <c r="A87" s="69" t="s">
        <v>179</v>
      </c>
      <c r="B87" s="70" t="s">
        <v>30</v>
      </c>
      <c r="C87" s="97">
        <v>6</v>
      </c>
      <c r="D87" s="251">
        <v>100</v>
      </c>
      <c r="E87" s="85">
        <f>IFERROR(D87/C87,0)</f>
        <v>16.666666666666668</v>
      </c>
      <c r="F87" s="2"/>
      <c r="G87" s="1"/>
    </row>
    <row r="88" spans="1:8" customFormat="1" ht="13.15" customHeight="1" x14ac:dyDescent="0.2">
      <c r="A88" s="69" t="s">
        <v>180</v>
      </c>
      <c r="B88" s="70" t="s">
        <v>30</v>
      </c>
      <c r="C88" s="97">
        <v>12</v>
      </c>
      <c r="D88" s="251">
        <v>29</v>
      </c>
      <c r="E88" s="85">
        <f>IFERROR(D88/C88,0)</f>
        <v>2.4166666666666665</v>
      </c>
      <c r="F88" s="2"/>
      <c r="G88" s="1"/>
    </row>
    <row r="89" spans="1:8" customFormat="1" ht="13.15" customHeight="1" x14ac:dyDescent="0.2">
      <c r="A89" s="69" t="s">
        <v>40</v>
      </c>
      <c r="B89" s="70" t="s">
        <v>30</v>
      </c>
      <c r="C89" s="97">
        <v>12</v>
      </c>
      <c r="D89" s="251">
        <v>170</v>
      </c>
      <c r="E89" s="85">
        <f>IFERROR(D89/C89,0)</f>
        <v>14.166666666666666</v>
      </c>
      <c r="F89" s="2"/>
      <c r="G89" s="1"/>
    </row>
    <row r="90" spans="1:8" customFormat="1" x14ac:dyDescent="0.2">
      <c r="A90" s="69" t="s">
        <v>41</v>
      </c>
      <c r="B90" s="70" t="s">
        <v>30</v>
      </c>
      <c r="C90" s="97">
        <v>8</v>
      </c>
      <c r="D90" s="251">
        <v>82</v>
      </c>
      <c r="E90" s="85">
        <f>IFERROR(D90/C90,0)</f>
        <v>10.25</v>
      </c>
      <c r="F90" s="2"/>
      <c r="G90" s="1"/>
    </row>
    <row r="91" spans="1:8" customFormat="1" ht="13.9" customHeight="1" x14ac:dyDescent="0.2">
      <c r="A91" s="69" t="s">
        <v>42</v>
      </c>
      <c r="B91" s="70" t="s">
        <v>43</v>
      </c>
      <c r="C91" s="97">
        <v>8</v>
      </c>
      <c r="D91" s="251">
        <v>75</v>
      </c>
      <c r="E91" s="85">
        <f>IFERROR(D91/C91,0)</f>
        <v>9.375</v>
      </c>
      <c r="F91" s="2"/>
      <c r="G91" s="1"/>
    </row>
    <row r="92" spans="1:8" customFormat="1" x14ac:dyDescent="0.2">
      <c r="A92" s="271" t="s">
        <v>44</v>
      </c>
      <c r="B92" s="271"/>
      <c r="C92" s="97">
        <f>C47</f>
        <v>10</v>
      </c>
      <c r="D92" s="87">
        <f>+SUM(E87:E91)</f>
        <v>52.875</v>
      </c>
      <c r="E92" s="87">
        <f>C92*D92</f>
        <v>528.75</v>
      </c>
      <c r="F92" s="2"/>
      <c r="G92" s="2"/>
    </row>
    <row r="93" spans="1:8" customFormat="1" x14ac:dyDescent="0.2">
      <c r="A93" s="1"/>
      <c r="B93" s="1"/>
      <c r="C93" s="1"/>
      <c r="D93" s="79" t="s">
        <v>29</v>
      </c>
      <c r="E93" s="90">
        <f>$B$35</f>
        <v>1</v>
      </c>
      <c r="F93" s="81">
        <f>E92*E93</f>
        <v>528.75</v>
      </c>
      <c r="G93" s="2"/>
    </row>
    <row r="94" spans="1:8" customFormat="1" ht="11.25" customHeight="1" x14ac:dyDescent="0.2">
      <c r="A94" s="1"/>
      <c r="B94" s="1"/>
      <c r="C94" s="1"/>
      <c r="D94" s="2"/>
      <c r="E94" s="2"/>
      <c r="F94" s="2"/>
      <c r="G94" s="1"/>
    </row>
    <row r="95" spans="1:8" s="1" customFormat="1" x14ac:dyDescent="0.2">
      <c r="A95" s="103" t="s">
        <v>45</v>
      </c>
      <c r="B95" s="110"/>
      <c r="C95" s="110"/>
      <c r="D95" s="111"/>
      <c r="E95" s="112"/>
      <c r="F95" s="113">
        <f>+F93</f>
        <v>528.75</v>
      </c>
    </row>
    <row r="96" spans="1:8" customFormat="1" ht="11.25" customHeight="1" x14ac:dyDescent="0.2">
      <c r="A96" s="1"/>
      <c r="B96" s="1"/>
      <c r="C96" s="1"/>
      <c r="D96" s="2"/>
      <c r="E96" s="2"/>
      <c r="F96" s="2"/>
      <c r="G96" s="1"/>
    </row>
    <row r="97" spans="1:7" customFormat="1" ht="18" customHeight="1" thickBot="1" x14ac:dyDescent="0.25">
      <c r="A97" s="203" t="s">
        <v>140</v>
      </c>
      <c r="B97" s="204"/>
      <c r="C97" s="204"/>
      <c r="D97" s="205"/>
      <c r="E97" s="205"/>
      <c r="F97" s="206"/>
      <c r="G97" s="1"/>
    </row>
    <row r="98" spans="1:7" customFormat="1" ht="18" customHeight="1" thickBot="1" x14ac:dyDescent="0.25">
      <c r="A98" s="61" t="s">
        <v>16</v>
      </c>
      <c r="B98" s="62" t="s">
        <v>17</v>
      </c>
      <c r="C98" s="109" t="s">
        <v>8</v>
      </c>
      <c r="D98" s="63" t="s">
        <v>18</v>
      </c>
      <c r="E98" s="63" t="s">
        <v>19</v>
      </c>
      <c r="F98" s="64" t="s">
        <v>130</v>
      </c>
      <c r="G98" s="1"/>
    </row>
    <row r="99" spans="1:7" customFormat="1" ht="18" customHeight="1" x14ac:dyDescent="0.2">
      <c r="A99" s="252" t="s">
        <v>184</v>
      </c>
      <c r="B99" s="201" t="s">
        <v>178</v>
      </c>
      <c r="C99" s="207">
        <v>5</v>
      </c>
      <c r="D99" s="208">
        <v>165</v>
      </c>
      <c r="E99" s="209">
        <f>(D99*C99)/12</f>
        <v>68.75</v>
      </c>
      <c r="F99" s="206"/>
      <c r="G99" s="1"/>
    </row>
    <row r="100" spans="1:7" customFormat="1" ht="18" customHeight="1" x14ac:dyDescent="0.2">
      <c r="A100" s="200" t="s">
        <v>181</v>
      </c>
      <c r="B100" s="201" t="s">
        <v>178</v>
      </c>
      <c r="C100" s="207">
        <v>5</v>
      </c>
      <c r="D100" s="208">
        <v>44</v>
      </c>
      <c r="E100" s="209">
        <f>(D100*C100)/12</f>
        <v>18.333333333333332</v>
      </c>
      <c r="F100" s="206"/>
      <c r="G100" s="1"/>
    </row>
    <row r="101" spans="1:7" customFormat="1" ht="18" customHeight="1" x14ac:dyDescent="0.2">
      <c r="A101" s="200" t="s">
        <v>177</v>
      </c>
      <c r="B101" s="201" t="s">
        <v>178</v>
      </c>
      <c r="C101" s="207">
        <f>E30*1</f>
        <v>10</v>
      </c>
      <c r="D101" s="208">
        <v>10</v>
      </c>
      <c r="E101" s="209">
        <f>(D101*C101)/12</f>
        <v>8.3333333333333339</v>
      </c>
      <c r="F101" s="206"/>
      <c r="G101" s="1"/>
    </row>
    <row r="102" spans="1:7" customFormat="1" ht="18" customHeight="1" x14ac:dyDescent="0.2">
      <c r="A102" s="252" t="s">
        <v>182</v>
      </c>
      <c r="B102" s="201" t="s">
        <v>178</v>
      </c>
      <c r="C102" s="207">
        <f>C99</f>
        <v>5</v>
      </c>
      <c r="D102" s="208">
        <v>37</v>
      </c>
      <c r="E102" s="209">
        <f>(D102*C102)/12</f>
        <v>15.416666666666666</v>
      </c>
      <c r="F102" s="206"/>
      <c r="G102" s="1"/>
    </row>
    <row r="103" spans="1:7" customFormat="1" ht="26.25" customHeight="1" thickBot="1" x14ac:dyDescent="0.25">
      <c r="A103" s="224" t="s">
        <v>165</v>
      </c>
      <c r="B103" s="201" t="s">
        <v>183</v>
      </c>
      <c r="C103" s="207">
        <f>10*30</f>
        <v>300</v>
      </c>
      <c r="D103" s="208">
        <v>2.1</v>
      </c>
      <c r="E103" s="209">
        <f>D103*C103</f>
        <v>630</v>
      </c>
      <c r="F103" s="206"/>
      <c r="G103" s="1"/>
    </row>
    <row r="104" spans="1:7" customFormat="1" ht="18" customHeight="1" thickBot="1" x14ac:dyDescent="0.25">
      <c r="A104" s="277"/>
      <c r="B104" s="277"/>
      <c r="C104" s="204"/>
      <c r="D104" s="210" t="s">
        <v>29</v>
      </c>
      <c r="E104" s="211">
        <v>1</v>
      </c>
      <c r="F104" s="113">
        <f>SUM(E99:E103)*E104</f>
        <v>740.83333333333337</v>
      </c>
      <c r="G104" s="1"/>
    </row>
    <row r="105" spans="1:7" customFormat="1" ht="11.25" customHeight="1" x14ac:dyDescent="0.2">
      <c r="A105" s="1"/>
      <c r="B105" s="1"/>
      <c r="C105" s="1"/>
      <c r="D105" s="2"/>
      <c r="E105" s="2"/>
      <c r="F105" s="2"/>
      <c r="G105" s="1"/>
    </row>
    <row r="106" spans="1:7" customFormat="1" ht="13.5" thickBot="1" x14ac:dyDescent="0.25">
      <c r="A106" s="19" t="s">
        <v>131</v>
      </c>
      <c r="B106" s="19"/>
      <c r="C106" s="19"/>
      <c r="D106" s="18"/>
      <c r="E106" s="18"/>
      <c r="F106" s="114"/>
      <c r="G106" s="2"/>
    </row>
    <row r="107" spans="1:7" customFormat="1" x14ac:dyDescent="0.2">
      <c r="A107" s="115" t="s">
        <v>16</v>
      </c>
      <c r="B107" s="116" t="s">
        <v>17</v>
      </c>
      <c r="C107" s="116" t="s">
        <v>8</v>
      </c>
      <c r="D107" s="117" t="s">
        <v>18</v>
      </c>
      <c r="E107" s="117" t="s">
        <v>19</v>
      </c>
      <c r="F107" s="118" t="s">
        <v>20</v>
      </c>
      <c r="G107" s="2"/>
    </row>
    <row r="108" spans="1:7" customFormat="1" x14ac:dyDescent="0.2">
      <c r="A108" s="119" t="s">
        <v>46</v>
      </c>
      <c r="B108" s="120" t="s">
        <v>4</v>
      </c>
      <c r="C108" s="121">
        <f>'6.BDI'!C18</f>
        <v>0.22639999999999999</v>
      </c>
      <c r="D108" s="122">
        <f>F82+F95+F104</f>
        <v>62626.272329478794</v>
      </c>
      <c r="E108" s="122">
        <f>D108*C108</f>
        <v>14178.588055393999</v>
      </c>
      <c r="F108" s="123"/>
      <c r="G108" s="2"/>
    </row>
    <row r="109" spans="1:7" customFormat="1" x14ac:dyDescent="0.2">
      <c r="A109" s="124"/>
      <c r="B109" s="124"/>
      <c r="C109" s="124"/>
      <c r="D109" s="124"/>
      <c r="E109" s="124"/>
      <c r="F109" s="125"/>
      <c r="G109" s="2"/>
    </row>
    <row r="110" spans="1:7" customFormat="1" x14ac:dyDescent="0.2">
      <c r="A110" s="272" t="s">
        <v>132</v>
      </c>
      <c r="B110" s="272"/>
      <c r="C110" s="272"/>
      <c r="D110" s="272"/>
      <c r="E110" s="272"/>
      <c r="F110" s="113">
        <f>E108</f>
        <v>14178.588055393999</v>
      </c>
      <c r="G110" s="2"/>
    </row>
    <row r="111" spans="1:7" customFormat="1" ht="11.25" customHeight="1" x14ac:dyDescent="0.2">
      <c r="A111" s="1"/>
      <c r="B111" s="1"/>
      <c r="C111" s="1"/>
      <c r="D111" s="2"/>
      <c r="E111" s="2"/>
      <c r="F111" s="2"/>
      <c r="G111" s="2"/>
    </row>
    <row r="112" spans="1:7" customFormat="1" ht="24.75" customHeight="1" x14ac:dyDescent="0.2">
      <c r="A112" s="126" t="s">
        <v>47</v>
      </c>
      <c r="B112" s="127"/>
      <c r="C112" s="127"/>
      <c r="D112" s="128"/>
      <c r="E112" s="129"/>
      <c r="F112" s="94">
        <f>F82+F95+F110+F104</f>
        <v>76804.86038487278</v>
      </c>
      <c r="G112" s="2"/>
    </row>
    <row r="113" spans="1:7" customFormat="1" ht="12.6" customHeight="1" thickBot="1" x14ac:dyDescent="0.25">
      <c r="A113" s="130"/>
      <c r="B113" s="130"/>
      <c r="C113" s="130"/>
      <c r="D113" s="131"/>
      <c r="E113" s="131"/>
      <c r="F113" s="131"/>
      <c r="G113" s="2"/>
    </row>
    <row r="114" spans="1:7" customFormat="1" ht="12.6" customHeight="1" thickBot="1" x14ac:dyDescent="0.25">
      <c r="A114" s="126" t="s">
        <v>154</v>
      </c>
      <c r="B114" s="127"/>
      <c r="C114" s="127"/>
      <c r="D114" s="243">
        <f>E30/2</f>
        <v>5</v>
      </c>
      <c r="E114" s="242" t="s">
        <v>153</v>
      </c>
      <c r="F114" s="94">
        <f>F112/D114</f>
        <v>15360.972076974556</v>
      </c>
      <c r="G114" s="2"/>
    </row>
    <row r="115" spans="1:7" customFormat="1" ht="12.6" customHeight="1" thickBot="1" x14ac:dyDescent="0.25">
      <c r="A115" s="130"/>
      <c r="B115" s="130"/>
      <c r="C115" s="130"/>
      <c r="D115" s="131"/>
      <c r="E115" s="131"/>
      <c r="F115" s="131"/>
      <c r="G115" s="2"/>
    </row>
    <row r="116" spans="1:7" customFormat="1" ht="13.5" thickBot="1" x14ac:dyDescent="0.25">
      <c r="A116" s="126" t="s">
        <v>48</v>
      </c>
      <c r="B116" s="127"/>
      <c r="C116" s="127"/>
      <c r="D116" s="128"/>
      <c r="E116" s="129"/>
      <c r="F116" s="94">
        <f>F112/C92</f>
        <v>7680.4860384872782</v>
      </c>
      <c r="G116" s="2"/>
    </row>
    <row r="118" spans="1:7" customFormat="1" x14ac:dyDescent="0.2">
      <c r="A118" s="126" t="s">
        <v>49</v>
      </c>
      <c r="B118" s="29"/>
      <c r="C118" s="132"/>
      <c r="D118" s="128"/>
      <c r="E118" s="129"/>
      <c r="F118" s="94">
        <f>F116/180</f>
        <v>42.66936688048488</v>
      </c>
      <c r="G118" s="2"/>
    </row>
    <row r="120" spans="1:7" customFormat="1" x14ac:dyDescent="0.2">
      <c r="A120" s="19" t="s">
        <v>50</v>
      </c>
      <c r="B120" s="1"/>
      <c r="C120" s="1"/>
      <c r="D120" s="2"/>
      <c r="E120" s="2"/>
      <c r="F120" s="2"/>
      <c r="G120" s="2"/>
    </row>
    <row r="123" spans="1:7" customFormat="1" x14ac:dyDescent="0.2">
      <c r="F123" s="82"/>
    </row>
    <row r="124" spans="1:7" customFormat="1" x14ac:dyDescent="0.2">
      <c r="F124" s="133"/>
    </row>
    <row r="147" s="1" customFormat="1" ht="9" customHeight="1" x14ac:dyDescent="0.2"/>
  </sheetData>
  <mergeCells count="13">
    <mergeCell ref="A1:F1"/>
    <mergeCell ref="A2:F3"/>
    <mergeCell ref="A4:F4"/>
    <mergeCell ref="A6:F6"/>
    <mergeCell ref="A14:C14"/>
    <mergeCell ref="A58:D58"/>
    <mergeCell ref="A92:B92"/>
    <mergeCell ref="A110:E110"/>
    <mergeCell ref="A21:E21"/>
    <mergeCell ref="A22:D22"/>
    <mergeCell ref="A57:C57"/>
    <mergeCell ref="A38:F38"/>
    <mergeCell ref="A104:B104"/>
  </mergeCells>
  <printOptions horizontalCentered="1"/>
  <pageMargins left="0.70866141732283472" right="0.70866141732283472" top="0.74803149606299213" bottom="0.74803149606299213" header="0.70866141732283472" footer="0.70866141732283472"/>
  <pageSetup paperSize="9" scale="73" firstPageNumber="0" fitToHeight="2" orientation="portrait" r:id="rId1"/>
  <headerFooter>
    <oddFooter>&amp;R&amp;P de &amp;N</oddFooter>
  </headerFooter>
  <rowBreaks count="1" manualBreakCount="1">
    <brk id="35" max="16383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MK146"/>
  <sheetViews>
    <sheetView zoomScale="120" zoomScaleNormal="120" workbookViewId="0">
      <pane ySplit="1" topLeftCell="A35" activePane="bottomLeft" state="frozen"/>
      <selection activeCell="A17" sqref="A17"/>
      <selection pane="bottomLeft" activeCell="A17" sqref="A17"/>
    </sheetView>
  </sheetViews>
  <sheetFormatPr defaultRowHeight="12.75" x14ac:dyDescent="0.2"/>
  <cols>
    <col min="1" max="1" width="44.42578125" style="1" customWidth="1"/>
    <col min="2" max="2" width="16.140625" style="1" customWidth="1"/>
    <col min="3" max="3" width="14.5703125" style="1" customWidth="1"/>
    <col min="4" max="4" width="14.7109375" style="2" customWidth="1"/>
    <col min="5" max="5" width="15.28515625" style="2" customWidth="1"/>
    <col min="6" max="6" width="15" style="2" customWidth="1"/>
    <col min="7" max="7" width="28" style="2" customWidth="1"/>
    <col min="8" max="8" width="23.85546875" style="1" hidden="1" customWidth="1"/>
    <col min="9" max="9" width="14.5703125" style="1" customWidth="1"/>
    <col min="10" max="10" width="13.42578125" style="1" customWidth="1"/>
    <col min="11" max="1025" width="9.28515625" style="1" customWidth="1"/>
  </cols>
  <sheetData>
    <row r="1" spans="1:7" s="4" customFormat="1" ht="21.75" customHeight="1" thickBot="1" x14ac:dyDescent="0.25">
      <c r="A1" s="278" t="s">
        <v>159</v>
      </c>
      <c r="B1" s="278"/>
      <c r="C1" s="278"/>
      <c r="D1" s="278"/>
      <c r="E1" s="278"/>
      <c r="F1" s="278"/>
      <c r="G1" s="3"/>
    </row>
    <row r="2" spans="1:7" s="6" customFormat="1" ht="12.6" customHeight="1" thickBot="1" x14ac:dyDescent="0.25">
      <c r="A2" s="279" t="s">
        <v>170</v>
      </c>
      <c r="B2" s="279"/>
      <c r="C2" s="279"/>
      <c r="D2" s="279"/>
      <c r="E2" s="279"/>
      <c r="F2" s="279"/>
      <c r="G2" s="5"/>
    </row>
    <row r="3" spans="1:7" s="6" customFormat="1" ht="10.9" customHeight="1" x14ac:dyDescent="0.2">
      <c r="A3" s="279"/>
      <c r="B3" s="279"/>
      <c r="C3" s="279"/>
      <c r="D3" s="279"/>
      <c r="E3" s="279"/>
      <c r="F3" s="279"/>
      <c r="G3" s="5"/>
    </row>
    <row r="4" spans="1:7" s="6" customFormat="1" ht="21.75" customHeight="1" x14ac:dyDescent="0.2">
      <c r="A4" s="280" t="s">
        <v>0</v>
      </c>
      <c r="B4" s="280"/>
      <c r="C4" s="280"/>
      <c r="D4" s="280"/>
      <c r="E4" s="280"/>
      <c r="F4" s="280"/>
      <c r="G4" s="5"/>
    </row>
    <row r="5" spans="1:7" s="4" customFormat="1" ht="10.9" customHeight="1" thickBot="1" x14ac:dyDescent="0.25">
      <c r="A5" s="7"/>
      <c r="B5" s="8"/>
      <c r="C5" s="8"/>
      <c r="D5" s="3"/>
      <c r="E5" s="3"/>
      <c r="F5" s="9"/>
      <c r="G5" s="3"/>
    </row>
    <row r="6" spans="1:7" s="4" customFormat="1" ht="15.75" customHeight="1" thickBot="1" x14ac:dyDescent="0.25">
      <c r="A6" s="273" t="s">
        <v>1</v>
      </c>
      <c r="B6" s="273"/>
      <c r="C6" s="273"/>
      <c r="D6" s="273"/>
      <c r="E6" s="273"/>
      <c r="F6" s="273"/>
      <c r="G6" s="3"/>
    </row>
    <row r="7" spans="1:7" s="4" customFormat="1" ht="15.75" customHeight="1" x14ac:dyDescent="0.2">
      <c r="A7" s="10" t="s">
        <v>2</v>
      </c>
      <c r="B7" s="11"/>
      <c r="C7" s="11"/>
      <c r="D7" s="12"/>
      <c r="E7" s="13" t="s">
        <v>3</v>
      </c>
      <c r="F7" s="14" t="s">
        <v>4</v>
      </c>
      <c r="G7" s="3"/>
    </row>
    <row r="8" spans="1:7" s="19" customFormat="1" ht="15.75" customHeight="1" x14ac:dyDescent="0.2">
      <c r="A8" s="15" t="str">
        <f>A37</f>
        <v>1. Mão de obra</v>
      </c>
      <c r="B8" s="16"/>
      <c r="C8" s="17"/>
      <c r="D8" s="17"/>
      <c r="E8" s="213">
        <f>+F82</f>
        <v>55611.843084545457</v>
      </c>
      <c r="F8" s="214">
        <f t="shared" ref="F8:F17" si="0">IFERROR(E8/$E$18,0)</f>
        <v>0.79815988689693695</v>
      </c>
      <c r="G8" s="18"/>
    </row>
    <row r="9" spans="1:7" s="4" customFormat="1" ht="15.75" customHeight="1" x14ac:dyDescent="0.2">
      <c r="A9" s="20" t="str">
        <f>A38</f>
        <v>1.1. Categoria Profissional de Vigilante (05 Postos de 12 horas diurnas 12/36)</v>
      </c>
      <c r="B9" s="21"/>
      <c r="C9" s="22"/>
      <c r="D9" s="22"/>
      <c r="E9" s="215">
        <f>F48</f>
        <v>49801.842629999999</v>
      </c>
      <c r="F9" s="216">
        <f t="shared" si="0"/>
        <v>0.71477280514492314</v>
      </c>
      <c r="G9" s="3"/>
    </row>
    <row r="10" spans="1:7" s="4" customFormat="1" ht="15.6" customHeight="1" x14ac:dyDescent="0.2">
      <c r="A10" s="20" t="str">
        <f>A50</f>
        <v>1.2. Encarregado/Supervisor</v>
      </c>
      <c r="B10" s="21"/>
      <c r="C10" s="22"/>
      <c r="D10" s="22"/>
      <c r="E10" s="215">
        <f>F57</f>
        <v>1449.2004545454545</v>
      </c>
      <c r="F10" s="216">
        <f t="shared" si="0"/>
        <v>2.0799412620302722E-2</v>
      </c>
      <c r="G10" s="3"/>
    </row>
    <row r="11" spans="1:7" s="4" customFormat="1" ht="15.75" customHeight="1" x14ac:dyDescent="0.2">
      <c r="A11" s="20" t="str">
        <f>A59</f>
        <v>1.3. Auxílio Alimentação</v>
      </c>
      <c r="B11" s="21"/>
      <c r="C11" s="22"/>
      <c r="D11" s="22"/>
      <c r="E11" s="215">
        <f>F63</f>
        <v>4360.8</v>
      </c>
      <c r="F11" s="216">
        <f t="shared" si="0"/>
        <v>6.2587669131711016E-2</v>
      </c>
      <c r="G11" s="3"/>
    </row>
    <row r="12" spans="1:7" s="4" customFormat="1" ht="15.75" customHeight="1" x14ac:dyDescent="0.2">
      <c r="A12" s="20" t="str">
        <f>A65</f>
        <v>1.4. Vale Transporte</v>
      </c>
      <c r="B12" s="21"/>
      <c r="C12" s="22"/>
      <c r="D12" s="22"/>
      <c r="E12" s="215">
        <f>F70</f>
        <v>0</v>
      </c>
      <c r="F12" s="216">
        <f t="shared" si="0"/>
        <v>0</v>
      </c>
      <c r="G12" s="3"/>
    </row>
    <row r="13" spans="1:7" s="4" customFormat="1" ht="15.75" customHeight="1" x14ac:dyDescent="0.2">
      <c r="A13" s="20" t="str">
        <f>A72</f>
        <v xml:space="preserve">1.5. Plano de Benefício Social  </v>
      </c>
      <c r="B13" s="21"/>
      <c r="C13" s="22"/>
      <c r="D13" s="22"/>
      <c r="E13" s="215">
        <f>F75</f>
        <v>0</v>
      </c>
      <c r="F13" s="216">
        <f t="shared" si="0"/>
        <v>0</v>
      </c>
      <c r="G13" s="3"/>
    </row>
    <row r="14" spans="1:7" s="19" customFormat="1" ht="15.75" customHeight="1" x14ac:dyDescent="0.2">
      <c r="A14" s="281" t="str">
        <f>A84</f>
        <v>2. Uniformes e Equipamentos de Proteção Individual</v>
      </c>
      <c r="B14" s="281"/>
      <c r="C14" s="281"/>
      <c r="D14" s="17"/>
      <c r="E14" s="213">
        <f>+F95</f>
        <v>528.75</v>
      </c>
      <c r="F14" s="214">
        <f t="shared" si="0"/>
        <v>7.5887979392295453E-3</v>
      </c>
      <c r="G14" s="18"/>
    </row>
    <row r="15" spans="1:7" s="19" customFormat="1" ht="15.75" customHeight="1" x14ac:dyDescent="0.2">
      <c r="A15" s="24" t="str">
        <f>A85</f>
        <v>2.1. Uniformes e EPIs</v>
      </c>
      <c r="B15" s="25"/>
      <c r="C15" s="25"/>
      <c r="D15" s="17"/>
      <c r="E15" s="217">
        <f>F93</f>
        <v>528.75</v>
      </c>
      <c r="F15" s="214">
        <f t="shared" si="0"/>
        <v>7.5887979392295453E-3</v>
      </c>
      <c r="G15" s="18"/>
    </row>
    <row r="16" spans="1:7" s="19" customFormat="1" ht="15.75" customHeight="1" x14ac:dyDescent="0.2">
      <c r="A16" s="212" t="str">
        <f>A97</f>
        <v>3. Veículo de apoio para deslocamento e materiais de consumo</v>
      </c>
      <c r="B16" s="25"/>
      <c r="C16" s="25"/>
      <c r="D16" s="17"/>
      <c r="E16" s="218">
        <f>F103</f>
        <v>672.08333333333337</v>
      </c>
      <c r="F16" s="214">
        <f t="shared" si="0"/>
        <v>9.645966174922976E-3</v>
      </c>
      <c r="G16" s="18"/>
    </row>
    <row r="17" spans="1:9" s="19" customFormat="1" ht="15.75" customHeight="1" thickBot="1" x14ac:dyDescent="0.25">
      <c r="A17" s="23" t="str">
        <f>A105</f>
        <v>4. Benefícios e Despesas Indiretas (BDI)</v>
      </c>
      <c r="B17" s="26"/>
      <c r="C17" s="17"/>
      <c r="D17" s="17"/>
      <c r="E17" s="219">
        <f>F109</f>
        <v>12862.389941007757</v>
      </c>
      <c r="F17" s="214">
        <f t="shared" si="0"/>
        <v>0.18460534898891065</v>
      </c>
      <c r="G17" s="18"/>
    </row>
    <row r="18" spans="1:9" s="4" customFormat="1" ht="15.75" customHeight="1" thickBot="1" x14ac:dyDescent="0.25">
      <c r="A18" s="27" t="s">
        <v>5</v>
      </c>
      <c r="B18" s="28"/>
      <c r="C18" s="29"/>
      <c r="D18" s="29"/>
      <c r="E18" s="30">
        <f>E8+E14+E17+E16</f>
        <v>69675.066358886543</v>
      </c>
      <c r="F18" s="31">
        <f>F8+F14+F17+F16</f>
        <v>1.0000000000000002</v>
      </c>
      <c r="G18" s="3"/>
    </row>
    <row r="19" spans="1:9" s="4" customFormat="1" ht="15.75" customHeight="1" x14ac:dyDescent="0.2">
      <c r="A19" s="32"/>
      <c r="B19" s="33"/>
      <c r="C19" s="18"/>
      <c r="D19" s="18"/>
      <c r="E19" s="34"/>
      <c r="F19" s="35"/>
      <c r="G19" s="3"/>
    </row>
    <row r="20" spans="1:9" ht="13.5" thickBot="1" x14ac:dyDescent="0.25"/>
    <row r="21" spans="1:9" s="4" customFormat="1" ht="15" customHeight="1" thickBot="1" x14ac:dyDescent="0.25">
      <c r="A21" s="273" t="s">
        <v>6</v>
      </c>
      <c r="B21" s="273"/>
      <c r="C21" s="273"/>
      <c r="D21" s="273"/>
      <c r="E21" s="273"/>
      <c r="F21" s="2"/>
      <c r="G21" s="3"/>
    </row>
    <row r="22" spans="1:9" s="4" customFormat="1" ht="15" customHeight="1" thickBot="1" x14ac:dyDescent="0.25">
      <c r="A22" s="274" t="s">
        <v>7</v>
      </c>
      <c r="B22" s="274"/>
      <c r="C22" s="274"/>
      <c r="D22" s="274"/>
      <c r="E22" s="36" t="s">
        <v>8</v>
      </c>
      <c r="F22" s="2"/>
      <c r="G22" s="3"/>
    </row>
    <row r="23" spans="1:9" s="4" customFormat="1" ht="15" customHeight="1" x14ac:dyDescent="0.2">
      <c r="A23" s="37" t="s">
        <v>172</v>
      </c>
      <c r="B23" s="38"/>
      <c r="C23" s="38"/>
      <c r="D23" s="39"/>
      <c r="E23" s="40"/>
      <c r="F23" s="2"/>
      <c r="G23" s="41"/>
    </row>
    <row r="24" spans="1:9" s="4" customFormat="1" ht="15" customHeight="1" x14ac:dyDescent="0.2">
      <c r="A24" s="42" t="s">
        <v>133</v>
      </c>
      <c r="B24" s="43"/>
      <c r="C24" s="43"/>
      <c r="D24" s="44"/>
      <c r="E24" s="244">
        <v>2105.4</v>
      </c>
      <c r="F24" s="2"/>
      <c r="G24" s="3"/>
    </row>
    <row r="25" spans="1:9" s="4" customFormat="1" ht="15" hidden="1" customHeight="1" x14ac:dyDescent="0.2">
      <c r="A25" s="42" t="s">
        <v>10</v>
      </c>
      <c r="B25" s="43"/>
      <c r="C25" s="43"/>
      <c r="D25" s="44"/>
      <c r="E25" s="45">
        <v>0</v>
      </c>
      <c r="F25" s="2"/>
      <c r="G25" s="3"/>
    </row>
    <row r="26" spans="1:9" s="4" customFormat="1" ht="15" customHeight="1" x14ac:dyDescent="0.2">
      <c r="A26" s="42" t="s">
        <v>11</v>
      </c>
      <c r="B26" s="43"/>
      <c r="C26" s="43"/>
      <c r="D26" s="44"/>
      <c r="E26" s="46">
        <v>220</v>
      </c>
      <c r="F26" s="2"/>
      <c r="G26" s="3"/>
      <c r="I26" s="3"/>
    </row>
    <row r="27" spans="1:9" s="4" customFormat="1" ht="15" hidden="1" customHeight="1" x14ac:dyDescent="0.2">
      <c r="A27" s="15" t="str">
        <f>+A50</f>
        <v>1.2. Encarregado/Supervisor</v>
      </c>
      <c r="B27" s="47"/>
      <c r="C27" s="47"/>
      <c r="D27" s="48"/>
      <c r="E27" s="49"/>
      <c r="F27" s="2"/>
      <c r="G27" s="3"/>
      <c r="I27" s="3"/>
    </row>
    <row r="28" spans="1:9" s="4" customFormat="1" ht="15" hidden="1" customHeight="1" x14ac:dyDescent="0.2">
      <c r="A28" s="42"/>
      <c r="B28" s="47"/>
      <c r="C28" s="47"/>
      <c r="D28" s="48"/>
      <c r="E28" s="50"/>
      <c r="F28" s="2"/>
      <c r="G28" s="3"/>
      <c r="I28" s="3"/>
    </row>
    <row r="29" spans="1:9" s="4" customFormat="1" ht="15" hidden="1" customHeight="1" x14ac:dyDescent="0.2">
      <c r="A29" s="51"/>
      <c r="B29" s="47"/>
      <c r="C29" s="47"/>
      <c r="D29" s="48"/>
      <c r="E29" s="49"/>
      <c r="F29" s="2"/>
      <c r="G29" s="3"/>
      <c r="I29" s="3"/>
    </row>
    <row r="30" spans="1:9" s="4" customFormat="1" ht="15" customHeight="1" thickBot="1" x14ac:dyDescent="0.25">
      <c r="A30" s="52" t="s">
        <v>12</v>
      </c>
      <c r="B30" s="53"/>
      <c r="C30" s="53"/>
      <c r="D30" s="54"/>
      <c r="E30" s="55">
        <v>10</v>
      </c>
      <c r="F30" s="2"/>
      <c r="G30" s="3"/>
      <c r="I30" s="3"/>
    </row>
    <row r="31" spans="1:9" s="4" customFormat="1" x14ac:dyDescent="0.2">
      <c r="A31" s="2"/>
      <c r="B31" s="2"/>
      <c r="C31" s="2"/>
      <c r="D31" s="1"/>
      <c r="E31" s="56"/>
      <c r="F31" s="1"/>
      <c r="G31" s="3"/>
      <c r="I31" s="3"/>
    </row>
    <row r="32" spans="1:9" s="4" customFormat="1" x14ac:dyDescent="0.2">
      <c r="A32" s="2"/>
      <c r="B32" s="2"/>
      <c r="C32" s="2"/>
      <c r="D32" s="1"/>
      <c r="E32" s="57"/>
      <c r="F32" s="1"/>
      <c r="G32" s="3"/>
      <c r="I32" s="3"/>
    </row>
    <row r="33" spans="1:9" s="4" customFormat="1" x14ac:dyDescent="0.2">
      <c r="A33" s="2"/>
      <c r="B33" s="2"/>
      <c r="C33" s="2"/>
      <c r="D33" s="1"/>
      <c r="E33" s="57"/>
      <c r="F33" s="1"/>
      <c r="G33" s="3"/>
      <c r="I33" s="3"/>
    </row>
    <row r="34" spans="1:9" s="4" customFormat="1" ht="13.5" thickBot="1" x14ac:dyDescent="0.25">
      <c r="A34" s="2"/>
      <c r="B34" s="2"/>
      <c r="C34" s="2"/>
      <c r="D34" s="1"/>
      <c r="E34" s="57"/>
      <c r="F34" s="198"/>
      <c r="G34" s="3"/>
      <c r="I34" s="3"/>
    </row>
    <row r="35" spans="1:9" s="19" customFormat="1" ht="15.75" customHeight="1" thickBot="1" x14ac:dyDescent="0.25">
      <c r="A35" s="58" t="s">
        <v>14</v>
      </c>
      <c r="B35" s="59">
        <v>1</v>
      </c>
      <c r="C35" s="18"/>
      <c r="E35" s="60"/>
      <c r="G35" s="18"/>
    </row>
    <row r="36" spans="1:9" s="4" customFormat="1" ht="15.75" customHeight="1" x14ac:dyDescent="0.2">
      <c r="A36" s="2"/>
      <c r="B36" s="2"/>
      <c r="C36" s="2"/>
      <c r="D36" s="1"/>
      <c r="E36" s="56"/>
      <c r="F36" s="1"/>
      <c r="G36" s="3"/>
    </row>
    <row r="37" spans="1:9" customFormat="1" ht="13.15" customHeight="1" x14ac:dyDescent="0.2">
      <c r="A37" s="19" t="s">
        <v>15</v>
      </c>
      <c r="B37" s="1"/>
      <c r="C37" s="1"/>
      <c r="D37" s="2"/>
      <c r="E37" s="2"/>
      <c r="F37" s="2"/>
      <c r="G37" s="2"/>
      <c r="H37" s="1"/>
      <c r="I37" s="1"/>
    </row>
    <row r="38" spans="1:9" customFormat="1" ht="13.9" customHeight="1" thickBot="1" x14ac:dyDescent="0.25">
      <c r="A38" s="276" t="s">
        <v>168</v>
      </c>
      <c r="B38" s="276"/>
      <c r="C38" s="276"/>
      <c r="D38" s="276"/>
      <c r="E38" s="276"/>
      <c r="F38" s="276"/>
      <c r="G38" s="3"/>
    </row>
    <row r="39" spans="1:9" customFormat="1" ht="13.9" customHeight="1" thickBot="1" x14ac:dyDescent="0.25">
      <c r="A39" s="61" t="s">
        <v>16</v>
      </c>
      <c r="B39" s="62" t="s">
        <v>17</v>
      </c>
      <c r="C39" s="62" t="s">
        <v>8</v>
      </c>
      <c r="D39" s="63" t="s">
        <v>18</v>
      </c>
      <c r="E39" s="63" t="s">
        <v>19</v>
      </c>
      <c r="F39" s="64" t="s">
        <v>20</v>
      </c>
      <c r="G39" s="3"/>
    </row>
    <row r="40" spans="1:9" customFormat="1" ht="13.9" customHeight="1" x14ac:dyDescent="0.2">
      <c r="A40" s="65" t="s">
        <v>9</v>
      </c>
      <c r="B40" s="66" t="s">
        <v>21</v>
      </c>
      <c r="C40" s="66">
        <v>1</v>
      </c>
      <c r="D40" s="199">
        <f>E24</f>
        <v>2105.4</v>
      </c>
      <c r="E40" s="68">
        <f>C40*D40</f>
        <v>2105.4</v>
      </c>
      <c r="F40" s="2"/>
      <c r="G40" s="3"/>
    </row>
    <row r="41" spans="1:9" customFormat="1" ht="13.9" customHeight="1" x14ac:dyDescent="0.2">
      <c r="A41" s="65" t="s">
        <v>176</v>
      </c>
      <c r="B41" s="66" t="s">
        <v>4</v>
      </c>
      <c r="C41" s="250">
        <v>0.3</v>
      </c>
      <c r="D41" s="68">
        <f>E40</f>
        <v>2105.4</v>
      </c>
      <c r="E41" s="68">
        <f>D41*C41</f>
        <v>631.62</v>
      </c>
      <c r="F41" s="2"/>
      <c r="G41" s="3"/>
    </row>
    <row r="42" spans="1:9" customFormat="1" ht="13.9" customHeight="1" x14ac:dyDescent="0.2">
      <c r="A42" s="65" t="s">
        <v>142</v>
      </c>
      <c r="B42" s="66" t="s">
        <v>128</v>
      </c>
      <c r="C42" s="66">
        <v>15</v>
      </c>
      <c r="D42" s="67">
        <v>14.35</v>
      </c>
      <c r="E42" s="68">
        <f>C42*D42</f>
        <v>215.25</v>
      </c>
      <c r="F42" s="2"/>
      <c r="G42" s="3"/>
    </row>
    <row r="43" spans="1:9" customFormat="1" ht="13.9" hidden="1" customHeight="1" x14ac:dyDescent="0.2">
      <c r="A43" s="69" t="s">
        <v>22</v>
      </c>
      <c r="B43" s="70" t="s">
        <v>23</v>
      </c>
      <c r="C43" s="71">
        <v>0</v>
      </c>
      <c r="D43" s="72">
        <f>E40/220*0.2</f>
        <v>1.9140000000000001</v>
      </c>
      <c r="E43" s="72">
        <f>C43*D43</f>
        <v>0</v>
      </c>
      <c r="F43" s="2"/>
      <c r="G43" s="3"/>
    </row>
    <row r="44" spans="1:9" customFormat="1" ht="13.9" customHeight="1" x14ac:dyDescent="0.2">
      <c r="A44" s="73" t="s">
        <v>24</v>
      </c>
      <c r="B44" s="74"/>
      <c r="C44" s="74"/>
      <c r="D44" s="75"/>
      <c r="E44" s="222">
        <f>SUM(E40:E43)</f>
        <v>2952.27</v>
      </c>
      <c r="F44" s="2"/>
      <c r="G44" s="3"/>
    </row>
    <row r="45" spans="1:9" customFormat="1" ht="13.9" customHeight="1" x14ac:dyDescent="0.2">
      <c r="A45" s="69" t="s">
        <v>25</v>
      </c>
      <c r="B45" s="70" t="s">
        <v>4</v>
      </c>
      <c r="C45" s="76">
        <f>'5.Encargos Sociais'!$C$34*100</f>
        <v>68.690000000000012</v>
      </c>
      <c r="D45" s="72">
        <f>E44</f>
        <v>2952.27</v>
      </c>
      <c r="E45" s="223">
        <f>D45*C45/100</f>
        <v>2027.9142630000001</v>
      </c>
      <c r="F45" s="2"/>
      <c r="G45" s="3"/>
    </row>
    <row r="46" spans="1:9" customFormat="1" ht="13.9" customHeight="1" x14ac:dyDescent="0.2">
      <c r="A46" s="73" t="s">
        <v>26</v>
      </c>
      <c r="B46" s="74"/>
      <c r="C46" s="74"/>
      <c r="D46" s="75"/>
      <c r="E46" s="222">
        <f>SUM(E44:E45)</f>
        <v>4980.1842630000001</v>
      </c>
      <c r="F46" s="2"/>
      <c r="G46" s="3"/>
    </row>
    <row r="47" spans="1:9" customFormat="1" ht="13.9" customHeight="1" thickBot="1" x14ac:dyDescent="0.25">
      <c r="A47" s="69" t="s">
        <v>27</v>
      </c>
      <c r="B47" s="70" t="s">
        <v>28</v>
      </c>
      <c r="C47" s="77">
        <f>E30</f>
        <v>10</v>
      </c>
      <c r="D47" s="72">
        <f>E46</f>
        <v>4980.1842630000001</v>
      </c>
      <c r="E47" s="72">
        <f>C47*D47</f>
        <v>49801.842629999999</v>
      </c>
      <c r="F47" s="2"/>
      <c r="G47" s="3"/>
    </row>
    <row r="48" spans="1:9" customFormat="1" ht="13.9" customHeight="1" thickBot="1" x14ac:dyDescent="0.25">
      <c r="A48" s="78"/>
      <c r="B48" s="1"/>
      <c r="C48" s="1"/>
      <c r="D48" s="79" t="s">
        <v>29</v>
      </c>
      <c r="E48" s="80">
        <f>$B$35</f>
        <v>1</v>
      </c>
      <c r="F48" s="81">
        <f>E47*E48</f>
        <v>49801.842629999999</v>
      </c>
      <c r="G48" s="3"/>
    </row>
    <row r="49" spans="1:7" customFormat="1" ht="11.25" customHeight="1" x14ac:dyDescent="0.2">
      <c r="A49" s="1"/>
      <c r="B49" s="1"/>
      <c r="C49" s="1"/>
      <c r="D49" s="2"/>
      <c r="E49" s="2"/>
      <c r="F49" s="2"/>
      <c r="G49" s="2"/>
    </row>
    <row r="50" spans="1:7" customFormat="1" ht="13.5" thickBot="1" x14ac:dyDescent="0.25">
      <c r="A50" s="1" t="s">
        <v>136</v>
      </c>
      <c r="B50" s="1"/>
      <c r="C50" s="1"/>
      <c r="D50" s="2"/>
      <c r="E50" s="2"/>
      <c r="F50" s="2"/>
      <c r="G50" s="2"/>
    </row>
    <row r="51" spans="1:7" s="78" customFormat="1" ht="13.15" customHeight="1" thickBot="1" x14ac:dyDescent="0.25">
      <c r="A51" s="61" t="s">
        <v>16</v>
      </c>
      <c r="B51" s="62" t="s">
        <v>17</v>
      </c>
      <c r="C51" s="62" t="s">
        <v>8</v>
      </c>
      <c r="D51" s="63" t="s">
        <v>18</v>
      </c>
      <c r="E51" s="63" t="s">
        <v>19</v>
      </c>
      <c r="F51" s="64" t="s">
        <v>20</v>
      </c>
      <c r="G51" s="2"/>
    </row>
    <row r="52" spans="1:7" customFormat="1" x14ac:dyDescent="0.2">
      <c r="A52" s="65" t="s">
        <v>9</v>
      </c>
      <c r="B52" s="66" t="s">
        <v>21</v>
      </c>
      <c r="C52" s="66">
        <v>1</v>
      </c>
      <c r="D52" s="221">
        <v>2700</v>
      </c>
      <c r="E52" s="85">
        <f>C52*D52</f>
        <v>2700</v>
      </c>
      <c r="F52" s="2"/>
      <c r="G52" s="2"/>
    </row>
    <row r="53" spans="1:7" s="19" customFormat="1" x14ac:dyDescent="0.2">
      <c r="A53" s="69" t="s">
        <v>24</v>
      </c>
      <c r="B53" s="74"/>
      <c r="C53" s="74"/>
      <c r="D53" s="86"/>
      <c r="E53" s="87">
        <f>SUM(E52:E52)</f>
        <v>2700</v>
      </c>
      <c r="F53" s="18"/>
      <c r="G53" s="18"/>
    </row>
    <row r="54" spans="1:7" customFormat="1" x14ac:dyDescent="0.2">
      <c r="A54" s="69" t="s">
        <v>25</v>
      </c>
      <c r="B54" s="70" t="s">
        <v>4</v>
      </c>
      <c r="C54" s="76">
        <f>'5.Encargos Sociais'!$C$34*100</f>
        <v>68.690000000000012</v>
      </c>
      <c r="D54" s="87">
        <f>E53</f>
        <v>2700</v>
      </c>
      <c r="E54" s="87">
        <f>D54*C54/100</f>
        <v>1854.6300000000003</v>
      </c>
      <c r="F54" s="2"/>
      <c r="G54" s="2"/>
    </row>
    <row r="55" spans="1:7" s="19" customFormat="1" x14ac:dyDescent="0.2">
      <c r="A55" s="69" t="s">
        <v>26</v>
      </c>
      <c r="B55" s="88"/>
      <c r="C55" s="88"/>
      <c r="D55" s="89"/>
      <c r="E55" s="87">
        <f>E53+E54</f>
        <v>4554.63</v>
      </c>
      <c r="F55" s="18"/>
      <c r="G55" s="18"/>
    </row>
    <row r="56" spans="1:7" customFormat="1" ht="13.5" thickBot="1" x14ac:dyDescent="0.25">
      <c r="A56" s="69" t="s">
        <v>27</v>
      </c>
      <c r="B56" s="70" t="s">
        <v>28</v>
      </c>
      <c r="C56" s="77">
        <v>1</v>
      </c>
      <c r="D56" s="87">
        <f>E55</f>
        <v>4554.63</v>
      </c>
      <c r="E56" s="87">
        <f>C56*D56</f>
        <v>4554.63</v>
      </c>
      <c r="F56" s="2"/>
      <c r="G56" s="2"/>
    </row>
    <row r="57" spans="1:7" customFormat="1" ht="13.5" thickBot="1" x14ac:dyDescent="0.25">
      <c r="A57" s="275" t="s">
        <v>160</v>
      </c>
      <c r="B57" s="275"/>
      <c r="C57" s="275"/>
      <c r="D57" s="79" t="s">
        <v>29</v>
      </c>
      <c r="E57" s="90">
        <f>14/44</f>
        <v>0.31818181818181818</v>
      </c>
      <c r="F57" s="81">
        <f>E56*E57</f>
        <v>1449.2004545454545</v>
      </c>
      <c r="G57" s="3"/>
    </row>
    <row r="58" spans="1:7" customFormat="1" x14ac:dyDescent="0.2">
      <c r="A58" s="270"/>
      <c r="B58" s="270"/>
      <c r="C58" s="270"/>
      <c r="D58" s="270"/>
      <c r="E58" s="82"/>
      <c r="F58" s="83"/>
      <c r="G58" s="3"/>
    </row>
    <row r="59" spans="1:7" customFormat="1" ht="13.5" thickBot="1" x14ac:dyDescent="0.25">
      <c r="A59" s="1" t="s">
        <v>137</v>
      </c>
      <c r="B59" s="1"/>
      <c r="C59" s="1"/>
      <c r="D59" s="2"/>
      <c r="E59" s="2"/>
      <c r="F59" s="18"/>
      <c r="G59" s="2"/>
    </row>
    <row r="60" spans="1:7" customFormat="1" ht="13.5" thickBot="1" x14ac:dyDescent="0.25">
      <c r="A60" s="61" t="s">
        <v>16</v>
      </c>
      <c r="B60" s="62" t="s">
        <v>17</v>
      </c>
      <c r="C60" s="62" t="s">
        <v>8</v>
      </c>
      <c r="D60" s="63" t="s">
        <v>18</v>
      </c>
      <c r="E60" s="63" t="s">
        <v>19</v>
      </c>
      <c r="F60" s="64" t="s">
        <v>20</v>
      </c>
      <c r="G60" s="2"/>
    </row>
    <row r="61" spans="1:7" customFormat="1" x14ac:dyDescent="0.2">
      <c r="A61" s="69" t="s">
        <v>171</v>
      </c>
      <c r="B61" s="70" t="s">
        <v>30</v>
      </c>
      <c r="C61" s="91">
        <f>((C47)*15)</f>
        <v>150</v>
      </c>
      <c r="D61" s="246">
        <f>34.5*0.8</f>
        <v>27.6</v>
      </c>
      <c r="E61" s="92">
        <f>((D61*C61))</f>
        <v>4140</v>
      </c>
      <c r="F61" s="18"/>
      <c r="G61" s="2"/>
    </row>
    <row r="62" spans="1:7" customFormat="1" ht="13.5" thickBot="1" x14ac:dyDescent="0.25">
      <c r="A62" s="69" t="s">
        <v>141</v>
      </c>
      <c r="B62" s="70" t="s">
        <v>30</v>
      </c>
      <c r="C62" s="91">
        <v>8</v>
      </c>
      <c r="D62" s="246">
        <f>34.5*0.8</f>
        <v>27.6</v>
      </c>
      <c r="E62" s="92">
        <f>((D62*C62))</f>
        <v>220.8</v>
      </c>
      <c r="F62" s="18"/>
      <c r="G62" s="2"/>
    </row>
    <row r="63" spans="1:7" s="1" customFormat="1" ht="13.5" thickBot="1" x14ac:dyDescent="0.25">
      <c r="A63" s="93"/>
      <c r="B63" s="93"/>
      <c r="D63" s="79" t="s">
        <v>29</v>
      </c>
      <c r="E63" s="80">
        <v>1</v>
      </c>
      <c r="F63" s="94">
        <f>SUM(E61:E62)*E63</f>
        <v>4360.8</v>
      </c>
    </row>
    <row r="64" spans="1:7" customFormat="1" ht="13.5" thickBot="1" x14ac:dyDescent="0.25">
      <c r="A64" s="78"/>
      <c r="B64" s="78"/>
      <c r="C64" s="1"/>
      <c r="D64" s="79"/>
      <c r="E64" s="2"/>
      <c r="F64" s="83"/>
      <c r="G64" s="1"/>
    </row>
    <row r="65" spans="1:8" s="1" customFormat="1" ht="13.5" hidden="1" thickBot="1" x14ac:dyDescent="0.25">
      <c r="A65" s="1" t="s">
        <v>138</v>
      </c>
      <c r="B65" s="95"/>
      <c r="E65" s="96"/>
      <c r="F65" s="2"/>
    </row>
    <row r="66" spans="1:8" s="1" customFormat="1" ht="13.5" hidden="1" thickBot="1" x14ac:dyDescent="0.25">
      <c r="A66" s="61" t="s">
        <v>16</v>
      </c>
      <c r="B66" s="62" t="s">
        <v>17</v>
      </c>
      <c r="C66" s="62" t="s">
        <v>8</v>
      </c>
      <c r="D66" s="63" t="s">
        <v>18</v>
      </c>
      <c r="E66" s="63" t="s">
        <v>19</v>
      </c>
      <c r="F66" s="64" t="s">
        <v>20</v>
      </c>
    </row>
    <row r="67" spans="1:8" customFormat="1" hidden="1" x14ac:dyDescent="0.2">
      <c r="A67" s="69" t="s">
        <v>31</v>
      </c>
      <c r="B67" s="70" t="s">
        <v>32</v>
      </c>
      <c r="C67" s="97">
        <v>1</v>
      </c>
      <c r="D67" s="202">
        <v>3.5</v>
      </c>
      <c r="E67" s="98"/>
      <c r="F67" s="2"/>
      <c r="G67" s="1"/>
    </row>
    <row r="68" spans="1:8" customFormat="1" hidden="1" x14ac:dyDescent="0.2">
      <c r="A68" s="69" t="s">
        <v>129</v>
      </c>
      <c r="B68" s="70" t="s">
        <v>33</v>
      </c>
      <c r="C68" s="1">
        <v>15</v>
      </c>
      <c r="D68" s="98"/>
      <c r="E68" s="98"/>
      <c r="F68" s="2"/>
      <c r="G68" s="1"/>
    </row>
    <row r="69" spans="1:8" customFormat="1" ht="13.5" hidden="1" thickBot="1" x14ac:dyDescent="0.25">
      <c r="A69" s="69" t="s">
        <v>171</v>
      </c>
      <c r="B69" s="70" t="s">
        <v>34</v>
      </c>
      <c r="C69" s="99">
        <f>C68*E30*2</f>
        <v>300</v>
      </c>
      <c r="D69" s="84">
        <f>D67-((E40*0.06)/30)</f>
        <v>-0.71079999999999988</v>
      </c>
      <c r="E69" s="98">
        <f>IFERROR(C69*D69,"-")</f>
        <v>-213.23999999999995</v>
      </c>
      <c r="F69" s="2"/>
      <c r="G69" s="1"/>
    </row>
    <row r="70" spans="1:8" customFormat="1" ht="13.5" hidden="1" thickBot="1" x14ac:dyDescent="0.25">
      <c r="A70" s="1"/>
      <c r="B70" s="1"/>
      <c r="C70" s="1"/>
      <c r="D70" s="2"/>
      <c r="E70" s="2"/>
      <c r="F70" s="100">
        <f>SUM(E69:E69)-E69</f>
        <v>0</v>
      </c>
      <c r="G70" s="1"/>
      <c r="H70" s="1"/>
    </row>
    <row r="71" spans="1:8" customFormat="1" ht="10.9" hidden="1" customHeight="1" x14ac:dyDescent="0.2">
      <c r="A71" s="78"/>
      <c r="B71" s="78"/>
      <c r="C71" s="1"/>
      <c r="D71" s="79"/>
      <c r="E71" s="2"/>
      <c r="F71" s="83"/>
      <c r="G71" s="1"/>
      <c r="H71" s="1"/>
    </row>
    <row r="72" spans="1:8" customFormat="1" ht="13.5" hidden="1" thickBot="1" x14ac:dyDescent="0.25">
      <c r="A72" s="1" t="s">
        <v>139</v>
      </c>
      <c r="B72" s="1"/>
      <c r="C72" s="1"/>
      <c r="D72" s="2"/>
      <c r="E72" s="2"/>
      <c r="F72" s="18"/>
      <c r="G72" s="1"/>
      <c r="H72" s="1"/>
    </row>
    <row r="73" spans="1:8" s="1" customFormat="1" ht="13.5" hidden="1" thickBot="1" x14ac:dyDescent="0.25">
      <c r="A73" s="61" t="s">
        <v>16</v>
      </c>
      <c r="B73" s="62" t="s">
        <v>17</v>
      </c>
      <c r="C73" s="62" t="s">
        <v>8</v>
      </c>
      <c r="D73" s="63" t="s">
        <v>18</v>
      </c>
      <c r="E73" s="63" t="s">
        <v>19</v>
      </c>
      <c r="F73" s="64" t="s">
        <v>20</v>
      </c>
    </row>
    <row r="74" spans="1:8" s="1" customFormat="1" ht="13.5" hidden="1" thickBot="1" x14ac:dyDescent="0.25">
      <c r="A74" s="69" t="s">
        <v>35</v>
      </c>
      <c r="B74" s="70" t="s">
        <v>30</v>
      </c>
      <c r="C74" s="91">
        <v>0</v>
      </c>
      <c r="D74" s="245">
        <v>24.1</v>
      </c>
      <c r="E74" s="101">
        <f>C74*D74</f>
        <v>0</v>
      </c>
      <c r="F74" s="18"/>
    </row>
    <row r="75" spans="1:8" s="1" customFormat="1" ht="13.5" hidden="1" thickBot="1" x14ac:dyDescent="0.25">
      <c r="A75" s="93"/>
      <c r="B75" s="93"/>
      <c r="D75" s="79" t="s">
        <v>29</v>
      </c>
      <c r="E75" s="90">
        <v>1</v>
      </c>
      <c r="F75" s="102">
        <f>SUM(E74:E74)*E75</f>
        <v>0</v>
      </c>
    </row>
    <row r="76" spans="1:8" customFormat="1" ht="13.5" hidden="1" thickBot="1" x14ac:dyDescent="0.25">
      <c r="A76" s="78"/>
      <c r="B76" s="78"/>
      <c r="C76" s="1"/>
      <c r="D76" s="79"/>
      <c r="E76" s="2"/>
      <c r="F76" s="83"/>
      <c r="G76" s="1"/>
      <c r="H76" s="1"/>
    </row>
    <row r="77" spans="1:8" customFormat="1" ht="13.5" hidden="1" thickBot="1" x14ac:dyDescent="0.25">
      <c r="A77" s="78"/>
      <c r="B77" s="78"/>
      <c r="C77" s="1"/>
      <c r="D77" s="79"/>
      <c r="E77" s="2"/>
      <c r="F77" s="83"/>
      <c r="G77" s="1"/>
      <c r="H77" s="1"/>
    </row>
    <row r="78" spans="1:8" customFormat="1" ht="13.5" hidden="1" thickBot="1" x14ac:dyDescent="0.25">
      <c r="A78" s="78"/>
      <c r="B78" s="78"/>
      <c r="C78" s="1"/>
      <c r="D78" s="79"/>
      <c r="E78" s="2"/>
      <c r="F78" s="83"/>
      <c r="G78" s="1"/>
      <c r="H78" s="1"/>
    </row>
    <row r="79" spans="1:8" customFormat="1" ht="13.5" hidden="1" thickBot="1" x14ac:dyDescent="0.25">
      <c r="A79" s="78"/>
      <c r="B79" s="78"/>
      <c r="C79" s="1"/>
      <c r="D79" s="79"/>
      <c r="E79" s="2"/>
      <c r="F79" s="83"/>
      <c r="G79" s="1"/>
      <c r="H79" s="1"/>
    </row>
    <row r="80" spans="1:8" customFormat="1" ht="13.5" hidden="1" thickBot="1" x14ac:dyDescent="0.25">
      <c r="A80" s="78"/>
      <c r="B80" s="78"/>
      <c r="C80" s="1"/>
      <c r="D80" s="79"/>
      <c r="E80" s="2"/>
      <c r="F80" s="83"/>
      <c r="G80" s="1"/>
      <c r="H80" s="1"/>
    </row>
    <row r="81" spans="1:8" customFormat="1" ht="9" hidden="1" customHeight="1" x14ac:dyDescent="0.2">
      <c r="A81" s="1"/>
      <c r="B81" s="1"/>
      <c r="C81" s="1"/>
      <c r="D81" s="2"/>
      <c r="E81" s="2"/>
      <c r="F81" s="2"/>
      <c r="G81" s="1"/>
      <c r="H81" s="1"/>
    </row>
    <row r="82" spans="1:8" s="1" customFormat="1" ht="13.5" thickBot="1" x14ac:dyDescent="0.25">
      <c r="A82" s="103" t="s">
        <v>36</v>
      </c>
      <c r="B82" s="104"/>
      <c r="C82" s="104"/>
      <c r="D82" s="105"/>
      <c r="E82" s="106"/>
      <c r="F82" s="107">
        <f>F63+F57+F70+F75+F48</f>
        <v>55611.843084545457</v>
      </c>
      <c r="H82" s="108"/>
    </row>
    <row r="83" spans="1:8" customFormat="1" ht="15" customHeight="1" x14ac:dyDescent="0.2">
      <c r="A83" s="1"/>
      <c r="B83" s="1"/>
      <c r="C83" s="1"/>
      <c r="D83" s="2"/>
      <c r="E83" s="2"/>
      <c r="F83" s="2"/>
      <c r="G83" s="2"/>
      <c r="H83" s="1"/>
    </row>
    <row r="84" spans="1:8" customFormat="1" x14ac:dyDescent="0.2">
      <c r="A84" s="19" t="s">
        <v>37</v>
      </c>
      <c r="B84" s="1"/>
      <c r="C84" s="1"/>
      <c r="D84" s="2"/>
      <c r="E84" s="2"/>
      <c r="F84" s="2"/>
      <c r="G84" s="1"/>
      <c r="H84" s="1"/>
    </row>
    <row r="85" spans="1:8" customFormat="1" ht="13.9" customHeight="1" thickBot="1" x14ac:dyDescent="0.25">
      <c r="A85" s="1" t="s">
        <v>38</v>
      </c>
      <c r="B85" s="1"/>
      <c r="C85" s="1"/>
      <c r="D85" s="2"/>
      <c r="E85" s="2"/>
      <c r="F85" s="2"/>
      <c r="G85" s="1"/>
    </row>
    <row r="86" spans="1:8" s="1" customFormat="1" ht="27.75" customHeight="1" thickBot="1" x14ac:dyDescent="0.25">
      <c r="A86" s="61" t="s">
        <v>16</v>
      </c>
      <c r="B86" s="62" t="s">
        <v>17</v>
      </c>
      <c r="C86" s="109" t="s">
        <v>39</v>
      </c>
      <c r="D86" s="63" t="s">
        <v>18</v>
      </c>
      <c r="E86" s="63" t="s">
        <v>19</v>
      </c>
      <c r="F86" s="64" t="s">
        <v>20</v>
      </c>
    </row>
    <row r="87" spans="1:8" customFormat="1" ht="13.15" customHeight="1" x14ac:dyDescent="0.2">
      <c r="A87" s="69" t="s">
        <v>179</v>
      </c>
      <c r="B87" s="70" t="s">
        <v>30</v>
      </c>
      <c r="C87" s="97">
        <v>6</v>
      </c>
      <c r="D87" s="251">
        <v>100</v>
      </c>
      <c r="E87" s="85">
        <f>IFERROR(D87/C87,0)</f>
        <v>16.666666666666668</v>
      </c>
      <c r="F87" s="2"/>
      <c r="G87" s="1"/>
    </row>
    <row r="88" spans="1:8" customFormat="1" ht="13.15" customHeight="1" x14ac:dyDescent="0.2">
      <c r="A88" s="69" t="s">
        <v>180</v>
      </c>
      <c r="B88" s="70" t="s">
        <v>30</v>
      </c>
      <c r="C88" s="97">
        <v>12</v>
      </c>
      <c r="D88" s="251">
        <v>29</v>
      </c>
      <c r="E88" s="85">
        <f>IFERROR(D88/C88,0)</f>
        <v>2.4166666666666665</v>
      </c>
      <c r="F88" s="2"/>
      <c r="G88" s="1"/>
    </row>
    <row r="89" spans="1:8" customFormat="1" ht="13.15" customHeight="1" x14ac:dyDescent="0.2">
      <c r="A89" s="69" t="s">
        <v>40</v>
      </c>
      <c r="B89" s="70" t="s">
        <v>30</v>
      </c>
      <c r="C89" s="97">
        <v>12</v>
      </c>
      <c r="D89" s="251">
        <v>170</v>
      </c>
      <c r="E89" s="85">
        <f>IFERROR(D89/C89,0)</f>
        <v>14.166666666666666</v>
      </c>
      <c r="F89" s="2"/>
      <c r="G89" s="1"/>
    </row>
    <row r="90" spans="1:8" customFormat="1" x14ac:dyDescent="0.2">
      <c r="A90" s="69" t="s">
        <v>41</v>
      </c>
      <c r="B90" s="70" t="s">
        <v>30</v>
      </c>
      <c r="C90" s="97">
        <v>8</v>
      </c>
      <c r="D90" s="251">
        <v>82</v>
      </c>
      <c r="E90" s="85">
        <f>IFERROR(D90/C90,0)</f>
        <v>10.25</v>
      </c>
      <c r="F90" s="2"/>
      <c r="G90" s="1"/>
    </row>
    <row r="91" spans="1:8" customFormat="1" ht="13.9" customHeight="1" x14ac:dyDescent="0.2">
      <c r="A91" s="69" t="s">
        <v>42</v>
      </c>
      <c r="B91" s="70" t="s">
        <v>43</v>
      </c>
      <c r="C91" s="97">
        <v>8</v>
      </c>
      <c r="D91" s="251">
        <v>75</v>
      </c>
      <c r="E91" s="85">
        <f>IFERROR(D91/C91,0)</f>
        <v>9.375</v>
      </c>
      <c r="F91" s="2"/>
      <c r="G91" s="1"/>
    </row>
    <row r="92" spans="1:8" customFormat="1" ht="13.5" thickBot="1" x14ac:dyDescent="0.25">
      <c r="A92" s="271" t="s">
        <v>44</v>
      </c>
      <c r="B92" s="271"/>
      <c r="C92" s="97">
        <f>E30</f>
        <v>10</v>
      </c>
      <c r="D92" s="87">
        <f>+SUM(E87:E91)</f>
        <v>52.875</v>
      </c>
      <c r="E92" s="87">
        <f>C92*D92</f>
        <v>528.75</v>
      </c>
      <c r="F92" s="2"/>
      <c r="G92" s="2"/>
    </row>
    <row r="93" spans="1:8" customFormat="1" ht="13.5" thickBot="1" x14ac:dyDescent="0.25">
      <c r="A93" s="1"/>
      <c r="B93" s="1"/>
      <c r="C93" s="1"/>
      <c r="D93" s="79" t="s">
        <v>29</v>
      </c>
      <c r="E93" s="90">
        <f>$B$35</f>
        <v>1</v>
      </c>
      <c r="F93" s="81">
        <f>E92*E93</f>
        <v>528.75</v>
      </c>
      <c r="G93" s="2"/>
    </row>
    <row r="94" spans="1:8" customFormat="1" ht="11.25" customHeight="1" thickBot="1" x14ac:dyDescent="0.25">
      <c r="A94" s="1"/>
      <c r="B94" s="1"/>
      <c r="C94" s="1"/>
      <c r="D94" s="2"/>
      <c r="E94" s="2"/>
      <c r="F94" s="2"/>
      <c r="G94" s="1"/>
    </row>
    <row r="95" spans="1:8" s="1" customFormat="1" ht="13.5" thickBot="1" x14ac:dyDescent="0.25">
      <c r="A95" s="103" t="s">
        <v>45</v>
      </c>
      <c r="B95" s="110"/>
      <c r="C95" s="110"/>
      <c r="D95" s="111"/>
      <c r="E95" s="112"/>
      <c r="F95" s="113">
        <f>+F93</f>
        <v>528.75</v>
      </c>
    </row>
    <row r="96" spans="1:8" customFormat="1" ht="11.25" customHeight="1" x14ac:dyDescent="0.2">
      <c r="A96" s="1"/>
      <c r="B96" s="1"/>
      <c r="C96" s="1"/>
      <c r="D96" s="2"/>
      <c r="E96" s="2"/>
      <c r="F96" s="2"/>
      <c r="G96" s="1"/>
    </row>
    <row r="97" spans="1:7" customFormat="1" ht="18" customHeight="1" thickBot="1" x14ac:dyDescent="0.25">
      <c r="A97" s="203" t="s">
        <v>140</v>
      </c>
      <c r="B97" s="204"/>
      <c r="C97" s="204"/>
      <c r="D97" s="205"/>
      <c r="E97" s="205"/>
      <c r="F97" s="206"/>
      <c r="G97" s="1"/>
    </row>
    <row r="98" spans="1:7" customFormat="1" ht="18" customHeight="1" thickBot="1" x14ac:dyDescent="0.25">
      <c r="A98" s="61" t="s">
        <v>16</v>
      </c>
      <c r="B98" s="62" t="s">
        <v>17</v>
      </c>
      <c r="C98" s="109" t="s">
        <v>8</v>
      </c>
      <c r="D98" s="63" t="s">
        <v>18</v>
      </c>
      <c r="E98" s="63" t="s">
        <v>19</v>
      </c>
      <c r="F98" s="64" t="s">
        <v>130</v>
      </c>
      <c r="G98" s="1"/>
    </row>
    <row r="99" spans="1:7" customFormat="1" ht="18" customHeight="1" x14ac:dyDescent="0.2">
      <c r="A99" s="200" t="s">
        <v>181</v>
      </c>
      <c r="B99" s="201" t="s">
        <v>178</v>
      </c>
      <c r="C99" s="207">
        <v>5</v>
      </c>
      <c r="D99" s="208">
        <v>44</v>
      </c>
      <c r="E99" s="209">
        <f>(D99*C99)/12</f>
        <v>18.333333333333332</v>
      </c>
      <c r="F99" s="206"/>
      <c r="G99" s="1"/>
    </row>
    <row r="100" spans="1:7" customFormat="1" ht="18" customHeight="1" x14ac:dyDescent="0.2">
      <c r="A100" s="200" t="s">
        <v>177</v>
      </c>
      <c r="B100" s="201" t="s">
        <v>178</v>
      </c>
      <c r="C100" s="207">
        <v>10</v>
      </c>
      <c r="D100" s="208">
        <v>10</v>
      </c>
      <c r="E100" s="209">
        <f>(D100*C100)/12</f>
        <v>8.3333333333333339</v>
      </c>
      <c r="F100" s="206"/>
      <c r="G100" s="1"/>
    </row>
    <row r="101" spans="1:7" customFormat="1" ht="18" customHeight="1" x14ac:dyDescent="0.2">
      <c r="A101" s="252" t="s">
        <v>182</v>
      </c>
      <c r="B101" s="201" t="s">
        <v>178</v>
      </c>
      <c r="C101" s="207">
        <f>C99</f>
        <v>5</v>
      </c>
      <c r="D101" s="208">
        <v>37</v>
      </c>
      <c r="E101" s="209">
        <f>(D101*C101)/12</f>
        <v>15.416666666666666</v>
      </c>
      <c r="F101" s="206"/>
      <c r="G101" s="1"/>
    </row>
    <row r="102" spans="1:7" customFormat="1" ht="26.25" customHeight="1" thickBot="1" x14ac:dyDescent="0.25">
      <c r="A102" s="224" t="s">
        <v>165</v>
      </c>
      <c r="B102" s="201" t="s">
        <v>183</v>
      </c>
      <c r="C102" s="207">
        <f>10*30</f>
        <v>300</v>
      </c>
      <c r="D102" s="208">
        <v>2.1</v>
      </c>
      <c r="E102" s="209">
        <f>D102*C102</f>
        <v>630</v>
      </c>
      <c r="F102" s="206"/>
      <c r="G102" s="1"/>
    </row>
    <row r="103" spans="1:7" customFormat="1" ht="18" customHeight="1" thickBot="1" x14ac:dyDescent="0.25">
      <c r="A103" s="277"/>
      <c r="B103" s="277"/>
      <c r="C103" s="204"/>
      <c r="D103" s="210" t="s">
        <v>29</v>
      </c>
      <c r="E103" s="211">
        <v>1</v>
      </c>
      <c r="F103" s="113">
        <f>SUM(E99:E102)*E103</f>
        <v>672.08333333333337</v>
      </c>
      <c r="G103" s="1"/>
    </row>
    <row r="104" spans="1:7" customFormat="1" ht="11.25" customHeight="1" x14ac:dyDescent="0.2">
      <c r="A104" s="1"/>
      <c r="B104" s="1"/>
      <c r="C104" s="1"/>
      <c r="D104" s="2"/>
      <c r="E104" s="2"/>
      <c r="F104" s="2"/>
      <c r="G104" s="1"/>
    </row>
    <row r="105" spans="1:7" customFormat="1" ht="13.5" thickBot="1" x14ac:dyDescent="0.25">
      <c r="A105" s="19" t="s">
        <v>131</v>
      </c>
      <c r="B105" s="19"/>
      <c r="C105" s="19"/>
      <c r="D105" s="18"/>
      <c r="E105" s="18"/>
      <c r="F105" s="114"/>
      <c r="G105" s="2"/>
    </row>
    <row r="106" spans="1:7" customFormat="1" x14ac:dyDescent="0.2">
      <c r="A106" s="115" t="s">
        <v>16</v>
      </c>
      <c r="B106" s="116" t="s">
        <v>17</v>
      </c>
      <c r="C106" s="116" t="s">
        <v>8</v>
      </c>
      <c r="D106" s="117" t="s">
        <v>18</v>
      </c>
      <c r="E106" s="117" t="s">
        <v>19</v>
      </c>
      <c r="F106" s="118" t="s">
        <v>20</v>
      </c>
      <c r="G106" s="2"/>
    </row>
    <row r="107" spans="1:7" customFormat="1" x14ac:dyDescent="0.2">
      <c r="A107" s="119" t="s">
        <v>46</v>
      </c>
      <c r="B107" s="120" t="s">
        <v>4</v>
      </c>
      <c r="C107" s="121">
        <f>'6.BDI'!C18</f>
        <v>0.22639999999999999</v>
      </c>
      <c r="D107" s="122">
        <f>F82+F95+F103</f>
        <v>56812.676417878793</v>
      </c>
      <c r="E107" s="122">
        <f>D107*C107</f>
        <v>12862.389941007757</v>
      </c>
      <c r="F107" s="123"/>
      <c r="G107" s="2"/>
    </row>
    <row r="108" spans="1:7" customFormat="1" ht="13.5" thickBot="1" x14ac:dyDescent="0.25">
      <c r="A108" s="124"/>
      <c r="B108" s="124"/>
      <c r="C108" s="124"/>
      <c r="D108" s="124"/>
      <c r="E108" s="124"/>
      <c r="F108" s="125"/>
      <c r="G108" s="2"/>
    </row>
    <row r="109" spans="1:7" customFormat="1" ht="13.5" thickBot="1" x14ac:dyDescent="0.25">
      <c r="A109" s="272" t="s">
        <v>132</v>
      </c>
      <c r="B109" s="272"/>
      <c r="C109" s="272"/>
      <c r="D109" s="272"/>
      <c r="E109" s="272"/>
      <c r="F109" s="113">
        <f>E107</f>
        <v>12862.389941007757</v>
      </c>
      <c r="G109" s="2"/>
    </row>
    <row r="110" spans="1:7" customFormat="1" ht="11.25" customHeight="1" thickBot="1" x14ac:dyDescent="0.25">
      <c r="A110" s="1"/>
      <c r="B110" s="1"/>
      <c r="C110" s="1"/>
      <c r="D110" s="2"/>
      <c r="E110" s="2"/>
      <c r="F110" s="2"/>
      <c r="G110" s="2"/>
    </row>
    <row r="111" spans="1:7" customFormat="1" ht="24.75" customHeight="1" thickBot="1" x14ac:dyDescent="0.25">
      <c r="A111" s="126" t="s">
        <v>47</v>
      </c>
      <c r="B111" s="127"/>
      <c r="C111" s="127"/>
      <c r="D111" s="128"/>
      <c r="E111" s="129"/>
      <c r="F111" s="94">
        <f>F82+F95+F109+F103</f>
        <v>69675.066358886543</v>
      </c>
      <c r="G111" s="2"/>
    </row>
    <row r="112" spans="1:7" customFormat="1" ht="12.6" customHeight="1" thickBot="1" x14ac:dyDescent="0.25">
      <c r="A112" s="130"/>
      <c r="B112" s="130"/>
      <c r="C112" s="130"/>
      <c r="D112" s="131"/>
      <c r="E112" s="131"/>
      <c r="F112" s="131"/>
      <c r="G112" s="2"/>
    </row>
    <row r="113" spans="1:7" customFormat="1" ht="12.6" customHeight="1" thickBot="1" x14ac:dyDescent="0.25">
      <c r="A113" s="126" t="s">
        <v>154</v>
      </c>
      <c r="B113" s="127"/>
      <c r="C113" s="127"/>
      <c r="D113" s="243">
        <f>E30/2</f>
        <v>5</v>
      </c>
      <c r="E113" s="242" t="s">
        <v>153</v>
      </c>
      <c r="F113" s="94">
        <f>F111/D113</f>
        <v>13935.013271777309</v>
      </c>
      <c r="G113" s="2"/>
    </row>
    <row r="114" spans="1:7" customFormat="1" ht="12.6" customHeight="1" thickBot="1" x14ac:dyDescent="0.25">
      <c r="A114" s="130"/>
      <c r="B114" s="130"/>
      <c r="C114" s="130"/>
      <c r="D114" s="131"/>
      <c r="E114" s="131"/>
      <c r="F114" s="131"/>
      <c r="G114" s="2"/>
    </row>
    <row r="115" spans="1:7" customFormat="1" ht="13.5" thickBot="1" x14ac:dyDescent="0.25">
      <c r="A115" s="126" t="s">
        <v>48</v>
      </c>
      <c r="B115" s="127"/>
      <c r="C115" s="127"/>
      <c r="D115" s="128"/>
      <c r="E115" s="129"/>
      <c r="F115" s="94">
        <f>F111/C92</f>
        <v>6967.5066358886543</v>
      </c>
      <c r="G115" s="2"/>
    </row>
    <row r="117" spans="1:7" customFormat="1" ht="13.5" thickBot="1" x14ac:dyDescent="0.25">
      <c r="A117" s="126" t="s">
        <v>49</v>
      </c>
      <c r="B117" s="29"/>
      <c r="C117" s="132"/>
      <c r="D117" s="128"/>
      <c r="E117" s="129"/>
      <c r="F117" s="94">
        <f>F115/180</f>
        <v>38.708370199381413</v>
      </c>
      <c r="G117" s="2"/>
    </row>
    <row r="119" spans="1:7" customFormat="1" x14ac:dyDescent="0.2">
      <c r="A119" s="19" t="s">
        <v>50</v>
      </c>
      <c r="B119" s="1"/>
      <c r="C119" s="1"/>
      <c r="D119" s="2"/>
      <c r="E119" s="2"/>
      <c r="F119" s="2"/>
      <c r="G119" s="2"/>
    </row>
    <row r="122" spans="1:7" customFormat="1" x14ac:dyDescent="0.2">
      <c r="F122" s="82"/>
    </row>
    <row r="123" spans="1:7" customFormat="1" x14ac:dyDescent="0.2">
      <c r="F123" s="133"/>
    </row>
    <row r="146" s="1" customFormat="1" ht="9" customHeight="1" x14ac:dyDescent="0.2"/>
  </sheetData>
  <mergeCells count="13">
    <mergeCell ref="A21:E21"/>
    <mergeCell ref="A1:F1"/>
    <mergeCell ref="A2:F3"/>
    <mergeCell ref="A4:F4"/>
    <mergeCell ref="A6:F6"/>
    <mergeCell ref="A14:C14"/>
    <mergeCell ref="A109:E109"/>
    <mergeCell ref="A22:D22"/>
    <mergeCell ref="A38:F38"/>
    <mergeCell ref="A57:C57"/>
    <mergeCell ref="A58:D58"/>
    <mergeCell ref="A92:B92"/>
    <mergeCell ref="A103:B103"/>
  </mergeCells>
  <printOptions horizontalCentered="1"/>
  <pageMargins left="0.70866141732283472" right="0.70866141732283472" top="0.74803149606299213" bottom="0.74803149606299213" header="0.70866141732283472" footer="0.70866141732283472"/>
  <pageSetup paperSize="9" scale="73" firstPageNumber="0" fitToHeight="2" orientation="portrait" r:id="rId1"/>
  <headerFooter>
    <oddFooter>&amp;R&amp;P de &amp;N</oddFooter>
  </headerFooter>
  <rowBreaks count="1" manualBreakCount="1">
    <brk id="35" max="16383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K147"/>
  <sheetViews>
    <sheetView zoomScale="120" zoomScaleNormal="120" workbookViewId="0">
      <pane ySplit="1" topLeftCell="A113" activePane="bottomLeft" state="frozen"/>
      <selection activeCell="A17" sqref="A17"/>
      <selection pane="bottomLeft" activeCell="A17" sqref="A17"/>
    </sheetView>
  </sheetViews>
  <sheetFormatPr defaultRowHeight="12.75" x14ac:dyDescent="0.2"/>
  <cols>
    <col min="1" max="1" width="44.42578125" style="1" customWidth="1"/>
    <col min="2" max="2" width="16.140625" style="1" customWidth="1"/>
    <col min="3" max="3" width="14.5703125" style="1" customWidth="1"/>
    <col min="4" max="4" width="14.7109375" style="2" customWidth="1"/>
    <col min="5" max="5" width="15.28515625" style="2" customWidth="1"/>
    <col min="6" max="6" width="15" style="2" customWidth="1"/>
    <col min="7" max="7" width="28" style="2" customWidth="1"/>
    <col min="8" max="8" width="23.85546875" style="1" hidden="1" customWidth="1"/>
    <col min="9" max="9" width="14.5703125" style="1" customWidth="1"/>
    <col min="10" max="10" width="13.42578125" style="1" customWidth="1"/>
    <col min="11" max="1025" width="9.28515625" style="1" customWidth="1"/>
  </cols>
  <sheetData>
    <row r="1" spans="1:7" s="4" customFormat="1" ht="21.75" customHeight="1" thickBot="1" x14ac:dyDescent="0.25">
      <c r="A1" s="278" t="s">
        <v>159</v>
      </c>
      <c r="B1" s="278"/>
      <c r="C1" s="278"/>
      <c r="D1" s="278"/>
      <c r="E1" s="278"/>
      <c r="F1" s="278"/>
      <c r="G1" s="3"/>
    </row>
    <row r="2" spans="1:7" s="6" customFormat="1" ht="12.6" customHeight="1" thickBot="1" x14ac:dyDescent="0.25">
      <c r="A2" s="279" t="s">
        <v>173</v>
      </c>
      <c r="B2" s="279"/>
      <c r="C2" s="279"/>
      <c r="D2" s="279"/>
      <c r="E2" s="279"/>
      <c r="F2" s="279"/>
      <c r="G2" s="5"/>
    </row>
    <row r="3" spans="1:7" s="6" customFormat="1" ht="10.9" customHeight="1" x14ac:dyDescent="0.2">
      <c r="A3" s="279"/>
      <c r="B3" s="279"/>
      <c r="C3" s="279"/>
      <c r="D3" s="279"/>
      <c r="E3" s="279"/>
      <c r="F3" s="279"/>
      <c r="G3" s="5"/>
    </row>
    <row r="4" spans="1:7" s="6" customFormat="1" ht="21.75" customHeight="1" x14ac:dyDescent="0.2">
      <c r="A4" s="280" t="s">
        <v>0</v>
      </c>
      <c r="B4" s="280"/>
      <c r="C4" s="280"/>
      <c r="D4" s="280"/>
      <c r="E4" s="280"/>
      <c r="F4" s="280"/>
      <c r="G4" s="5"/>
    </row>
    <row r="5" spans="1:7" s="4" customFormat="1" ht="10.9" customHeight="1" thickBot="1" x14ac:dyDescent="0.25">
      <c r="A5" s="7"/>
      <c r="B5" s="8"/>
      <c r="C5" s="8"/>
      <c r="D5" s="3"/>
      <c r="E5" s="3"/>
      <c r="F5" s="9"/>
      <c r="G5" s="3"/>
    </row>
    <row r="6" spans="1:7" s="4" customFormat="1" ht="15.75" customHeight="1" thickBot="1" x14ac:dyDescent="0.25">
      <c r="A6" s="273" t="s">
        <v>1</v>
      </c>
      <c r="B6" s="273"/>
      <c r="C6" s="273"/>
      <c r="D6" s="273"/>
      <c r="E6" s="273"/>
      <c r="F6" s="273"/>
      <c r="G6" s="3"/>
    </row>
    <row r="7" spans="1:7" s="4" customFormat="1" ht="15.75" customHeight="1" x14ac:dyDescent="0.2">
      <c r="A7" s="10" t="s">
        <v>2</v>
      </c>
      <c r="B7" s="11"/>
      <c r="C7" s="11"/>
      <c r="D7" s="12"/>
      <c r="E7" s="13" t="s">
        <v>3</v>
      </c>
      <c r="F7" s="14" t="s">
        <v>4</v>
      </c>
      <c r="G7" s="3"/>
    </row>
    <row r="8" spans="1:7" s="19" customFormat="1" ht="15.75" customHeight="1" x14ac:dyDescent="0.2">
      <c r="A8" s="15" t="str">
        <f>A37</f>
        <v>1. Mão de obra</v>
      </c>
      <c r="B8" s="16"/>
      <c r="C8" s="17"/>
      <c r="D8" s="17"/>
      <c r="E8" s="213">
        <f>+F83</f>
        <v>12752.512325454547</v>
      </c>
      <c r="F8" s="214">
        <f t="shared" ref="F8:F17" si="0">IFERROR(E8/$E$18,0)</f>
        <v>0.78862781501660972</v>
      </c>
      <c r="G8" s="18"/>
    </row>
    <row r="9" spans="1:7" s="4" customFormat="1" ht="15.75" customHeight="1" x14ac:dyDescent="0.2">
      <c r="A9" s="20" t="str">
        <f>A38</f>
        <v>1.1. Categoria Profissional de vigilante (02 Postos de 8:48 horas diurnas)</v>
      </c>
      <c r="B9" s="21"/>
      <c r="C9" s="22"/>
      <c r="D9" s="22"/>
      <c r="E9" s="215">
        <f>F49</f>
        <v>10654.797780000001</v>
      </c>
      <c r="F9" s="216">
        <f t="shared" si="0"/>
        <v>0.65890309911037248</v>
      </c>
      <c r="G9" s="3"/>
    </row>
    <row r="10" spans="1:7" s="4" customFormat="1" ht="15.6" customHeight="1" x14ac:dyDescent="0.2">
      <c r="A10" s="20" t="str">
        <f>A51</f>
        <v>1.2. Encarregado/Supervisor</v>
      </c>
      <c r="B10" s="21"/>
      <c r="C10" s="22"/>
      <c r="D10" s="22"/>
      <c r="E10" s="215">
        <f>F58</f>
        <v>828.11454545454546</v>
      </c>
      <c r="F10" s="216">
        <f t="shared" si="0"/>
        <v>5.1211412143607797E-2</v>
      </c>
      <c r="G10" s="3"/>
    </row>
    <row r="11" spans="1:7" s="4" customFormat="1" ht="15.75" customHeight="1" x14ac:dyDescent="0.2">
      <c r="A11" s="20" t="str">
        <f>A60</f>
        <v>1.3. Auxílio Alimentação</v>
      </c>
      <c r="B11" s="21"/>
      <c r="C11" s="22"/>
      <c r="D11" s="22"/>
      <c r="E11" s="215">
        <f>F64</f>
        <v>1269.6000000000001</v>
      </c>
      <c r="F11" s="216">
        <f t="shared" si="0"/>
        <v>7.8513303762629355E-2</v>
      </c>
      <c r="G11" s="3"/>
    </row>
    <row r="12" spans="1:7" s="4" customFormat="1" ht="15.75" hidden="1" customHeight="1" x14ac:dyDescent="0.2">
      <c r="A12" s="20" t="str">
        <f>A66</f>
        <v>1.4. Vale Transporte</v>
      </c>
      <c r="B12" s="21"/>
      <c r="C12" s="22"/>
      <c r="D12" s="22"/>
      <c r="E12" s="215">
        <f>F71</f>
        <v>0</v>
      </c>
      <c r="F12" s="216">
        <f t="shared" si="0"/>
        <v>0</v>
      </c>
      <c r="G12" s="3"/>
    </row>
    <row r="13" spans="1:7" s="4" customFormat="1" ht="15.75" hidden="1" customHeight="1" x14ac:dyDescent="0.2">
      <c r="A13" s="20" t="str">
        <f>A73</f>
        <v xml:space="preserve">1.5. Plano de Benefício Social  </v>
      </c>
      <c r="B13" s="21"/>
      <c r="C13" s="22"/>
      <c r="D13" s="22"/>
      <c r="E13" s="215">
        <f>F76</f>
        <v>0</v>
      </c>
      <c r="F13" s="216">
        <f t="shared" si="0"/>
        <v>0</v>
      </c>
      <c r="G13" s="3"/>
    </row>
    <row r="14" spans="1:7" s="19" customFormat="1" ht="15.75" customHeight="1" x14ac:dyDescent="0.2">
      <c r="A14" s="281" t="str">
        <f>A85</f>
        <v>2. Uniformes e Equipamentos de Proteção Individual</v>
      </c>
      <c r="B14" s="281"/>
      <c r="C14" s="281"/>
      <c r="D14" s="17"/>
      <c r="E14" s="213">
        <f>+F96</f>
        <v>105.75</v>
      </c>
      <c r="F14" s="214">
        <f t="shared" si="0"/>
        <v>6.5396832647275161E-3</v>
      </c>
      <c r="G14" s="18"/>
    </row>
    <row r="15" spans="1:7" s="19" customFormat="1" ht="15.75" customHeight="1" x14ac:dyDescent="0.2">
      <c r="A15" s="24" t="str">
        <f>A86</f>
        <v>2.1. Uniformes e EPIs</v>
      </c>
      <c r="B15" s="25"/>
      <c r="C15" s="25"/>
      <c r="D15" s="17"/>
      <c r="E15" s="217">
        <f>F94</f>
        <v>105.75</v>
      </c>
      <c r="F15" s="214">
        <f t="shared" si="0"/>
        <v>6.5396832647275161E-3</v>
      </c>
      <c r="G15" s="18"/>
    </row>
    <row r="16" spans="1:7" s="19" customFormat="1" ht="15.75" customHeight="1" x14ac:dyDescent="0.2">
      <c r="A16" s="212" t="str">
        <f>A98</f>
        <v>3. Veículo de apoio para deslocamento e materiais de consumo</v>
      </c>
      <c r="B16" s="25"/>
      <c r="C16" s="25"/>
      <c r="D16" s="17"/>
      <c r="E16" s="218">
        <f>F104</f>
        <v>327.08333333333331</v>
      </c>
      <c r="F16" s="214">
        <f t="shared" si="0"/>
        <v>2.0227152729752167E-2</v>
      </c>
      <c r="G16" s="18"/>
    </row>
    <row r="17" spans="1:9" s="19" customFormat="1" ht="15.75" customHeight="1" thickBot="1" x14ac:dyDescent="0.25">
      <c r="A17" s="23" t="str">
        <f>A106</f>
        <v>4. Benefícios e Despesas Indiretas (BDI)</v>
      </c>
      <c r="B17" s="26"/>
      <c r="C17" s="17"/>
      <c r="D17" s="17"/>
      <c r="E17" s="219">
        <f>F110</f>
        <v>2985.1622571495759</v>
      </c>
      <c r="F17" s="214">
        <f t="shared" si="0"/>
        <v>0.18460534898891062</v>
      </c>
      <c r="G17" s="18"/>
    </row>
    <row r="18" spans="1:9" s="4" customFormat="1" ht="15.75" customHeight="1" thickBot="1" x14ac:dyDescent="0.25">
      <c r="A18" s="27" t="s">
        <v>5</v>
      </c>
      <c r="B18" s="28"/>
      <c r="C18" s="29"/>
      <c r="D18" s="29"/>
      <c r="E18" s="30">
        <f>E8+E14+E17+E16</f>
        <v>16170.507915937456</v>
      </c>
      <c r="F18" s="31">
        <f>F8+F14+F17+F16</f>
        <v>1</v>
      </c>
      <c r="G18" s="3"/>
    </row>
    <row r="19" spans="1:9" s="4" customFormat="1" ht="15.75" customHeight="1" x14ac:dyDescent="0.2">
      <c r="A19" s="32"/>
      <c r="B19" s="33"/>
      <c r="C19" s="18"/>
      <c r="D19" s="18"/>
      <c r="E19" s="34"/>
      <c r="F19" s="35"/>
      <c r="G19" s="3"/>
    </row>
    <row r="20" spans="1:9" ht="13.5" thickBot="1" x14ac:dyDescent="0.25"/>
    <row r="21" spans="1:9" s="4" customFormat="1" ht="15" customHeight="1" thickBot="1" x14ac:dyDescent="0.25">
      <c r="A21" s="273" t="s">
        <v>6</v>
      </c>
      <c r="B21" s="273"/>
      <c r="C21" s="273"/>
      <c r="D21" s="273"/>
      <c r="E21" s="273"/>
      <c r="F21" s="2"/>
      <c r="G21" s="3"/>
    </row>
    <row r="22" spans="1:9" s="4" customFormat="1" ht="15" customHeight="1" thickBot="1" x14ac:dyDescent="0.25">
      <c r="A22" s="274" t="s">
        <v>7</v>
      </c>
      <c r="B22" s="274"/>
      <c r="C22" s="274"/>
      <c r="D22" s="274"/>
      <c r="E22" s="36" t="s">
        <v>8</v>
      </c>
      <c r="F22" s="2"/>
      <c r="G22" s="3"/>
    </row>
    <row r="23" spans="1:9" s="4" customFormat="1" ht="15" customHeight="1" x14ac:dyDescent="0.2">
      <c r="A23" s="37" t="s">
        <v>172</v>
      </c>
      <c r="B23" s="38"/>
      <c r="C23" s="38"/>
      <c r="D23" s="39"/>
      <c r="E23" s="40"/>
      <c r="F23" s="2"/>
      <c r="G23" s="41"/>
    </row>
    <row r="24" spans="1:9" s="4" customFormat="1" ht="15" customHeight="1" x14ac:dyDescent="0.2">
      <c r="A24" s="42" t="s">
        <v>133</v>
      </c>
      <c r="B24" s="43"/>
      <c r="C24" s="43"/>
      <c r="D24" s="44"/>
      <c r="E24" s="244">
        <v>2105.4</v>
      </c>
      <c r="F24" s="2"/>
      <c r="G24" s="3"/>
    </row>
    <row r="25" spans="1:9" s="4" customFormat="1" ht="15" hidden="1" customHeight="1" x14ac:dyDescent="0.2">
      <c r="A25" s="42" t="s">
        <v>10</v>
      </c>
      <c r="B25" s="43"/>
      <c r="C25" s="43"/>
      <c r="D25" s="44"/>
      <c r="E25" s="45">
        <v>0</v>
      </c>
      <c r="F25" s="2"/>
      <c r="G25" s="3"/>
    </row>
    <row r="26" spans="1:9" s="4" customFormat="1" ht="15" customHeight="1" x14ac:dyDescent="0.2">
      <c r="A26" s="42" t="s">
        <v>11</v>
      </c>
      <c r="B26" s="43"/>
      <c r="C26" s="43"/>
      <c r="D26" s="44"/>
      <c r="E26" s="46">
        <v>220</v>
      </c>
      <c r="F26" s="2"/>
      <c r="G26" s="3"/>
      <c r="I26" s="3"/>
    </row>
    <row r="27" spans="1:9" s="4" customFormat="1" ht="15" hidden="1" customHeight="1" x14ac:dyDescent="0.2">
      <c r="A27" s="15" t="str">
        <f>+A51</f>
        <v>1.2. Encarregado/Supervisor</v>
      </c>
      <c r="B27" s="47"/>
      <c r="C27" s="47"/>
      <c r="D27" s="48"/>
      <c r="E27" s="49"/>
      <c r="F27" s="2"/>
      <c r="G27" s="3"/>
      <c r="I27" s="3"/>
    </row>
    <row r="28" spans="1:9" s="4" customFormat="1" ht="15" hidden="1" customHeight="1" x14ac:dyDescent="0.2">
      <c r="A28" s="42"/>
      <c r="B28" s="47"/>
      <c r="C28" s="47"/>
      <c r="D28" s="48"/>
      <c r="E28" s="50"/>
      <c r="F28" s="2"/>
      <c r="G28" s="3"/>
      <c r="I28" s="3"/>
    </row>
    <row r="29" spans="1:9" s="4" customFormat="1" ht="15" hidden="1" customHeight="1" x14ac:dyDescent="0.2">
      <c r="A29" s="51"/>
      <c r="B29" s="47"/>
      <c r="C29" s="47"/>
      <c r="D29" s="48"/>
      <c r="E29" s="49"/>
      <c r="F29" s="2"/>
      <c r="G29" s="3"/>
      <c r="I29" s="3"/>
    </row>
    <row r="30" spans="1:9" s="4" customFormat="1" ht="15" customHeight="1" thickBot="1" x14ac:dyDescent="0.25">
      <c r="A30" s="52" t="s">
        <v>12</v>
      </c>
      <c r="B30" s="53"/>
      <c r="C30" s="53"/>
      <c r="D30" s="54"/>
      <c r="E30" s="55">
        <v>2</v>
      </c>
      <c r="F30" s="2"/>
      <c r="G30" s="3"/>
      <c r="I30" s="3"/>
    </row>
    <row r="31" spans="1:9" s="4" customFormat="1" x14ac:dyDescent="0.2">
      <c r="A31" s="2"/>
      <c r="B31" s="2"/>
      <c r="C31" s="2"/>
      <c r="D31" s="1"/>
      <c r="E31" s="56"/>
      <c r="F31" s="1"/>
      <c r="G31" s="3"/>
      <c r="I31" s="3"/>
    </row>
    <row r="32" spans="1:9" s="4" customFormat="1" x14ac:dyDescent="0.2">
      <c r="A32" s="2"/>
      <c r="B32" s="2"/>
      <c r="C32" s="2"/>
      <c r="D32" s="1"/>
      <c r="E32" s="57"/>
      <c r="F32" s="1"/>
      <c r="G32" s="3"/>
      <c r="I32" s="3"/>
    </row>
    <row r="33" spans="1:9" s="4" customFormat="1" x14ac:dyDescent="0.2">
      <c r="A33" s="2"/>
      <c r="B33" s="2"/>
      <c r="C33" s="2"/>
      <c r="D33" s="1"/>
      <c r="E33" s="57"/>
      <c r="F33" s="1"/>
      <c r="G33" s="3"/>
      <c r="I33" s="3"/>
    </row>
    <row r="34" spans="1:9" s="4" customFormat="1" ht="13.5" thickBot="1" x14ac:dyDescent="0.25">
      <c r="A34" s="2"/>
      <c r="B34" s="2"/>
      <c r="C34" s="2"/>
      <c r="D34" s="1"/>
      <c r="E34" s="57"/>
      <c r="F34" s="198"/>
      <c r="G34" s="3"/>
      <c r="I34" s="3"/>
    </row>
    <row r="35" spans="1:9" s="19" customFormat="1" ht="15.75" customHeight="1" thickBot="1" x14ac:dyDescent="0.25">
      <c r="A35" s="58" t="s">
        <v>14</v>
      </c>
      <c r="B35" s="59">
        <v>1</v>
      </c>
      <c r="C35" s="18"/>
      <c r="E35" s="60"/>
      <c r="G35" s="18"/>
    </row>
    <row r="36" spans="1:9" s="4" customFormat="1" ht="15.75" customHeight="1" x14ac:dyDescent="0.2">
      <c r="A36" s="2"/>
      <c r="B36" s="2"/>
      <c r="C36" s="2"/>
      <c r="D36" s="1"/>
      <c r="E36" s="56"/>
      <c r="F36" s="1"/>
      <c r="G36" s="3"/>
    </row>
    <row r="37" spans="1:9" customFormat="1" ht="13.15" customHeight="1" x14ac:dyDescent="0.2">
      <c r="A37" s="19" t="s">
        <v>15</v>
      </c>
      <c r="B37" s="1"/>
      <c r="C37" s="1"/>
      <c r="D37" s="2"/>
      <c r="E37" s="2"/>
      <c r="F37" s="2"/>
      <c r="G37" s="2"/>
      <c r="H37" s="1"/>
      <c r="I37" s="1"/>
    </row>
    <row r="38" spans="1:9" customFormat="1" ht="13.9" customHeight="1" thickBot="1" x14ac:dyDescent="0.25">
      <c r="A38" s="276" t="s">
        <v>191</v>
      </c>
      <c r="B38" s="276"/>
      <c r="C38" s="276"/>
      <c r="D38" s="276"/>
      <c r="E38" s="276"/>
      <c r="F38" s="276"/>
      <c r="G38" s="3"/>
    </row>
    <row r="39" spans="1:9" customFormat="1" ht="13.9" customHeight="1" thickBot="1" x14ac:dyDescent="0.25">
      <c r="A39" s="61" t="s">
        <v>16</v>
      </c>
      <c r="B39" s="62" t="s">
        <v>17</v>
      </c>
      <c r="C39" s="62" t="s">
        <v>8</v>
      </c>
      <c r="D39" s="63" t="s">
        <v>18</v>
      </c>
      <c r="E39" s="63" t="s">
        <v>19</v>
      </c>
      <c r="F39" s="64" t="s">
        <v>20</v>
      </c>
      <c r="G39" s="3"/>
    </row>
    <row r="40" spans="1:9" customFormat="1" ht="13.9" customHeight="1" x14ac:dyDescent="0.2">
      <c r="A40" s="65" t="s">
        <v>9</v>
      </c>
      <c r="B40" s="66" t="s">
        <v>21</v>
      </c>
      <c r="C40" s="66">
        <v>1</v>
      </c>
      <c r="D40" s="199">
        <f>E24</f>
        <v>2105.4</v>
      </c>
      <c r="E40" s="68">
        <f>C40*D40</f>
        <v>2105.4</v>
      </c>
      <c r="F40" s="2"/>
      <c r="G40" s="3"/>
    </row>
    <row r="41" spans="1:9" customFormat="1" ht="13.9" customHeight="1" x14ac:dyDescent="0.2">
      <c r="A41" s="65" t="s">
        <v>176</v>
      </c>
      <c r="B41" s="66" t="s">
        <v>4</v>
      </c>
      <c r="C41" s="250">
        <v>0.3</v>
      </c>
      <c r="D41" s="68">
        <f>E40</f>
        <v>2105.4</v>
      </c>
      <c r="E41" s="68">
        <f>D41*C41</f>
        <v>631.62</v>
      </c>
      <c r="F41" s="2"/>
      <c r="G41" s="3"/>
    </row>
    <row r="42" spans="1:9" customFormat="1" ht="13.9" hidden="1" customHeight="1" x14ac:dyDescent="0.2">
      <c r="A42" s="65" t="s">
        <v>142</v>
      </c>
      <c r="B42" s="66" t="s">
        <v>128</v>
      </c>
      <c r="C42" s="66">
        <v>0</v>
      </c>
      <c r="D42" s="68">
        <v>14.35</v>
      </c>
      <c r="E42" s="68">
        <f>C42*D42</f>
        <v>0</v>
      </c>
      <c r="F42" s="2"/>
      <c r="G42" s="3"/>
    </row>
    <row r="43" spans="1:9" customFormat="1" ht="13.9" customHeight="1" x14ac:dyDescent="0.2">
      <c r="A43" s="65" t="s">
        <v>185</v>
      </c>
      <c r="B43" s="66" t="s">
        <v>4</v>
      </c>
      <c r="C43" s="250">
        <v>0.2</v>
      </c>
      <c r="D43" s="68">
        <f>D40</f>
        <v>2105.4</v>
      </c>
      <c r="E43" s="68">
        <f>D43*C43</f>
        <v>421.08000000000004</v>
      </c>
      <c r="F43" s="2"/>
      <c r="G43" s="3"/>
    </row>
    <row r="44" spans="1:9" customFormat="1" ht="13.9" hidden="1" customHeight="1" x14ac:dyDescent="0.2">
      <c r="A44" s="69" t="s">
        <v>22</v>
      </c>
      <c r="B44" s="70" t="s">
        <v>23</v>
      </c>
      <c r="C44" s="71">
        <v>0</v>
      </c>
      <c r="D44" s="72">
        <f>E40/220*0.2</f>
        <v>1.9140000000000001</v>
      </c>
      <c r="E44" s="72">
        <f>C44*D44</f>
        <v>0</v>
      </c>
      <c r="F44" s="2"/>
      <c r="G44" s="3"/>
    </row>
    <row r="45" spans="1:9" customFormat="1" ht="13.9" customHeight="1" x14ac:dyDescent="0.2">
      <c r="A45" s="73" t="s">
        <v>24</v>
      </c>
      <c r="B45" s="74"/>
      <c r="C45" s="74"/>
      <c r="D45" s="75"/>
      <c r="E45" s="222">
        <f>SUM(E40:E44)</f>
        <v>3158.1</v>
      </c>
      <c r="F45" s="2"/>
      <c r="G45" s="3"/>
    </row>
    <row r="46" spans="1:9" customFormat="1" ht="13.9" customHeight="1" x14ac:dyDescent="0.2">
      <c r="A46" s="69" t="s">
        <v>25</v>
      </c>
      <c r="B46" s="70" t="s">
        <v>4</v>
      </c>
      <c r="C46" s="76">
        <f>'5.Encargos Sociais'!$C$34*100</f>
        <v>68.690000000000012</v>
      </c>
      <c r="D46" s="72">
        <f>E45</f>
        <v>3158.1</v>
      </c>
      <c r="E46" s="223">
        <f>D46*C46/100</f>
        <v>2169.29889</v>
      </c>
      <c r="F46" s="2"/>
      <c r="G46" s="3"/>
    </row>
    <row r="47" spans="1:9" customFormat="1" ht="13.9" customHeight="1" x14ac:dyDescent="0.2">
      <c r="A47" s="73" t="s">
        <v>26</v>
      </c>
      <c r="B47" s="74"/>
      <c r="C47" s="74"/>
      <c r="D47" s="75"/>
      <c r="E47" s="222">
        <f>SUM(E45:E46)</f>
        <v>5327.3988900000004</v>
      </c>
      <c r="F47" s="2"/>
      <c r="G47" s="3"/>
    </row>
    <row r="48" spans="1:9" customFormat="1" ht="13.9" customHeight="1" thickBot="1" x14ac:dyDescent="0.25">
      <c r="A48" s="69" t="s">
        <v>27</v>
      </c>
      <c r="B48" s="70" t="s">
        <v>28</v>
      </c>
      <c r="C48" s="77">
        <f>E30</f>
        <v>2</v>
      </c>
      <c r="D48" s="72">
        <f>E47</f>
        <v>5327.3988900000004</v>
      </c>
      <c r="E48" s="72">
        <f>C48*D48</f>
        <v>10654.797780000001</v>
      </c>
      <c r="F48" s="2"/>
      <c r="G48" s="3"/>
    </row>
    <row r="49" spans="1:7" customFormat="1" ht="13.9" customHeight="1" thickBot="1" x14ac:dyDescent="0.25">
      <c r="A49" s="78"/>
      <c r="B49" s="1"/>
      <c r="C49" s="1"/>
      <c r="D49" s="79" t="s">
        <v>29</v>
      </c>
      <c r="E49" s="80">
        <f>$B$35</f>
        <v>1</v>
      </c>
      <c r="F49" s="81">
        <f>E48*E49</f>
        <v>10654.797780000001</v>
      </c>
      <c r="G49" s="3"/>
    </row>
    <row r="50" spans="1:7" customFormat="1" ht="11.25" customHeight="1" x14ac:dyDescent="0.2">
      <c r="A50" s="1"/>
      <c r="B50" s="1"/>
      <c r="C50" s="1"/>
      <c r="D50" s="2"/>
      <c r="E50" s="2"/>
      <c r="F50" s="2"/>
      <c r="G50" s="2"/>
    </row>
    <row r="51" spans="1:7" customFormat="1" ht="13.5" thickBot="1" x14ac:dyDescent="0.25">
      <c r="A51" s="1" t="s">
        <v>136</v>
      </c>
      <c r="B51" s="1"/>
      <c r="C51" s="1"/>
      <c r="D51" s="2"/>
      <c r="E51" s="2"/>
      <c r="F51" s="2"/>
      <c r="G51" s="2"/>
    </row>
    <row r="52" spans="1:7" s="78" customFormat="1" ht="13.15" customHeight="1" thickBot="1" x14ac:dyDescent="0.25">
      <c r="A52" s="61" t="s">
        <v>16</v>
      </c>
      <c r="B52" s="62" t="s">
        <v>17</v>
      </c>
      <c r="C52" s="62" t="s">
        <v>8</v>
      </c>
      <c r="D52" s="63" t="s">
        <v>18</v>
      </c>
      <c r="E52" s="63" t="s">
        <v>19</v>
      </c>
      <c r="F52" s="64" t="s">
        <v>20</v>
      </c>
      <c r="G52" s="2"/>
    </row>
    <row r="53" spans="1:7" customFormat="1" x14ac:dyDescent="0.2">
      <c r="A53" s="65" t="s">
        <v>9</v>
      </c>
      <c r="B53" s="66" t="s">
        <v>21</v>
      </c>
      <c r="C53" s="66">
        <v>1</v>
      </c>
      <c r="D53" s="221">
        <v>2700</v>
      </c>
      <c r="E53" s="85">
        <f>C53*D53</f>
        <v>2700</v>
      </c>
      <c r="F53" s="2"/>
      <c r="G53" s="2"/>
    </row>
    <row r="54" spans="1:7" s="19" customFormat="1" x14ac:dyDescent="0.2">
      <c r="A54" s="69" t="s">
        <v>24</v>
      </c>
      <c r="B54" s="74"/>
      <c r="C54" s="74"/>
      <c r="D54" s="86"/>
      <c r="E54" s="87">
        <f>SUM(E53:E53)</f>
        <v>2700</v>
      </c>
      <c r="F54" s="18"/>
      <c r="G54" s="18"/>
    </row>
    <row r="55" spans="1:7" customFormat="1" x14ac:dyDescent="0.2">
      <c r="A55" s="69" t="s">
        <v>25</v>
      </c>
      <c r="B55" s="70" t="s">
        <v>4</v>
      </c>
      <c r="C55" s="76">
        <f>'5.Encargos Sociais'!$C$34*100</f>
        <v>68.690000000000012</v>
      </c>
      <c r="D55" s="87">
        <f>E54</f>
        <v>2700</v>
      </c>
      <c r="E55" s="87">
        <f>D55*C55/100</f>
        <v>1854.6300000000003</v>
      </c>
      <c r="F55" s="2"/>
      <c r="G55" s="2"/>
    </row>
    <row r="56" spans="1:7" s="19" customFormat="1" x14ac:dyDescent="0.2">
      <c r="A56" s="69" t="s">
        <v>26</v>
      </c>
      <c r="B56" s="88"/>
      <c r="C56" s="88"/>
      <c r="D56" s="89"/>
      <c r="E56" s="87">
        <f>E54+E55</f>
        <v>4554.63</v>
      </c>
      <c r="F56" s="18"/>
      <c r="G56" s="18"/>
    </row>
    <row r="57" spans="1:7" customFormat="1" ht="13.5" thickBot="1" x14ac:dyDescent="0.25">
      <c r="A57" s="69" t="s">
        <v>27</v>
      </c>
      <c r="B57" s="70" t="s">
        <v>28</v>
      </c>
      <c r="C57" s="77">
        <v>1</v>
      </c>
      <c r="D57" s="87">
        <f>E56</f>
        <v>4554.63</v>
      </c>
      <c r="E57" s="87">
        <f>C57*D57</f>
        <v>4554.63</v>
      </c>
      <c r="F57" s="2"/>
      <c r="G57" s="2"/>
    </row>
    <row r="58" spans="1:7" customFormat="1" ht="13.5" thickBot="1" x14ac:dyDescent="0.25">
      <c r="A58" s="275" t="s">
        <v>163</v>
      </c>
      <c r="B58" s="275"/>
      <c r="C58" s="275"/>
      <c r="D58" s="79" t="s">
        <v>29</v>
      </c>
      <c r="E58" s="90">
        <f>8/44</f>
        <v>0.18181818181818182</v>
      </c>
      <c r="F58" s="81">
        <f>E57*E58</f>
        <v>828.11454545454546</v>
      </c>
      <c r="G58" s="3"/>
    </row>
    <row r="59" spans="1:7" customFormat="1" x14ac:dyDescent="0.2">
      <c r="A59" s="270"/>
      <c r="B59" s="270"/>
      <c r="C59" s="270"/>
      <c r="D59" s="270"/>
      <c r="E59" s="82"/>
      <c r="F59" s="83"/>
      <c r="G59" s="3"/>
    </row>
    <row r="60" spans="1:7" customFormat="1" ht="13.5" thickBot="1" x14ac:dyDescent="0.25">
      <c r="A60" s="1" t="s">
        <v>137</v>
      </c>
      <c r="B60" s="1"/>
      <c r="C60" s="1"/>
      <c r="D60" s="2"/>
      <c r="E60" s="2"/>
      <c r="F60" s="18"/>
      <c r="G60" s="2"/>
    </row>
    <row r="61" spans="1:7" customFormat="1" ht="13.5" thickBot="1" x14ac:dyDescent="0.25">
      <c r="A61" s="61" t="s">
        <v>16</v>
      </c>
      <c r="B61" s="62" t="s">
        <v>17</v>
      </c>
      <c r="C61" s="62" t="s">
        <v>8</v>
      </c>
      <c r="D61" s="63" t="s">
        <v>18</v>
      </c>
      <c r="E61" s="63" t="s">
        <v>19</v>
      </c>
      <c r="F61" s="64" t="s">
        <v>20</v>
      </c>
      <c r="G61" s="2"/>
    </row>
    <row r="62" spans="1:7" customFormat="1" x14ac:dyDescent="0.2">
      <c r="A62" s="69" t="s">
        <v>171</v>
      </c>
      <c r="B62" s="70" t="s">
        <v>30</v>
      </c>
      <c r="C62" s="91">
        <f>((C48)*21)</f>
        <v>42</v>
      </c>
      <c r="D62" s="246">
        <f>34.5*0.8</f>
        <v>27.6</v>
      </c>
      <c r="E62" s="92">
        <f>((D62*C62))</f>
        <v>1159.2</v>
      </c>
      <c r="F62" s="18"/>
      <c r="G62" s="2"/>
    </row>
    <row r="63" spans="1:7" customFormat="1" ht="13.5" thickBot="1" x14ac:dyDescent="0.25">
      <c r="A63" s="69" t="s">
        <v>141</v>
      </c>
      <c r="B63" s="70" t="s">
        <v>30</v>
      </c>
      <c r="C63" s="91">
        <v>4</v>
      </c>
      <c r="D63" s="246">
        <f>34.5*0.8</f>
        <v>27.6</v>
      </c>
      <c r="E63" s="92">
        <f>((D63*C63))</f>
        <v>110.4</v>
      </c>
      <c r="F63" s="18"/>
      <c r="G63" s="2"/>
    </row>
    <row r="64" spans="1:7" s="1" customFormat="1" ht="13.5" thickBot="1" x14ac:dyDescent="0.25">
      <c r="A64" s="93"/>
      <c r="B64" s="93"/>
      <c r="D64" s="79" t="s">
        <v>29</v>
      </c>
      <c r="E64" s="80">
        <v>1</v>
      </c>
      <c r="F64" s="94">
        <f>SUM(E62:E63)*E64</f>
        <v>1269.6000000000001</v>
      </c>
    </row>
    <row r="65" spans="1:8" customFormat="1" hidden="1" x14ac:dyDescent="0.2">
      <c r="A65" s="78"/>
      <c r="B65" s="78"/>
      <c r="C65" s="1"/>
      <c r="D65" s="79"/>
      <c r="E65" s="2"/>
      <c r="F65" s="83"/>
      <c r="G65" s="1"/>
    </row>
    <row r="66" spans="1:8" s="1" customFormat="1" ht="13.5" hidden="1" thickBot="1" x14ac:dyDescent="0.25">
      <c r="A66" s="1" t="s">
        <v>138</v>
      </c>
      <c r="B66" s="95"/>
      <c r="E66" s="96"/>
      <c r="F66" s="2"/>
    </row>
    <row r="67" spans="1:8" s="1" customFormat="1" ht="13.5" hidden="1" thickBot="1" x14ac:dyDescent="0.25">
      <c r="A67" s="61" t="s">
        <v>16</v>
      </c>
      <c r="B67" s="62" t="s">
        <v>17</v>
      </c>
      <c r="C67" s="62" t="s">
        <v>8</v>
      </c>
      <c r="D67" s="63" t="s">
        <v>18</v>
      </c>
      <c r="E67" s="63" t="s">
        <v>19</v>
      </c>
      <c r="F67" s="64" t="s">
        <v>20</v>
      </c>
    </row>
    <row r="68" spans="1:8" customFormat="1" hidden="1" x14ac:dyDescent="0.2">
      <c r="A68" s="69" t="s">
        <v>31</v>
      </c>
      <c r="B68" s="70" t="s">
        <v>32</v>
      </c>
      <c r="C68" s="97">
        <v>1</v>
      </c>
      <c r="D68" s="202">
        <v>3.5</v>
      </c>
      <c r="E68" s="98"/>
      <c r="F68" s="2"/>
      <c r="G68" s="1"/>
    </row>
    <row r="69" spans="1:8" customFormat="1" hidden="1" x14ac:dyDescent="0.2">
      <c r="A69" s="69" t="s">
        <v>129</v>
      </c>
      <c r="B69" s="70" t="s">
        <v>33</v>
      </c>
      <c r="C69" s="1">
        <v>15</v>
      </c>
      <c r="D69" s="98"/>
      <c r="E69" s="98"/>
      <c r="F69" s="2"/>
      <c r="G69" s="1"/>
    </row>
    <row r="70" spans="1:8" customFormat="1" ht="13.5" hidden="1" thickBot="1" x14ac:dyDescent="0.25">
      <c r="A70" s="69" t="s">
        <v>171</v>
      </c>
      <c r="B70" s="70" t="s">
        <v>34</v>
      </c>
      <c r="C70" s="99">
        <f>C69*E30*2</f>
        <v>60</v>
      </c>
      <c r="D70" s="84">
        <f>D68-((E40*0.06)/30)</f>
        <v>-0.71079999999999988</v>
      </c>
      <c r="E70" s="98">
        <f>IFERROR(C70*D70,"-")</f>
        <v>-42.647999999999996</v>
      </c>
      <c r="F70" s="2"/>
      <c r="G70" s="1"/>
    </row>
    <row r="71" spans="1:8" customFormat="1" ht="13.5" hidden="1" thickBot="1" x14ac:dyDescent="0.25">
      <c r="A71" s="1"/>
      <c r="B71" s="1"/>
      <c r="C71" s="1"/>
      <c r="D71" s="2"/>
      <c r="E71" s="2"/>
      <c r="F71" s="100">
        <f>SUM(E70:E70)-E70</f>
        <v>0</v>
      </c>
      <c r="G71" s="1"/>
      <c r="H71" s="1"/>
    </row>
    <row r="72" spans="1:8" customFormat="1" ht="10.9" hidden="1" customHeight="1" x14ac:dyDescent="0.2">
      <c r="A72" s="78"/>
      <c r="B72" s="78"/>
      <c r="C72" s="1"/>
      <c r="D72" s="79"/>
      <c r="E72" s="2"/>
      <c r="F72" s="83"/>
      <c r="G72" s="1"/>
      <c r="H72" s="1"/>
    </row>
    <row r="73" spans="1:8" customFormat="1" ht="13.5" hidden="1" thickBot="1" x14ac:dyDescent="0.25">
      <c r="A73" s="1" t="s">
        <v>139</v>
      </c>
      <c r="B73" s="1"/>
      <c r="C73" s="1"/>
      <c r="D73" s="2"/>
      <c r="E73" s="2"/>
      <c r="F73" s="18"/>
      <c r="G73" s="1"/>
      <c r="H73" s="1"/>
    </row>
    <row r="74" spans="1:8" s="1" customFormat="1" ht="13.5" hidden="1" thickBot="1" x14ac:dyDescent="0.25">
      <c r="A74" s="61" t="s">
        <v>16</v>
      </c>
      <c r="B74" s="62" t="s">
        <v>17</v>
      </c>
      <c r="C74" s="62" t="s">
        <v>8</v>
      </c>
      <c r="D74" s="63" t="s">
        <v>18</v>
      </c>
      <c r="E74" s="63" t="s">
        <v>19</v>
      </c>
      <c r="F74" s="64" t="s">
        <v>20</v>
      </c>
    </row>
    <row r="75" spans="1:8" s="1" customFormat="1" ht="13.5" hidden="1" thickBot="1" x14ac:dyDescent="0.25">
      <c r="A75" s="69" t="s">
        <v>35</v>
      </c>
      <c r="B75" s="70" t="s">
        <v>30</v>
      </c>
      <c r="C75" s="91">
        <v>0</v>
      </c>
      <c r="D75" s="245">
        <v>24.1</v>
      </c>
      <c r="E75" s="101">
        <f>C75*D75</f>
        <v>0</v>
      </c>
      <c r="F75" s="18"/>
    </row>
    <row r="76" spans="1:8" s="1" customFormat="1" ht="13.5" hidden="1" thickBot="1" x14ac:dyDescent="0.25">
      <c r="A76" s="93"/>
      <c r="B76" s="93"/>
      <c r="D76" s="79" t="s">
        <v>29</v>
      </c>
      <c r="E76" s="90">
        <v>1</v>
      </c>
      <c r="F76" s="102">
        <f>SUM(E75:E75)*E76</f>
        <v>0</v>
      </c>
    </row>
    <row r="77" spans="1:8" customFormat="1" ht="13.5" thickBot="1" x14ac:dyDescent="0.25">
      <c r="A77" s="78"/>
      <c r="B77" s="78"/>
      <c r="C77" s="1"/>
      <c r="D77" s="79"/>
      <c r="E77" s="2"/>
      <c r="F77" s="83"/>
      <c r="G77" s="1"/>
      <c r="H77" s="1"/>
    </row>
    <row r="78" spans="1:8" customFormat="1" ht="13.5" hidden="1" thickBot="1" x14ac:dyDescent="0.25">
      <c r="A78" s="78"/>
      <c r="B78" s="78"/>
      <c r="C78" s="1"/>
      <c r="D78" s="79"/>
      <c r="E78" s="2"/>
      <c r="F78" s="83"/>
      <c r="G78" s="1"/>
      <c r="H78" s="1"/>
    </row>
    <row r="79" spans="1:8" customFormat="1" ht="13.5" hidden="1" thickBot="1" x14ac:dyDescent="0.25">
      <c r="A79" s="78"/>
      <c r="B79" s="78"/>
      <c r="C79" s="1"/>
      <c r="D79" s="79"/>
      <c r="E79" s="2"/>
      <c r="F79" s="83"/>
      <c r="G79" s="1"/>
      <c r="H79" s="1"/>
    </row>
    <row r="80" spans="1:8" customFormat="1" ht="13.5" hidden="1" thickBot="1" x14ac:dyDescent="0.25">
      <c r="A80" s="78"/>
      <c r="B80" s="78"/>
      <c r="C80" s="1"/>
      <c r="D80" s="79"/>
      <c r="E80" s="2"/>
      <c r="F80" s="83"/>
      <c r="G80" s="1"/>
      <c r="H80" s="1"/>
    </row>
    <row r="81" spans="1:8" customFormat="1" ht="13.5" hidden="1" thickBot="1" x14ac:dyDescent="0.25">
      <c r="A81" s="78"/>
      <c r="B81" s="78"/>
      <c r="C81" s="1"/>
      <c r="D81" s="79"/>
      <c r="E81" s="2"/>
      <c r="F81" s="83"/>
      <c r="G81" s="1"/>
      <c r="H81" s="1"/>
    </row>
    <row r="82" spans="1:8" customFormat="1" ht="9" hidden="1" customHeight="1" x14ac:dyDescent="0.2">
      <c r="A82" s="1"/>
      <c r="B82" s="1"/>
      <c r="C82" s="1"/>
      <c r="D82" s="2"/>
      <c r="E82" s="2"/>
      <c r="F82" s="2"/>
      <c r="G82" s="1"/>
      <c r="H82" s="1"/>
    </row>
    <row r="83" spans="1:8" s="1" customFormat="1" ht="13.5" thickBot="1" x14ac:dyDescent="0.25">
      <c r="A83" s="103" t="s">
        <v>36</v>
      </c>
      <c r="B83" s="104"/>
      <c r="C83" s="104"/>
      <c r="D83" s="105"/>
      <c r="E83" s="106"/>
      <c r="F83" s="107">
        <f>F64+F58+F71+F76+F49</f>
        <v>12752.512325454547</v>
      </c>
      <c r="H83" s="108"/>
    </row>
    <row r="84" spans="1:8" customFormat="1" ht="15" customHeight="1" x14ac:dyDescent="0.2">
      <c r="A84" s="1"/>
      <c r="B84" s="1"/>
      <c r="C84" s="1"/>
      <c r="D84" s="2"/>
      <c r="E84" s="2"/>
      <c r="F84" s="2"/>
      <c r="G84" s="2"/>
      <c r="H84" s="1"/>
    </row>
    <row r="85" spans="1:8" customFormat="1" x14ac:dyDescent="0.2">
      <c r="A85" s="19" t="s">
        <v>37</v>
      </c>
      <c r="B85" s="1"/>
      <c r="C85" s="1"/>
      <c r="D85" s="2"/>
      <c r="E85" s="2"/>
      <c r="F85" s="2"/>
      <c r="G85" s="1"/>
      <c r="H85" s="1"/>
    </row>
    <row r="86" spans="1:8" customFormat="1" ht="13.9" customHeight="1" thickBot="1" x14ac:dyDescent="0.25">
      <c r="A86" s="1" t="s">
        <v>38</v>
      </c>
      <c r="B86" s="1"/>
      <c r="C86" s="1"/>
      <c r="D86" s="2"/>
      <c r="E86" s="2"/>
      <c r="F86" s="2"/>
      <c r="G86" s="1"/>
    </row>
    <row r="87" spans="1:8" s="1" customFormat="1" ht="27.75" customHeight="1" thickBot="1" x14ac:dyDescent="0.25">
      <c r="A87" s="61" t="s">
        <v>16</v>
      </c>
      <c r="B87" s="62" t="s">
        <v>17</v>
      </c>
      <c r="C87" s="109" t="s">
        <v>39</v>
      </c>
      <c r="D87" s="63" t="s">
        <v>18</v>
      </c>
      <c r="E87" s="63" t="s">
        <v>19</v>
      </c>
      <c r="F87" s="64" t="s">
        <v>20</v>
      </c>
    </row>
    <row r="88" spans="1:8" customFormat="1" ht="13.15" customHeight="1" x14ac:dyDescent="0.2">
      <c r="A88" s="69" t="s">
        <v>179</v>
      </c>
      <c r="B88" s="70" t="s">
        <v>30</v>
      </c>
      <c r="C88" s="97">
        <v>6</v>
      </c>
      <c r="D88" s="251">
        <v>100</v>
      </c>
      <c r="E88" s="85">
        <f>IFERROR(D88/C88,0)</f>
        <v>16.666666666666668</v>
      </c>
      <c r="F88" s="2"/>
      <c r="G88" s="1"/>
    </row>
    <row r="89" spans="1:8" customFormat="1" ht="13.15" customHeight="1" x14ac:dyDescent="0.2">
      <c r="A89" s="69" t="s">
        <v>180</v>
      </c>
      <c r="B89" s="70" t="s">
        <v>30</v>
      </c>
      <c r="C89" s="97">
        <v>12</v>
      </c>
      <c r="D89" s="251">
        <v>29</v>
      </c>
      <c r="E89" s="85">
        <f>IFERROR(D89/C89,0)</f>
        <v>2.4166666666666665</v>
      </c>
      <c r="F89" s="2"/>
      <c r="G89" s="1"/>
    </row>
    <row r="90" spans="1:8" customFormat="1" ht="13.15" customHeight="1" x14ac:dyDescent="0.2">
      <c r="A90" s="69" t="s">
        <v>40</v>
      </c>
      <c r="B90" s="70" t="s">
        <v>30</v>
      </c>
      <c r="C90" s="97">
        <v>12</v>
      </c>
      <c r="D90" s="251">
        <v>170</v>
      </c>
      <c r="E90" s="85">
        <f>IFERROR(D90/C90,0)</f>
        <v>14.166666666666666</v>
      </c>
      <c r="F90" s="2"/>
      <c r="G90" s="1"/>
    </row>
    <row r="91" spans="1:8" customFormat="1" x14ac:dyDescent="0.2">
      <c r="A91" s="69" t="s">
        <v>41</v>
      </c>
      <c r="B91" s="70" t="s">
        <v>30</v>
      </c>
      <c r="C91" s="97">
        <v>8</v>
      </c>
      <c r="D91" s="251">
        <v>82</v>
      </c>
      <c r="E91" s="85">
        <f>IFERROR(D91/C91,0)</f>
        <v>10.25</v>
      </c>
      <c r="F91" s="2"/>
      <c r="G91" s="1"/>
    </row>
    <row r="92" spans="1:8" customFormat="1" ht="13.9" customHeight="1" x14ac:dyDescent="0.2">
      <c r="A92" s="69" t="s">
        <v>42</v>
      </c>
      <c r="B92" s="70" t="s">
        <v>43</v>
      </c>
      <c r="C92" s="97">
        <v>8</v>
      </c>
      <c r="D92" s="251">
        <v>75</v>
      </c>
      <c r="E92" s="85">
        <f>IFERROR(D92/C92,0)</f>
        <v>9.375</v>
      </c>
      <c r="F92" s="2"/>
      <c r="G92" s="1"/>
    </row>
    <row r="93" spans="1:8" customFormat="1" ht="13.5" thickBot="1" x14ac:dyDescent="0.25">
      <c r="A93" s="271" t="s">
        <v>44</v>
      </c>
      <c r="B93" s="271"/>
      <c r="C93" s="97">
        <f>E30</f>
        <v>2</v>
      </c>
      <c r="D93" s="87">
        <f>+SUM(E88:E92)</f>
        <v>52.875</v>
      </c>
      <c r="E93" s="87">
        <f>C93*D93</f>
        <v>105.75</v>
      </c>
      <c r="F93" s="2"/>
      <c r="G93" s="2"/>
    </row>
    <row r="94" spans="1:8" customFormat="1" ht="13.5" thickBot="1" x14ac:dyDescent="0.25">
      <c r="A94" s="1"/>
      <c r="B94" s="1"/>
      <c r="C94" s="1"/>
      <c r="D94" s="79" t="s">
        <v>29</v>
      </c>
      <c r="E94" s="90">
        <f>$B$35</f>
        <v>1</v>
      </c>
      <c r="F94" s="81">
        <f>E93*E94</f>
        <v>105.75</v>
      </c>
      <c r="G94" s="2"/>
    </row>
    <row r="95" spans="1:8" customFormat="1" ht="11.25" customHeight="1" thickBot="1" x14ac:dyDescent="0.25">
      <c r="A95" s="1"/>
      <c r="B95" s="1"/>
      <c r="C95" s="1"/>
      <c r="D95" s="2"/>
      <c r="E95" s="2"/>
      <c r="F95" s="2"/>
      <c r="G95" s="1"/>
    </row>
    <row r="96" spans="1:8" s="1" customFormat="1" ht="13.5" thickBot="1" x14ac:dyDescent="0.25">
      <c r="A96" s="103" t="s">
        <v>45</v>
      </c>
      <c r="B96" s="110"/>
      <c r="C96" s="110"/>
      <c r="D96" s="111"/>
      <c r="E96" s="112"/>
      <c r="F96" s="113">
        <f>+F94</f>
        <v>105.75</v>
      </c>
    </row>
    <row r="97" spans="1:7" customFormat="1" ht="11.25" customHeight="1" x14ac:dyDescent="0.2">
      <c r="A97" s="1"/>
      <c r="B97" s="1"/>
      <c r="C97" s="1"/>
      <c r="D97" s="2"/>
      <c r="E97" s="2"/>
      <c r="F97" s="2"/>
      <c r="G97" s="1"/>
    </row>
    <row r="98" spans="1:7" customFormat="1" ht="18" customHeight="1" thickBot="1" x14ac:dyDescent="0.25">
      <c r="A98" s="203" t="s">
        <v>140</v>
      </c>
      <c r="B98" s="204"/>
      <c r="C98" s="204"/>
      <c r="D98" s="205"/>
      <c r="E98" s="205"/>
      <c r="F98" s="206"/>
      <c r="G98" s="1"/>
    </row>
    <row r="99" spans="1:7" customFormat="1" ht="18" customHeight="1" thickBot="1" x14ac:dyDescent="0.25">
      <c r="A99" s="61" t="s">
        <v>16</v>
      </c>
      <c r="B99" s="62" t="s">
        <v>17</v>
      </c>
      <c r="C99" s="109" t="s">
        <v>8</v>
      </c>
      <c r="D99" s="63" t="s">
        <v>18</v>
      </c>
      <c r="E99" s="63" t="s">
        <v>19</v>
      </c>
      <c r="F99" s="64" t="s">
        <v>130</v>
      </c>
      <c r="G99" s="1"/>
    </row>
    <row r="100" spans="1:7" customFormat="1" ht="18" customHeight="1" x14ac:dyDescent="0.2">
      <c r="A100" s="200" t="s">
        <v>181</v>
      </c>
      <c r="B100" s="201" t="s">
        <v>178</v>
      </c>
      <c r="C100" s="207">
        <v>2</v>
      </c>
      <c r="D100" s="208">
        <v>44</v>
      </c>
      <c r="E100" s="209">
        <f>(D100*C100)/12</f>
        <v>7.333333333333333</v>
      </c>
      <c r="F100" s="206"/>
      <c r="G100" s="1"/>
    </row>
    <row r="101" spans="1:7" customFormat="1" ht="18" customHeight="1" x14ac:dyDescent="0.2">
      <c r="A101" s="200" t="s">
        <v>177</v>
      </c>
      <c r="B101" s="201" t="s">
        <v>178</v>
      </c>
      <c r="C101" s="207">
        <v>2</v>
      </c>
      <c r="D101" s="208">
        <v>10</v>
      </c>
      <c r="E101" s="209">
        <f>(D101*C101)/12</f>
        <v>1.6666666666666667</v>
      </c>
      <c r="F101" s="206"/>
      <c r="G101" s="1"/>
    </row>
    <row r="102" spans="1:7" customFormat="1" ht="18" customHeight="1" x14ac:dyDescent="0.2">
      <c r="A102" s="252" t="s">
        <v>182</v>
      </c>
      <c r="B102" s="201" t="s">
        <v>178</v>
      </c>
      <c r="C102" s="207">
        <v>1</v>
      </c>
      <c r="D102" s="208">
        <v>37</v>
      </c>
      <c r="E102" s="209">
        <f>(D102*C102)/12</f>
        <v>3.0833333333333335</v>
      </c>
      <c r="F102" s="206"/>
      <c r="G102" s="1"/>
    </row>
    <row r="103" spans="1:7" customFormat="1" ht="26.25" customHeight="1" thickBot="1" x14ac:dyDescent="0.25">
      <c r="A103" s="224" t="s">
        <v>143</v>
      </c>
      <c r="B103" s="201" t="s">
        <v>183</v>
      </c>
      <c r="C103" s="207">
        <f>5*30</f>
        <v>150</v>
      </c>
      <c r="D103" s="208">
        <v>2.1</v>
      </c>
      <c r="E103" s="209">
        <f>D103*C103</f>
        <v>315</v>
      </c>
      <c r="F103" s="206"/>
      <c r="G103" s="1"/>
    </row>
    <row r="104" spans="1:7" customFormat="1" ht="18" customHeight="1" thickBot="1" x14ac:dyDescent="0.25">
      <c r="A104" s="277"/>
      <c r="B104" s="277"/>
      <c r="C104" s="204"/>
      <c r="D104" s="210" t="s">
        <v>29</v>
      </c>
      <c r="E104" s="211">
        <v>1</v>
      </c>
      <c r="F104" s="113">
        <f>SUM(E100:E103)*E104</f>
        <v>327.08333333333331</v>
      </c>
      <c r="G104" s="1"/>
    </row>
    <row r="105" spans="1:7" customFormat="1" ht="11.25" customHeight="1" x14ac:dyDescent="0.2">
      <c r="A105" s="1"/>
      <c r="B105" s="1"/>
      <c r="C105" s="1"/>
      <c r="D105" s="2"/>
      <c r="E105" s="2"/>
      <c r="F105" s="2"/>
      <c r="G105" s="1"/>
    </row>
    <row r="106" spans="1:7" customFormat="1" ht="13.5" thickBot="1" x14ac:dyDescent="0.25">
      <c r="A106" s="19" t="s">
        <v>131</v>
      </c>
      <c r="B106" s="19"/>
      <c r="C106" s="19"/>
      <c r="D106" s="18"/>
      <c r="E106" s="18"/>
      <c r="F106" s="114"/>
      <c r="G106" s="2"/>
    </row>
    <row r="107" spans="1:7" customFormat="1" x14ac:dyDescent="0.2">
      <c r="A107" s="115" t="s">
        <v>16</v>
      </c>
      <c r="B107" s="116" t="s">
        <v>17</v>
      </c>
      <c r="C107" s="116" t="s">
        <v>8</v>
      </c>
      <c r="D107" s="117" t="s">
        <v>18</v>
      </c>
      <c r="E107" s="117" t="s">
        <v>19</v>
      </c>
      <c r="F107" s="118" t="s">
        <v>20</v>
      </c>
      <c r="G107" s="2"/>
    </row>
    <row r="108" spans="1:7" customFormat="1" x14ac:dyDescent="0.2">
      <c r="A108" s="119" t="s">
        <v>46</v>
      </c>
      <c r="B108" s="120" t="s">
        <v>4</v>
      </c>
      <c r="C108" s="121">
        <f>'6.BDI'!C18</f>
        <v>0.22639999999999999</v>
      </c>
      <c r="D108" s="122">
        <f>F83+F96+F104</f>
        <v>13185.345658787881</v>
      </c>
      <c r="E108" s="122">
        <f>D108*C108</f>
        <v>2985.1622571495759</v>
      </c>
      <c r="F108" s="123"/>
      <c r="G108" s="2"/>
    </row>
    <row r="109" spans="1:7" customFormat="1" ht="13.5" thickBot="1" x14ac:dyDescent="0.25">
      <c r="A109" s="124"/>
      <c r="B109" s="124"/>
      <c r="C109" s="124"/>
      <c r="D109" s="124"/>
      <c r="E109" s="124"/>
      <c r="F109" s="125"/>
      <c r="G109" s="2"/>
    </row>
    <row r="110" spans="1:7" customFormat="1" ht="13.5" thickBot="1" x14ac:dyDescent="0.25">
      <c r="A110" s="272" t="s">
        <v>132</v>
      </c>
      <c r="B110" s="272"/>
      <c r="C110" s="272"/>
      <c r="D110" s="272"/>
      <c r="E110" s="272"/>
      <c r="F110" s="113">
        <f>E108</f>
        <v>2985.1622571495759</v>
      </c>
      <c r="G110" s="2"/>
    </row>
    <row r="111" spans="1:7" customFormat="1" ht="11.25" customHeight="1" thickBot="1" x14ac:dyDescent="0.25">
      <c r="A111" s="1"/>
      <c r="B111" s="1"/>
      <c r="C111" s="1"/>
      <c r="D111" s="2"/>
      <c r="E111" s="2"/>
      <c r="F111" s="2"/>
      <c r="G111" s="2"/>
    </row>
    <row r="112" spans="1:7" customFormat="1" ht="24.75" customHeight="1" thickBot="1" x14ac:dyDescent="0.25">
      <c r="A112" s="126" t="s">
        <v>47</v>
      </c>
      <c r="B112" s="127"/>
      <c r="C112" s="127"/>
      <c r="D112" s="128"/>
      <c r="E112" s="129"/>
      <c r="F112" s="94">
        <f>F83+F96+F110+F104</f>
        <v>16170.507915937456</v>
      </c>
      <c r="G112" s="2"/>
    </row>
    <row r="113" spans="1:7" customFormat="1" ht="12.6" customHeight="1" thickBot="1" x14ac:dyDescent="0.25">
      <c r="A113" s="130"/>
      <c r="B113" s="130"/>
      <c r="C113" s="130"/>
      <c r="D113" s="131"/>
      <c r="E113" s="131"/>
      <c r="F113" s="131"/>
      <c r="G113" s="2"/>
    </row>
    <row r="114" spans="1:7" customFormat="1" ht="12.6" customHeight="1" thickBot="1" x14ac:dyDescent="0.25">
      <c r="A114" s="126" t="s">
        <v>154</v>
      </c>
      <c r="B114" s="127"/>
      <c r="C114" s="127"/>
      <c r="D114" s="243">
        <v>2</v>
      </c>
      <c r="E114" s="242" t="s">
        <v>153</v>
      </c>
      <c r="F114" s="94">
        <f>F112/D114</f>
        <v>8085.2539579687282</v>
      </c>
      <c r="G114" s="2"/>
    </row>
    <row r="115" spans="1:7" customFormat="1" ht="12.6" customHeight="1" thickBot="1" x14ac:dyDescent="0.25">
      <c r="A115" s="130"/>
      <c r="B115" s="130"/>
      <c r="C115" s="130"/>
      <c r="D115" s="131"/>
      <c r="E115" s="131"/>
      <c r="F115" s="131"/>
      <c r="G115" s="2"/>
    </row>
    <row r="116" spans="1:7" customFormat="1" ht="13.5" thickBot="1" x14ac:dyDescent="0.25">
      <c r="A116" s="126" t="s">
        <v>48</v>
      </c>
      <c r="B116" s="127"/>
      <c r="C116" s="127"/>
      <c r="D116" s="128"/>
      <c r="E116" s="129"/>
      <c r="F116" s="94">
        <f>F112/C93</f>
        <v>8085.2539579687282</v>
      </c>
      <c r="G116" s="2"/>
    </row>
    <row r="118" spans="1:7" customFormat="1" ht="13.5" thickBot="1" x14ac:dyDescent="0.25">
      <c r="A118" s="126" t="s">
        <v>49</v>
      </c>
      <c r="B118" s="29"/>
      <c r="C118" s="132"/>
      <c r="D118" s="128"/>
      <c r="E118" s="129"/>
      <c r="F118" s="94">
        <f>F116/188.32</f>
        <v>42.933591535517884</v>
      </c>
      <c r="G118" s="2"/>
    </row>
    <row r="120" spans="1:7" customFormat="1" x14ac:dyDescent="0.2">
      <c r="A120" s="19" t="s">
        <v>50</v>
      </c>
      <c r="B120" s="1"/>
      <c r="C120" s="1"/>
      <c r="D120" s="2"/>
      <c r="E120" s="2"/>
      <c r="F120" s="2"/>
      <c r="G120" s="2"/>
    </row>
    <row r="123" spans="1:7" customFormat="1" x14ac:dyDescent="0.2">
      <c r="F123" s="82"/>
    </row>
    <row r="124" spans="1:7" customFormat="1" x14ac:dyDescent="0.2">
      <c r="F124" s="133"/>
    </row>
    <row r="147" s="1" customFormat="1" ht="9" customHeight="1" x14ac:dyDescent="0.2"/>
  </sheetData>
  <mergeCells count="13">
    <mergeCell ref="A21:E21"/>
    <mergeCell ref="A1:F1"/>
    <mergeCell ref="A2:F3"/>
    <mergeCell ref="A4:F4"/>
    <mergeCell ref="A6:F6"/>
    <mergeCell ref="A14:C14"/>
    <mergeCell ref="A110:E110"/>
    <mergeCell ref="A22:D22"/>
    <mergeCell ref="A38:F38"/>
    <mergeCell ref="A58:C58"/>
    <mergeCell ref="A59:D59"/>
    <mergeCell ref="A93:B93"/>
    <mergeCell ref="A104:B104"/>
  </mergeCells>
  <printOptions horizontalCentered="1"/>
  <pageMargins left="0.70866141732283472" right="0.70866141732283472" top="0.74803149606299213" bottom="0.74803149606299213" header="0.70866141732283472" footer="0.70866141732283472"/>
  <pageSetup paperSize="9" scale="73" firstPageNumber="0" fitToHeight="2" orientation="portrait" r:id="rId1"/>
  <headerFooter>
    <oddFooter>&amp;R&amp;P de &amp;N</oddFooter>
  </headerFooter>
  <rowBreaks count="1" manualBreakCount="1">
    <brk id="35" max="16383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MK148"/>
  <sheetViews>
    <sheetView zoomScale="120" zoomScaleNormal="120" workbookViewId="0">
      <pane ySplit="1" topLeftCell="A2" activePane="bottomLeft" state="frozen"/>
      <selection activeCell="A17" sqref="A17"/>
      <selection pane="bottomLeft" activeCell="A17" sqref="A17"/>
    </sheetView>
  </sheetViews>
  <sheetFormatPr defaultRowHeight="12.75" x14ac:dyDescent="0.2"/>
  <cols>
    <col min="1" max="1" width="44.42578125" style="1" customWidth="1"/>
    <col min="2" max="2" width="16.140625" style="1" customWidth="1"/>
    <col min="3" max="3" width="14.5703125" style="1" customWidth="1"/>
    <col min="4" max="4" width="14.7109375" style="2" customWidth="1"/>
    <col min="5" max="5" width="15.28515625" style="2" customWidth="1"/>
    <col min="6" max="6" width="15" style="2" customWidth="1"/>
    <col min="7" max="7" width="28" style="2" customWidth="1"/>
    <col min="8" max="8" width="23.85546875" style="1" hidden="1" customWidth="1"/>
    <col min="9" max="9" width="14.5703125" style="1" customWidth="1"/>
    <col min="10" max="10" width="13.42578125" style="1" customWidth="1"/>
    <col min="11" max="1025" width="9.28515625" style="1" customWidth="1"/>
  </cols>
  <sheetData>
    <row r="1" spans="1:7" s="4" customFormat="1" ht="21.75" customHeight="1" thickBot="1" x14ac:dyDescent="0.25">
      <c r="A1" s="278" t="s">
        <v>159</v>
      </c>
      <c r="B1" s="278"/>
      <c r="C1" s="278"/>
      <c r="D1" s="278"/>
      <c r="E1" s="278"/>
      <c r="F1" s="278"/>
      <c r="G1" s="3"/>
    </row>
    <row r="2" spans="1:7" s="6" customFormat="1" ht="12.6" customHeight="1" thickBot="1" x14ac:dyDescent="0.25">
      <c r="A2" s="279" t="s">
        <v>174</v>
      </c>
      <c r="B2" s="279"/>
      <c r="C2" s="279"/>
      <c r="D2" s="279"/>
      <c r="E2" s="279"/>
      <c r="F2" s="279"/>
      <c r="G2" s="5"/>
    </row>
    <row r="3" spans="1:7" s="6" customFormat="1" ht="10.9" customHeight="1" x14ac:dyDescent="0.2">
      <c r="A3" s="279"/>
      <c r="B3" s="279"/>
      <c r="C3" s="279"/>
      <c r="D3" s="279"/>
      <c r="E3" s="279"/>
      <c r="F3" s="279"/>
      <c r="G3" s="5"/>
    </row>
    <row r="4" spans="1:7" s="6" customFormat="1" ht="21.75" customHeight="1" x14ac:dyDescent="0.2">
      <c r="A4" s="280" t="s">
        <v>0</v>
      </c>
      <c r="B4" s="280"/>
      <c r="C4" s="280"/>
      <c r="D4" s="280"/>
      <c r="E4" s="280"/>
      <c r="F4" s="280"/>
      <c r="G4" s="5"/>
    </row>
    <row r="5" spans="1:7" s="4" customFormat="1" ht="10.9" customHeight="1" thickBot="1" x14ac:dyDescent="0.25">
      <c r="A5" s="7"/>
      <c r="B5" s="8"/>
      <c r="C5" s="8"/>
      <c r="D5" s="3"/>
      <c r="E5" s="3"/>
      <c r="F5" s="9"/>
      <c r="G5" s="3"/>
    </row>
    <row r="6" spans="1:7" s="4" customFormat="1" ht="15.75" customHeight="1" thickBot="1" x14ac:dyDescent="0.25">
      <c r="A6" s="273" t="s">
        <v>1</v>
      </c>
      <c r="B6" s="273"/>
      <c r="C6" s="273"/>
      <c r="D6" s="273"/>
      <c r="E6" s="273"/>
      <c r="F6" s="273"/>
      <c r="G6" s="3"/>
    </row>
    <row r="7" spans="1:7" s="4" customFormat="1" ht="15.75" customHeight="1" x14ac:dyDescent="0.2">
      <c r="A7" s="10" t="s">
        <v>2</v>
      </c>
      <c r="B7" s="11"/>
      <c r="C7" s="11"/>
      <c r="D7" s="12"/>
      <c r="E7" s="13" t="s">
        <v>3</v>
      </c>
      <c r="F7" s="14" t="s">
        <v>4</v>
      </c>
      <c r="G7" s="3"/>
    </row>
    <row r="8" spans="1:7" s="19" customFormat="1" ht="15.75" customHeight="1" x14ac:dyDescent="0.2">
      <c r="A8" s="15" t="str">
        <f>A37</f>
        <v>1. Mão de obra</v>
      </c>
      <c r="B8" s="16"/>
      <c r="C8" s="17"/>
      <c r="D8" s="17"/>
      <c r="E8" s="213">
        <f>+F83</f>
        <v>13901.481507774546</v>
      </c>
      <c r="F8" s="214">
        <f t="shared" ref="F8:F17" si="0">IFERROR(E8/$E$18,0)</f>
        <v>0.78925914224462568</v>
      </c>
      <c r="G8" s="18"/>
    </row>
    <row r="9" spans="1:7" s="4" customFormat="1" ht="15.75" customHeight="1" x14ac:dyDescent="0.2">
      <c r="A9" s="20" t="str">
        <f>A38</f>
        <v>1.1. Categoria Profissional de Vigilante (02 Postos de 8:48 horas noturnas)</v>
      </c>
      <c r="B9" s="21"/>
      <c r="C9" s="22"/>
      <c r="D9" s="22"/>
      <c r="E9" s="215">
        <f>F49</f>
        <v>11803.76696232</v>
      </c>
      <c r="F9" s="216">
        <f t="shared" si="0"/>
        <v>0.67016101720711829</v>
      </c>
      <c r="G9" s="3"/>
    </row>
    <row r="10" spans="1:7" s="4" customFormat="1" ht="15.6" customHeight="1" x14ac:dyDescent="0.2">
      <c r="A10" s="20" t="str">
        <f>A51</f>
        <v>1.2. Encarregado/Supervisor</v>
      </c>
      <c r="B10" s="21"/>
      <c r="C10" s="22"/>
      <c r="D10" s="22"/>
      <c r="E10" s="215">
        <f>F58</f>
        <v>828.11454545454546</v>
      </c>
      <c r="F10" s="216">
        <f t="shared" si="0"/>
        <v>4.70163540094789E-2</v>
      </c>
      <c r="G10" s="3"/>
    </row>
    <row r="11" spans="1:7" s="4" customFormat="1" ht="15.75" customHeight="1" x14ac:dyDescent="0.2">
      <c r="A11" s="20" t="str">
        <f>A60</f>
        <v>1.3. Auxílio Alimentação</v>
      </c>
      <c r="B11" s="21"/>
      <c r="C11" s="22"/>
      <c r="D11" s="22"/>
      <c r="E11" s="215">
        <f>F64</f>
        <v>1269.6000000000001</v>
      </c>
      <c r="F11" s="216">
        <f t="shared" si="0"/>
        <v>7.2081771028028471E-2</v>
      </c>
      <c r="G11" s="3"/>
    </row>
    <row r="12" spans="1:7" s="4" customFormat="1" ht="15.75" hidden="1" customHeight="1" x14ac:dyDescent="0.2">
      <c r="A12" s="20" t="str">
        <f>A66</f>
        <v>1.4. Vale Transporte</v>
      </c>
      <c r="B12" s="21"/>
      <c r="C12" s="22"/>
      <c r="D12" s="22"/>
      <c r="E12" s="215">
        <f>F71</f>
        <v>0</v>
      </c>
      <c r="F12" s="216">
        <f t="shared" si="0"/>
        <v>0</v>
      </c>
      <c r="G12" s="3"/>
    </row>
    <row r="13" spans="1:7" s="4" customFormat="1" ht="15.75" hidden="1" customHeight="1" x14ac:dyDescent="0.2">
      <c r="A13" s="20" t="str">
        <f>A73</f>
        <v xml:space="preserve">1.5. Plano de Benefício Social  </v>
      </c>
      <c r="B13" s="21"/>
      <c r="C13" s="22"/>
      <c r="D13" s="22"/>
      <c r="E13" s="215">
        <f>F76</f>
        <v>0</v>
      </c>
      <c r="F13" s="216">
        <f t="shared" si="0"/>
        <v>0</v>
      </c>
      <c r="G13" s="3"/>
    </row>
    <row r="14" spans="1:7" s="19" customFormat="1" ht="15.75" customHeight="1" x14ac:dyDescent="0.2">
      <c r="A14" s="281" t="str">
        <f>A85</f>
        <v>2. Uniformes e Equipamentos de Proteção Individual</v>
      </c>
      <c r="B14" s="281"/>
      <c r="C14" s="281"/>
      <c r="D14" s="17"/>
      <c r="E14" s="213">
        <f>+F96</f>
        <v>105.75</v>
      </c>
      <c r="F14" s="214">
        <f t="shared" si="0"/>
        <v>6.0039754932372479E-3</v>
      </c>
      <c r="G14" s="18"/>
    </row>
    <row r="15" spans="1:7" s="19" customFormat="1" ht="15.75" customHeight="1" x14ac:dyDescent="0.2">
      <c r="A15" s="24" t="str">
        <f>A86</f>
        <v>2.1. Uniformes e EPIs</v>
      </c>
      <c r="B15" s="25"/>
      <c r="C15" s="25"/>
      <c r="D15" s="17"/>
      <c r="E15" s="217">
        <f>F94</f>
        <v>105.75</v>
      </c>
      <c r="F15" s="214">
        <f t="shared" si="0"/>
        <v>6.0039754932372479E-3</v>
      </c>
      <c r="G15" s="18"/>
    </row>
    <row r="16" spans="1:7" s="19" customFormat="1" ht="15.75" customHeight="1" x14ac:dyDescent="0.2">
      <c r="A16" s="212" t="str">
        <f>A98</f>
        <v>3. Veículo de apoio para deslocamento e materiais de consumo</v>
      </c>
      <c r="B16" s="25"/>
      <c r="C16" s="25"/>
      <c r="D16" s="17"/>
      <c r="E16" s="218">
        <f>F105</f>
        <v>354.58333333333331</v>
      </c>
      <c r="F16" s="214">
        <f t="shared" si="0"/>
        <v>2.0131533273226549E-2</v>
      </c>
      <c r="G16" s="18"/>
    </row>
    <row r="17" spans="1:9" s="19" customFormat="1" ht="15.75" customHeight="1" thickBot="1" x14ac:dyDescent="0.25">
      <c r="A17" s="23" t="str">
        <f>A107</f>
        <v>4. Benefícios e Despesas Indiretas (BDI)</v>
      </c>
      <c r="B17" s="26"/>
      <c r="C17" s="17"/>
      <c r="D17" s="17"/>
      <c r="E17" s="219">
        <f>F111</f>
        <v>3251.5148800268239</v>
      </c>
      <c r="F17" s="214">
        <f t="shared" si="0"/>
        <v>0.18460534898891065</v>
      </c>
      <c r="G17" s="18"/>
    </row>
    <row r="18" spans="1:9" s="4" customFormat="1" ht="15.75" customHeight="1" thickBot="1" x14ac:dyDescent="0.25">
      <c r="A18" s="27" t="s">
        <v>5</v>
      </c>
      <c r="B18" s="28"/>
      <c r="C18" s="29"/>
      <c r="D18" s="29"/>
      <c r="E18" s="30">
        <f>E8+E14+E17+E16</f>
        <v>17613.329721134702</v>
      </c>
      <c r="F18" s="31">
        <f>F8+F14+F17+F16</f>
        <v>1.0000000000000002</v>
      </c>
      <c r="G18" s="3"/>
    </row>
    <row r="19" spans="1:9" s="4" customFormat="1" ht="15.75" customHeight="1" x14ac:dyDescent="0.2">
      <c r="A19" s="32"/>
      <c r="B19" s="33"/>
      <c r="C19" s="18"/>
      <c r="D19" s="18"/>
      <c r="E19" s="34"/>
      <c r="F19" s="35"/>
      <c r="G19" s="3"/>
    </row>
    <row r="20" spans="1:9" ht="13.5" thickBot="1" x14ac:dyDescent="0.25"/>
    <row r="21" spans="1:9" s="4" customFormat="1" ht="15" customHeight="1" thickBot="1" x14ac:dyDescent="0.25">
      <c r="A21" s="273" t="s">
        <v>6</v>
      </c>
      <c r="B21" s="273"/>
      <c r="C21" s="273"/>
      <c r="D21" s="273"/>
      <c r="E21" s="273"/>
      <c r="F21" s="2"/>
      <c r="G21" s="3"/>
    </row>
    <row r="22" spans="1:9" s="4" customFormat="1" ht="15" customHeight="1" thickBot="1" x14ac:dyDescent="0.25">
      <c r="A22" s="274" t="s">
        <v>7</v>
      </c>
      <c r="B22" s="274"/>
      <c r="C22" s="274"/>
      <c r="D22" s="274"/>
      <c r="E22" s="36" t="s">
        <v>8</v>
      </c>
      <c r="F22" s="2"/>
      <c r="G22" s="3"/>
    </row>
    <row r="23" spans="1:9" s="4" customFormat="1" ht="15" customHeight="1" x14ac:dyDescent="0.2">
      <c r="A23" s="37" t="s">
        <v>172</v>
      </c>
      <c r="B23" s="38"/>
      <c r="C23" s="38"/>
      <c r="D23" s="39"/>
      <c r="E23" s="40"/>
      <c r="F23" s="2"/>
      <c r="G23" s="41"/>
    </row>
    <row r="24" spans="1:9" s="4" customFormat="1" ht="15" customHeight="1" x14ac:dyDescent="0.2">
      <c r="A24" s="42" t="s">
        <v>133</v>
      </c>
      <c r="B24" s="43"/>
      <c r="C24" s="43"/>
      <c r="D24" s="44"/>
      <c r="E24" s="244">
        <v>2105.4</v>
      </c>
      <c r="F24" s="2"/>
      <c r="G24" s="3"/>
    </row>
    <row r="25" spans="1:9" s="4" customFormat="1" ht="15" customHeight="1" x14ac:dyDescent="0.2">
      <c r="A25" s="42" t="s">
        <v>10</v>
      </c>
      <c r="B25" s="43"/>
      <c r="C25" s="43"/>
      <c r="D25" s="44"/>
      <c r="E25" s="45">
        <f>9.14*15</f>
        <v>137.10000000000002</v>
      </c>
      <c r="F25" s="2"/>
      <c r="G25" s="3"/>
    </row>
    <row r="26" spans="1:9" s="4" customFormat="1" ht="15" customHeight="1" x14ac:dyDescent="0.2">
      <c r="A26" s="42" t="s">
        <v>11</v>
      </c>
      <c r="B26" s="43"/>
      <c r="C26" s="43"/>
      <c r="D26" s="44"/>
      <c r="E26" s="46">
        <v>220</v>
      </c>
      <c r="F26" s="2"/>
      <c r="G26" s="3"/>
      <c r="I26" s="3"/>
    </row>
    <row r="27" spans="1:9" s="4" customFormat="1" ht="15" hidden="1" customHeight="1" x14ac:dyDescent="0.2">
      <c r="A27" s="15" t="str">
        <f>+A51</f>
        <v>1.2. Encarregado/Supervisor</v>
      </c>
      <c r="B27" s="47"/>
      <c r="C27" s="47"/>
      <c r="D27" s="48"/>
      <c r="E27" s="49"/>
      <c r="F27" s="2"/>
      <c r="G27" s="3"/>
      <c r="I27" s="3"/>
    </row>
    <row r="28" spans="1:9" s="4" customFormat="1" ht="15" hidden="1" customHeight="1" x14ac:dyDescent="0.2">
      <c r="A28" s="42"/>
      <c r="B28" s="47"/>
      <c r="C28" s="47"/>
      <c r="D28" s="48"/>
      <c r="E28" s="50"/>
      <c r="F28" s="2"/>
      <c r="G28" s="3"/>
      <c r="I28" s="3"/>
    </row>
    <row r="29" spans="1:9" s="4" customFormat="1" ht="15" hidden="1" customHeight="1" x14ac:dyDescent="0.2">
      <c r="A29" s="51"/>
      <c r="B29" s="47"/>
      <c r="C29" s="47"/>
      <c r="D29" s="48"/>
      <c r="E29" s="49"/>
      <c r="F29" s="2"/>
      <c r="G29" s="3"/>
      <c r="I29" s="3"/>
    </row>
    <row r="30" spans="1:9" s="4" customFormat="1" ht="15" customHeight="1" thickBot="1" x14ac:dyDescent="0.25">
      <c r="A30" s="52" t="s">
        <v>12</v>
      </c>
      <c r="B30" s="53"/>
      <c r="C30" s="53"/>
      <c r="D30" s="54"/>
      <c r="E30" s="55">
        <v>2</v>
      </c>
      <c r="F30" s="2"/>
      <c r="G30" s="3"/>
      <c r="I30" s="3"/>
    </row>
    <row r="31" spans="1:9" s="4" customFormat="1" x14ac:dyDescent="0.2">
      <c r="A31" s="2" t="s">
        <v>13</v>
      </c>
      <c r="B31" s="2"/>
      <c r="C31" s="2"/>
      <c r="D31" s="1"/>
      <c r="E31" s="56"/>
      <c r="F31" s="1"/>
      <c r="G31" s="3"/>
      <c r="I31" s="3"/>
    </row>
    <row r="32" spans="1:9" s="4" customFormat="1" x14ac:dyDescent="0.2">
      <c r="A32" s="2" t="s">
        <v>151</v>
      </c>
      <c r="B32" s="2"/>
      <c r="C32" s="2"/>
      <c r="D32" s="1"/>
      <c r="E32" s="57"/>
      <c r="F32" s="1"/>
      <c r="G32" s="3"/>
      <c r="I32" s="3"/>
    </row>
    <row r="33" spans="1:9" s="4" customFormat="1" x14ac:dyDescent="0.2">
      <c r="A33" s="2" t="s">
        <v>193</v>
      </c>
      <c r="B33" s="2"/>
      <c r="C33" s="2"/>
      <c r="D33" s="1"/>
      <c r="E33" s="57"/>
      <c r="F33" s="1"/>
      <c r="G33" s="3"/>
      <c r="I33" s="3"/>
    </row>
    <row r="34" spans="1:9" s="4" customFormat="1" ht="13.5" thickBot="1" x14ac:dyDescent="0.25">
      <c r="A34" s="2"/>
      <c r="B34" s="2"/>
      <c r="C34" s="2"/>
      <c r="D34" s="1"/>
      <c r="E34" s="57"/>
      <c r="F34" s="198"/>
      <c r="G34" s="3"/>
      <c r="I34" s="3"/>
    </row>
    <row r="35" spans="1:9" s="19" customFormat="1" ht="15.75" customHeight="1" thickBot="1" x14ac:dyDescent="0.25">
      <c r="A35" s="58" t="s">
        <v>14</v>
      </c>
      <c r="B35" s="59">
        <v>1</v>
      </c>
      <c r="C35" s="18"/>
      <c r="E35" s="60"/>
      <c r="G35" s="18"/>
    </row>
    <row r="36" spans="1:9" s="4" customFormat="1" ht="15.75" customHeight="1" x14ac:dyDescent="0.2">
      <c r="A36" s="2"/>
      <c r="B36" s="2"/>
      <c r="C36" s="2"/>
      <c r="D36" s="1"/>
      <c r="E36" s="56"/>
      <c r="F36" s="1"/>
      <c r="G36" s="3"/>
    </row>
    <row r="37" spans="1:9" customFormat="1" ht="13.15" customHeight="1" x14ac:dyDescent="0.2">
      <c r="A37" s="19" t="s">
        <v>15</v>
      </c>
      <c r="B37" s="1"/>
      <c r="C37" s="1"/>
      <c r="D37" s="2"/>
      <c r="E37" s="2"/>
      <c r="F37" s="2"/>
      <c r="G37" s="2"/>
      <c r="H37" s="1"/>
      <c r="I37" s="1"/>
    </row>
    <row r="38" spans="1:9" customFormat="1" ht="13.9" customHeight="1" thickBot="1" x14ac:dyDescent="0.25">
      <c r="A38" s="276" t="s">
        <v>192</v>
      </c>
      <c r="B38" s="276"/>
      <c r="C38" s="276"/>
      <c r="D38" s="276"/>
      <c r="E38" s="276"/>
      <c r="F38" s="276"/>
      <c r="G38" s="3"/>
    </row>
    <row r="39" spans="1:9" customFormat="1" ht="13.9" customHeight="1" thickBot="1" x14ac:dyDescent="0.25">
      <c r="A39" s="61" t="s">
        <v>16</v>
      </c>
      <c r="B39" s="62" t="s">
        <v>17</v>
      </c>
      <c r="C39" s="62" t="s">
        <v>8</v>
      </c>
      <c r="D39" s="63" t="s">
        <v>18</v>
      </c>
      <c r="E39" s="63" t="s">
        <v>19</v>
      </c>
      <c r="F39" s="64" t="s">
        <v>20</v>
      </c>
      <c r="G39" s="3"/>
    </row>
    <row r="40" spans="1:9" customFormat="1" ht="13.9" customHeight="1" x14ac:dyDescent="0.2">
      <c r="A40" s="65" t="s">
        <v>9</v>
      </c>
      <c r="B40" s="66" t="s">
        <v>21</v>
      </c>
      <c r="C40" s="66">
        <v>1</v>
      </c>
      <c r="D40" s="199">
        <f>E24</f>
        <v>2105.4</v>
      </c>
      <c r="E40" s="68">
        <f>C40*D40</f>
        <v>2105.4</v>
      </c>
      <c r="F40" s="2"/>
      <c r="G40" s="3"/>
    </row>
    <row r="41" spans="1:9" customFormat="1" ht="13.9" customHeight="1" x14ac:dyDescent="0.2">
      <c r="A41" s="65" t="s">
        <v>176</v>
      </c>
      <c r="B41" s="66" t="s">
        <v>4</v>
      </c>
      <c r="C41" s="250">
        <v>0.3</v>
      </c>
      <c r="D41" s="68">
        <f>E40</f>
        <v>2105.4</v>
      </c>
      <c r="E41" s="68">
        <f>D41*C41</f>
        <v>631.62</v>
      </c>
      <c r="F41" s="2"/>
      <c r="G41" s="3"/>
    </row>
    <row r="42" spans="1:9" customFormat="1" ht="13.9" hidden="1" customHeight="1" x14ac:dyDescent="0.2">
      <c r="A42" s="65" t="s">
        <v>142</v>
      </c>
      <c r="B42" s="66" t="s">
        <v>128</v>
      </c>
      <c r="C42" s="66">
        <v>0</v>
      </c>
      <c r="D42" s="67">
        <v>14.35</v>
      </c>
      <c r="E42" s="68">
        <f>C42*D42</f>
        <v>0</v>
      </c>
      <c r="F42" s="2"/>
      <c r="G42" s="3"/>
    </row>
    <row r="43" spans="1:9" customFormat="1" ht="13.9" customHeight="1" x14ac:dyDescent="0.2">
      <c r="A43" s="65" t="s">
        <v>185</v>
      </c>
      <c r="B43" s="66" t="s">
        <v>4</v>
      </c>
      <c r="C43" s="250">
        <v>0.2</v>
      </c>
      <c r="D43" s="68">
        <f>D40</f>
        <v>2105.4</v>
      </c>
      <c r="E43" s="68">
        <f>D43*C43</f>
        <v>421.08000000000004</v>
      </c>
      <c r="F43" s="2"/>
      <c r="G43" s="3"/>
    </row>
    <row r="44" spans="1:9" customFormat="1" ht="13.9" customHeight="1" x14ac:dyDescent="0.2">
      <c r="A44" s="69" t="s">
        <v>22</v>
      </c>
      <c r="B44" s="70" t="s">
        <v>23</v>
      </c>
      <c r="C44" s="71">
        <f>E25*1</f>
        <v>137.10000000000002</v>
      </c>
      <c r="D44" s="72">
        <f>(E40/220*0.2)+0.57</f>
        <v>2.484</v>
      </c>
      <c r="E44" s="72">
        <f>C44*D44</f>
        <v>340.55640000000005</v>
      </c>
      <c r="F44" s="2"/>
      <c r="G44" s="3"/>
    </row>
    <row r="45" spans="1:9" customFormat="1" ht="13.9" customHeight="1" x14ac:dyDescent="0.2">
      <c r="A45" s="73" t="s">
        <v>24</v>
      </c>
      <c r="B45" s="74"/>
      <c r="C45" s="74"/>
      <c r="D45" s="75"/>
      <c r="E45" s="222">
        <f>SUM(E40:E44)</f>
        <v>3498.6563999999998</v>
      </c>
      <c r="F45" s="2"/>
      <c r="G45" s="3"/>
    </row>
    <row r="46" spans="1:9" customFormat="1" ht="13.9" customHeight="1" x14ac:dyDescent="0.2">
      <c r="A46" s="69" t="s">
        <v>25</v>
      </c>
      <c r="B46" s="70" t="s">
        <v>4</v>
      </c>
      <c r="C46" s="76">
        <f>'5.Encargos Sociais'!$C$34*100</f>
        <v>68.690000000000012</v>
      </c>
      <c r="D46" s="72">
        <f>E45</f>
        <v>3498.6563999999998</v>
      </c>
      <c r="E46" s="223">
        <f>D46*C46/100</f>
        <v>2403.2270811600001</v>
      </c>
      <c r="F46" s="2"/>
      <c r="G46" s="3"/>
    </row>
    <row r="47" spans="1:9" customFormat="1" ht="13.9" customHeight="1" x14ac:dyDescent="0.2">
      <c r="A47" s="73" t="s">
        <v>26</v>
      </c>
      <c r="B47" s="74"/>
      <c r="C47" s="74"/>
      <c r="D47" s="75"/>
      <c r="E47" s="222">
        <f>SUM(E45:E46)</f>
        <v>5901.88348116</v>
      </c>
      <c r="F47" s="2"/>
      <c r="G47" s="3"/>
    </row>
    <row r="48" spans="1:9" customFormat="1" ht="13.9" customHeight="1" thickBot="1" x14ac:dyDescent="0.25">
      <c r="A48" s="69" t="s">
        <v>27</v>
      </c>
      <c r="B48" s="70" t="s">
        <v>28</v>
      </c>
      <c r="C48" s="77">
        <f>E30</f>
        <v>2</v>
      </c>
      <c r="D48" s="72">
        <f>E47</f>
        <v>5901.88348116</v>
      </c>
      <c r="E48" s="72">
        <f>C48*D48</f>
        <v>11803.76696232</v>
      </c>
      <c r="F48" s="2"/>
      <c r="G48" s="3"/>
    </row>
    <row r="49" spans="1:7" customFormat="1" ht="13.9" customHeight="1" thickBot="1" x14ac:dyDescent="0.25">
      <c r="A49" s="78"/>
      <c r="B49" s="1"/>
      <c r="C49" s="1"/>
      <c r="D49" s="79" t="s">
        <v>29</v>
      </c>
      <c r="E49" s="80">
        <f>$B$35</f>
        <v>1</v>
      </c>
      <c r="F49" s="81">
        <f>E48*E49</f>
        <v>11803.76696232</v>
      </c>
      <c r="G49" s="3"/>
    </row>
    <row r="50" spans="1:7" customFormat="1" ht="11.25" customHeight="1" x14ac:dyDescent="0.2">
      <c r="A50" s="1"/>
      <c r="B50" s="1"/>
      <c r="C50" s="1"/>
      <c r="D50" s="2"/>
      <c r="E50" s="2"/>
      <c r="F50" s="2"/>
      <c r="G50" s="2"/>
    </row>
    <row r="51" spans="1:7" customFormat="1" ht="13.5" thickBot="1" x14ac:dyDescent="0.25">
      <c r="A51" s="1" t="s">
        <v>136</v>
      </c>
      <c r="B51" s="1"/>
      <c r="C51" s="1"/>
      <c r="D51" s="2"/>
      <c r="E51" s="2"/>
      <c r="F51" s="2"/>
      <c r="G51" s="2"/>
    </row>
    <row r="52" spans="1:7" s="78" customFormat="1" ht="13.15" customHeight="1" thickBot="1" x14ac:dyDescent="0.25">
      <c r="A52" s="61" t="s">
        <v>16</v>
      </c>
      <c r="B52" s="62" t="s">
        <v>17</v>
      </c>
      <c r="C52" s="62" t="s">
        <v>8</v>
      </c>
      <c r="D52" s="63" t="s">
        <v>18</v>
      </c>
      <c r="E52" s="63" t="s">
        <v>19</v>
      </c>
      <c r="F52" s="64" t="s">
        <v>20</v>
      </c>
      <c r="G52" s="2"/>
    </row>
    <row r="53" spans="1:7" customFormat="1" x14ac:dyDescent="0.2">
      <c r="A53" s="65" t="s">
        <v>9</v>
      </c>
      <c r="B53" s="66" t="s">
        <v>21</v>
      </c>
      <c r="C53" s="66">
        <v>1</v>
      </c>
      <c r="D53" s="221">
        <v>2700</v>
      </c>
      <c r="E53" s="85">
        <f>C53*D53</f>
        <v>2700</v>
      </c>
      <c r="F53" s="2"/>
      <c r="G53" s="2"/>
    </row>
    <row r="54" spans="1:7" s="19" customFormat="1" x14ac:dyDescent="0.2">
      <c r="A54" s="69" t="s">
        <v>24</v>
      </c>
      <c r="B54" s="74"/>
      <c r="C54" s="74"/>
      <c r="D54" s="86"/>
      <c r="E54" s="87">
        <f>SUM(E53:E53)</f>
        <v>2700</v>
      </c>
      <c r="F54" s="18"/>
      <c r="G54" s="18"/>
    </row>
    <row r="55" spans="1:7" customFormat="1" x14ac:dyDescent="0.2">
      <c r="A55" s="69" t="s">
        <v>25</v>
      </c>
      <c r="B55" s="70" t="s">
        <v>4</v>
      </c>
      <c r="C55" s="76">
        <f>'5.Encargos Sociais'!$C$34*100</f>
        <v>68.690000000000012</v>
      </c>
      <c r="D55" s="87">
        <f>E54</f>
        <v>2700</v>
      </c>
      <c r="E55" s="87">
        <f>D55*C55/100</f>
        <v>1854.6300000000003</v>
      </c>
      <c r="F55" s="2"/>
      <c r="G55" s="2"/>
    </row>
    <row r="56" spans="1:7" s="19" customFormat="1" x14ac:dyDescent="0.2">
      <c r="A56" s="69" t="s">
        <v>26</v>
      </c>
      <c r="B56" s="88"/>
      <c r="C56" s="88"/>
      <c r="D56" s="89"/>
      <c r="E56" s="87">
        <f>E54+E55</f>
        <v>4554.63</v>
      </c>
      <c r="F56" s="18"/>
      <c r="G56" s="18"/>
    </row>
    <row r="57" spans="1:7" customFormat="1" ht="13.5" thickBot="1" x14ac:dyDescent="0.25">
      <c r="A57" s="69" t="s">
        <v>27</v>
      </c>
      <c r="B57" s="70" t="s">
        <v>28</v>
      </c>
      <c r="C57" s="77">
        <v>1</v>
      </c>
      <c r="D57" s="87">
        <f>E56</f>
        <v>4554.63</v>
      </c>
      <c r="E57" s="87">
        <f>C57*D57</f>
        <v>4554.63</v>
      </c>
      <c r="F57" s="2"/>
      <c r="G57" s="2"/>
    </row>
    <row r="58" spans="1:7" customFormat="1" ht="13.5" thickBot="1" x14ac:dyDescent="0.25">
      <c r="A58" s="275" t="s">
        <v>164</v>
      </c>
      <c r="B58" s="275"/>
      <c r="C58" s="275"/>
      <c r="D58" s="79" t="s">
        <v>29</v>
      </c>
      <c r="E58" s="90">
        <f>8/44</f>
        <v>0.18181818181818182</v>
      </c>
      <c r="F58" s="81">
        <f>E57*E58</f>
        <v>828.11454545454546</v>
      </c>
      <c r="G58" s="3"/>
    </row>
    <row r="59" spans="1:7" customFormat="1" x14ac:dyDescent="0.2">
      <c r="A59" s="270"/>
      <c r="B59" s="270"/>
      <c r="C59" s="270"/>
      <c r="D59" s="270"/>
      <c r="E59" s="82"/>
      <c r="F59" s="83"/>
      <c r="G59" s="3"/>
    </row>
    <row r="60" spans="1:7" customFormat="1" ht="13.5" thickBot="1" x14ac:dyDescent="0.25">
      <c r="A60" s="1" t="s">
        <v>137</v>
      </c>
      <c r="B60" s="1"/>
      <c r="C60" s="1"/>
      <c r="D60" s="2"/>
      <c r="E60" s="2"/>
      <c r="F60" s="18"/>
      <c r="G60" s="2"/>
    </row>
    <row r="61" spans="1:7" customFormat="1" ht="13.5" thickBot="1" x14ac:dyDescent="0.25">
      <c r="A61" s="61" t="s">
        <v>16</v>
      </c>
      <c r="B61" s="62" t="s">
        <v>17</v>
      </c>
      <c r="C61" s="62" t="s">
        <v>8</v>
      </c>
      <c r="D61" s="63" t="s">
        <v>18</v>
      </c>
      <c r="E61" s="63" t="s">
        <v>19</v>
      </c>
      <c r="F61" s="64" t="s">
        <v>20</v>
      </c>
      <c r="G61" s="2"/>
    </row>
    <row r="62" spans="1:7" customFormat="1" x14ac:dyDescent="0.2">
      <c r="A62" s="69" t="s">
        <v>175</v>
      </c>
      <c r="B62" s="70" t="s">
        <v>30</v>
      </c>
      <c r="C62" s="91">
        <f>((C48)*21)</f>
        <v>42</v>
      </c>
      <c r="D62" s="246">
        <f>34.5*0.8</f>
        <v>27.6</v>
      </c>
      <c r="E62" s="92">
        <f>((D62*C62))</f>
        <v>1159.2</v>
      </c>
      <c r="F62" s="18"/>
      <c r="G62" s="2"/>
    </row>
    <row r="63" spans="1:7" customFormat="1" ht="13.5" thickBot="1" x14ac:dyDescent="0.25">
      <c r="A63" s="69" t="s">
        <v>141</v>
      </c>
      <c r="B63" s="70" t="s">
        <v>30</v>
      </c>
      <c r="C63" s="91">
        <v>4</v>
      </c>
      <c r="D63" s="246">
        <f>34.5*0.8</f>
        <v>27.6</v>
      </c>
      <c r="E63" s="92">
        <f>((D63*C63))</f>
        <v>110.4</v>
      </c>
      <c r="F63" s="18"/>
      <c r="G63" s="2"/>
    </row>
    <row r="64" spans="1:7" s="1" customFormat="1" ht="13.5" thickBot="1" x14ac:dyDescent="0.25">
      <c r="A64" s="93"/>
      <c r="B64" s="93"/>
      <c r="D64" s="79" t="s">
        <v>29</v>
      </c>
      <c r="E64" s="80">
        <v>1</v>
      </c>
      <c r="F64" s="94">
        <f>SUM(E62:E63)*E64</f>
        <v>1269.6000000000001</v>
      </c>
    </row>
    <row r="65" spans="1:8" customFormat="1" hidden="1" x14ac:dyDescent="0.2">
      <c r="A65" s="78"/>
      <c r="B65" s="78"/>
      <c r="C65" s="1"/>
      <c r="D65" s="79"/>
      <c r="E65" s="2"/>
      <c r="F65" s="83"/>
      <c r="G65" s="1"/>
    </row>
    <row r="66" spans="1:8" s="1" customFormat="1" ht="13.5" hidden="1" thickBot="1" x14ac:dyDescent="0.25">
      <c r="A66" s="1" t="s">
        <v>138</v>
      </c>
      <c r="B66" s="95"/>
      <c r="E66" s="96"/>
      <c r="F66" s="2"/>
    </row>
    <row r="67" spans="1:8" s="1" customFormat="1" ht="13.5" hidden="1" thickBot="1" x14ac:dyDescent="0.25">
      <c r="A67" s="61" t="s">
        <v>16</v>
      </c>
      <c r="B67" s="62" t="s">
        <v>17</v>
      </c>
      <c r="C67" s="62" t="s">
        <v>8</v>
      </c>
      <c r="D67" s="63" t="s">
        <v>18</v>
      </c>
      <c r="E67" s="63" t="s">
        <v>19</v>
      </c>
      <c r="F67" s="64" t="s">
        <v>20</v>
      </c>
    </row>
    <row r="68" spans="1:8" customFormat="1" hidden="1" x14ac:dyDescent="0.2">
      <c r="A68" s="69" t="s">
        <v>31</v>
      </c>
      <c r="B68" s="70" t="s">
        <v>32</v>
      </c>
      <c r="C68" s="97">
        <v>1</v>
      </c>
      <c r="D68" s="202">
        <v>3.5</v>
      </c>
      <c r="E68" s="98"/>
      <c r="F68" s="2"/>
      <c r="G68" s="1"/>
    </row>
    <row r="69" spans="1:8" customFormat="1" hidden="1" x14ac:dyDescent="0.2">
      <c r="A69" s="69" t="s">
        <v>129</v>
      </c>
      <c r="B69" s="70" t="s">
        <v>33</v>
      </c>
      <c r="C69" s="1">
        <v>15</v>
      </c>
      <c r="D69" s="98"/>
      <c r="E69" s="98"/>
      <c r="F69" s="2"/>
      <c r="G69" s="1"/>
    </row>
    <row r="70" spans="1:8" customFormat="1" ht="13.5" hidden="1" thickBot="1" x14ac:dyDescent="0.25">
      <c r="A70" s="69" t="s">
        <v>171</v>
      </c>
      <c r="B70" s="70" t="s">
        <v>34</v>
      </c>
      <c r="C70" s="99">
        <f>C69*E30*2</f>
        <v>60</v>
      </c>
      <c r="D70" s="84">
        <f>D68-((E40*0.06)/30)</f>
        <v>-0.71079999999999988</v>
      </c>
      <c r="E70" s="98">
        <f>IFERROR(C70*D70,"-")</f>
        <v>-42.647999999999996</v>
      </c>
      <c r="F70" s="2"/>
      <c r="G70" s="1"/>
    </row>
    <row r="71" spans="1:8" customFormat="1" ht="13.5" hidden="1" thickBot="1" x14ac:dyDescent="0.25">
      <c r="A71" s="1"/>
      <c r="B71" s="1"/>
      <c r="C71" s="1"/>
      <c r="D71" s="2"/>
      <c r="E71" s="2"/>
      <c r="F71" s="100">
        <f>SUM(E70:E70)-E70</f>
        <v>0</v>
      </c>
      <c r="G71" s="1"/>
      <c r="H71" s="1"/>
    </row>
    <row r="72" spans="1:8" customFormat="1" ht="10.9" hidden="1" customHeight="1" x14ac:dyDescent="0.2">
      <c r="A72" s="78"/>
      <c r="B72" s="78"/>
      <c r="C72" s="1"/>
      <c r="D72" s="79"/>
      <c r="E72" s="2"/>
      <c r="F72" s="83"/>
      <c r="G72" s="1"/>
      <c r="H72" s="1"/>
    </row>
    <row r="73" spans="1:8" customFormat="1" ht="13.5" hidden="1" thickBot="1" x14ac:dyDescent="0.25">
      <c r="A73" s="1" t="s">
        <v>139</v>
      </c>
      <c r="B73" s="1"/>
      <c r="C73" s="1"/>
      <c r="D73" s="2"/>
      <c r="E73" s="2"/>
      <c r="F73" s="18"/>
      <c r="G73" s="1"/>
      <c r="H73" s="1"/>
    </row>
    <row r="74" spans="1:8" s="1" customFormat="1" ht="13.5" hidden="1" thickBot="1" x14ac:dyDescent="0.25">
      <c r="A74" s="61" t="s">
        <v>16</v>
      </c>
      <c r="B74" s="62" t="s">
        <v>17</v>
      </c>
      <c r="C74" s="62" t="s">
        <v>8</v>
      </c>
      <c r="D74" s="63" t="s">
        <v>18</v>
      </c>
      <c r="E74" s="63" t="s">
        <v>19</v>
      </c>
      <c r="F74" s="64" t="s">
        <v>20</v>
      </c>
    </row>
    <row r="75" spans="1:8" s="1" customFormat="1" ht="13.5" hidden="1" thickBot="1" x14ac:dyDescent="0.25">
      <c r="A75" s="69" t="s">
        <v>35</v>
      </c>
      <c r="B75" s="70" t="s">
        <v>30</v>
      </c>
      <c r="C75" s="91">
        <v>0</v>
      </c>
      <c r="D75" s="245">
        <v>24.1</v>
      </c>
      <c r="E75" s="101">
        <f>C75*D75</f>
        <v>0</v>
      </c>
      <c r="F75" s="18"/>
    </row>
    <row r="76" spans="1:8" s="1" customFormat="1" ht="13.5" hidden="1" thickBot="1" x14ac:dyDescent="0.25">
      <c r="A76" s="93"/>
      <c r="B76" s="93"/>
      <c r="D76" s="79" t="s">
        <v>29</v>
      </c>
      <c r="E76" s="90">
        <v>1</v>
      </c>
      <c r="F76" s="102">
        <f>SUM(E75:E75)*E76</f>
        <v>0</v>
      </c>
    </row>
    <row r="77" spans="1:8" customFormat="1" ht="13.5" thickBot="1" x14ac:dyDescent="0.25">
      <c r="A77" s="78"/>
      <c r="B77" s="78"/>
      <c r="C77" s="1"/>
      <c r="D77" s="79"/>
      <c r="E77" s="2"/>
      <c r="F77" s="83"/>
      <c r="G77" s="1"/>
      <c r="H77" s="1"/>
    </row>
    <row r="78" spans="1:8" customFormat="1" ht="13.5" hidden="1" thickBot="1" x14ac:dyDescent="0.25">
      <c r="A78" s="78"/>
      <c r="B78" s="78"/>
      <c r="C78" s="1"/>
      <c r="D78" s="79"/>
      <c r="E78" s="2"/>
      <c r="F78" s="83"/>
      <c r="G78" s="1"/>
      <c r="H78" s="1"/>
    </row>
    <row r="79" spans="1:8" customFormat="1" ht="13.5" hidden="1" thickBot="1" x14ac:dyDescent="0.25">
      <c r="A79" s="78"/>
      <c r="B79" s="78"/>
      <c r="C79" s="1"/>
      <c r="D79" s="79"/>
      <c r="E79" s="2"/>
      <c r="F79" s="83"/>
      <c r="G79" s="1"/>
      <c r="H79" s="1"/>
    </row>
    <row r="80" spans="1:8" customFormat="1" ht="13.5" hidden="1" thickBot="1" x14ac:dyDescent="0.25">
      <c r="A80" s="78"/>
      <c r="B80" s="78"/>
      <c r="C80" s="1"/>
      <c r="D80" s="79"/>
      <c r="E80" s="2"/>
      <c r="F80" s="83"/>
      <c r="G80" s="1"/>
      <c r="H80" s="1"/>
    </row>
    <row r="81" spans="1:8" customFormat="1" ht="13.5" hidden="1" thickBot="1" x14ac:dyDescent="0.25">
      <c r="A81" s="78"/>
      <c r="B81" s="78"/>
      <c r="C81" s="1"/>
      <c r="D81" s="79"/>
      <c r="E81" s="2"/>
      <c r="F81" s="83"/>
      <c r="G81" s="1"/>
      <c r="H81" s="1"/>
    </row>
    <row r="82" spans="1:8" customFormat="1" ht="9" hidden="1" customHeight="1" x14ac:dyDescent="0.2">
      <c r="A82" s="1"/>
      <c r="B82" s="1"/>
      <c r="C82" s="1"/>
      <c r="D82" s="2"/>
      <c r="E82" s="2"/>
      <c r="F82" s="2"/>
      <c r="G82" s="1"/>
      <c r="H82" s="1"/>
    </row>
    <row r="83" spans="1:8" s="1" customFormat="1" ht="13.5" thickBot="1" x14ac:dyDescent="0.25">
      <c r="A83" s="103" t="s">
        <v>36</v>
      </c>
      <c r="B83" s="104"/>
      <c r="C83" s="104"/>
      <c r="D83" s="105"/>
      <c r="E83" s="106"/>
      <c r="F83" s="107">
        <f>F64+F58+F71+F76+F49</f>
        <v>13901.481507774546</v>
      </c>
      <c r="H83" s="108"/>
    </row>
    <row r="84" spans="1:8" customFormat="1" ht="15" customHeight="1" x14ac:dyDescent="0.2">
      <c r="A84" s="1"/>
      <c r="B84" s="1"/>
      <c r="C84" s="1"/>
      <c r="D84" s="2"/>
      <c r="E84" s="2"/>
      <c r="F84" s="2"/>
      <c r="G84" s="2"/>
      <c r="H84" s="1"/>
    </row>
    <row r="85" spans="1:8" customFormat="1" x14ac:dyDescent="0.2">
      <c r="A85" s="19" t="s">
        <v>37</v>
      </c>
      <c r="B85" s="1"/>
      <c r="C85" s="1"/>
      <c r="D85" s="2"/>
      <c r="E85" s="2"/>
      <c r="F85" s="2"/>
      <c r="G85" s="1"/>
      <c r="H85" s="1"/>
    </row>
    <row r="86" spans="1:8" customFormat="1" ht="13.9" customHeight="1" thickBot="1" x14ac:dyDescent="0.25">
      <c r="A86" s="1" t="s">
        <v>38</v>
      </c>
      <c r="B86" s="1"/>
      <c r="C86" s="1"/>
      <c r="D86" s="2"/>
      <c r="E86" s="2"/>
      <c r="F86" s="2"/>
      <c r="G86" s="1"/>
    </row>
    <row r="87" spans="1:8" s="1" customFormat="1" ht="27.75" customHeight="1" thickBot="1" x14ac:dyDescent="0.25">
      <c r="A87" s="61" t="s">
        <v>16</v>
      </c>
      <c r="B87" s="62" t="s">
        <v>17</v>
      </c>
      <c r="C87" s="109" t="s">
        <v>39</v>
      </c>
      <c r="D87" s="63" t="s">
        <v>18</v>
      </c>
      <c r="E87" s="63" t="s">
        <v>19</v>
      </c>
      <c r="F87" s="64" t="s">
        <v>20</v>
      </c>
    </row>
    <row r="88" spans="1:8" customFormat="1" ht="13.15" customHeight="1" x14ac:dyDescent="0.2">
      <c r="A88" s="69" t="s">
        <v>179</v>
      </c>
      <c r="B88" s="70" t="s">
        <v>30</v>
      </c>
      <c r="C88" s="97">
        <v>6</v>
      </c>
      <c r="D88" s="251">
        <v>100</v>
      </c>
      <c r="E88" s="85">
        <f>IFERROR(D88/C88,0)</f>
        <v>16.666666666666668</v>
      </c>
      <c r="F88" s="2"/>
      <c r="G88" s="1"/>
    </row>
    <row r="89" spans="1:8" customFormat="1" ht="13.15" customHeight="1" x14ac:dyDescent="0.2">
      <c r="A89" s="69" t="s">
        <v>180</v>
      </c>
      <c r="B89" s="70" t="s">
        <v>30</v>
      </c>
      <c r="C89" s="97">
        <v>12</v>
      </c>
      <c r="D89" s="251">
        <v>29</v>
      </c>
      <c r="E89" s="85">
        <f>IFERROR(D89/C89,0)</f>
        <v>2.4166666666666665</v>
      </c>
      <c r="F89" s="2"/>
      <c r="G89" s="1"/>
    </row>
    <row r="90" spans="1:8" customFormat="1" ht="13.15" customHeight="1" x14ac:dyDescent="0.2">
      <c r="A90" s="69" t="s">
        <v>40</v>
      </c>
      <c r="B90" s="70" t="s">
        <v>30</v>
      </c>
      <c r="C90" s="97">
        <v>12</v>
      </c>
      <c r="D90" s="251">
        <v>170</v>
      </c>
      <c r="E90" s="85">
        <f>IFERROR(D90/C90,0)</f>
        <v>14.166666666666666</v>
      </c>
      <c r="F90" s="2"/>
      <c r="G90" s="1"/>
    </row>
    <row r="91" spans="1:8" customFormat="1" x14ac:dyDescent="0.2">
      <c r="A91" s="69" t="s">
        <v>41</v>
      </c>
      <c r="B91" s="70" t="s">
        <v>30</v>
      </c>
      <c r="C91" s="97">
        <v>8</v>
      </c>
      <c r="D91" s="251">
        <v>82</v>
      </c>
      <c r="E91" s="85">
        <f>IFERROR(D91/C91,0)</f>
        <v>10.25</v>
      </c>
      <c r="F91" s="2"/>
      <c r="G91" s="1"/>
    </row>
    <row r="92" spans="1:8" customFormat="1" ht="13.9" customHeight="1" x14ac:dyDescent="0.2">
      <c r="A92" s="69" t="s">
        <v>42</v>
      </c>
      <c r="B92" s="70" t="s">
        <v>43</v>
      </c>
      <c r="C92" s="97">
        <v>8</v>
      </c>
      <c r="D92" s="85">
        <v>75</v>
      </c>
      <c r="E92" s="85">
        <f>IFERROR(D92/C92,0)</f>
        <v>9.375</v>
      </c>
      <c r="F92" s="2"/>
      <c r="G92" s="1"/>
    </row>
    <row r="93" spans="1:8" customFormat="1" ht="13.5" thickBot="1" x14ac:dyDescent="0.25">
      <c r="A93" s="271" t="s">
        <v>44</v>
      </c>
      <c r="B93" s="271"/>
      <c r="C93" s="97">
        <f>E30</f>
        <v>2</v>
      </c>
      <c r="D93" s="87">
        <f>+SUM(E88:E92)</f>
        <v>52.875</v>
      </c>
      <c r="E93" s="87">
        <f>C93*D93</f>
        <v>105.75</v>
      </c>
      <c r="F93" s="2"/>
      <c r="G93" s="2"/>
    </row>
    <row r="94" spans="1:8" customFormat="1" ht="13.5" thickBot="1" x14ac:dyDescent="0.25">
      <c r="A94" s="1"/>
      <c r="B94" s="1"/>
      <c r="C94" s="1"/>
      <c r="D94" s="79" t="s">
        <v>29</v>
      </c>
      <c r="E94" s="90">
        <f>$B$35</f>
        <v>1</v>
      </c>
      <c r="F94" s="81">
        <f>E93*E94</f>
        <v>105.75</v>
      </c>
      <c r="G94" s="2"/>
    </row>
    <row r="95" spans="1:8" customFormat="1" ht="11.25" customHeight="1" thickBot="1" x14ac:dyDescent="0.25">
      <c r="A95" s="1"/>
      <c r="B95" s="1"/>
      <c r="C95" s="1"/>
      <c r="D95" s="2"/>
      <c r="E95" s="2"/>
      <c r="F95" s="2"/>
      <c r="G95" s="1"/>
    </row>
    <row r="96" spans="1:8" s="1" customFormat="1" ht="13.5" thickBot="1" x14ac:dyDescent="0.25">
      <c r="A96" s="103" t="s">
        <v>45</v>
      </c>
      <c r="B96" s="110"/>
      <c r="C96" s="110"/>
      <c r="D96" s="111"/>
      <c r="E96" s="112"/>
      <c r="F96" s="113">
        <f>+F94</f>
        <v>105.75</v>
      </c>
    </row>
    <row r="97" spans="1:7" customFormat="1" ht="11.25" customHeight="1" x14ac:dyDescent="0.2">
      <c r="A97" s="1"/>
      <c r="B97" s="1"/>
      <c r="C97" s="1"/>
      <c r="D97" s="2"/>
      <c r="E97" s="2"/>
      <c r="F97" s="2"/>
      <c r="G97" s="1"/>
    </row>
    <row r="98" spans="1:7" customFormat="1" ht="18" customHeight="1" thickBot="1" x14ac:dyDescent="0.25">
      <c r="A98" s="203" t="s">
        <v>140</v>
      </c>
      <c r="B98" s="204"/>
      <c r="C98" s="204"/>
      <c r="D98" s="205"/>
      <c r="E98" s="205"/>
      <c r="F98" s="206"/>
      <c r="G98" s="1"/>
    </row>
    <row r="99" spans="1:7" customFormat="1" ht="18" customHeight="1" thickBot="1" x14ac:dyDescent="0.25">
      <c r="A99" s="61" t="s">
        <v>16</v>
      </c>
      <c r="B99" s="62" t="s">
        <v>17</v>
      </c>
      <c r="C99" s="109" t="s">
        <v>8</v>
      </c>
      <c r="D99" s="63" t="s">
        <v>18</v>
      </c>
      <c r="E99" s="63" t="s">
        <v>19</v>
      </c>
      <c r="F99" s="64" t="s">
        <v>130</v>
      </c>
      <c r="G99" s="1"/>
    </row>
    <row r="100" spans="1:7" customFormat="1" ht="18" customHeight="1" x14ac:dyDescent="0.2">
      <c r="A100" s="252" t="s">
        <v>184</v>
      </c>
      <c r="B100" s="201" t="s">
        <v>178</v>
      </c>
      <c r="C100" s="207">
        <v>2</v>
      </c>
      <c r="D100" s="208">
        <v>165</v>
      </c>
      <c r="E100" s="209">
        <f>(D100*C100)/12</f>
        <v>27.5</v>
      </c>
      <c r="F100" s="206"/>
      <c r="G100" s="1"/>
    </row>
    <row r="101" spans="1:7" customFormat="1" ht="18" customHeight="1" x14ac:dyDescent="0.2">
      <c r="A101" s="200" t="s">
        <v>181</v>
      </c>
      <c r="B101" s="201" t="s">
        <v>178</v>
      </c>
      <c r="C101" s="207">
        <v>2</v>
      </c>
      <c r="D101" s="208">
        <v>44</v>
      </c>
      <c r="E101" s="209">
        <f>(D101*C101)/12</f>
        <v>7.333333333333333</v>
      </c>
      <c r="F101" s="206"/>
      <c r="G101" s="1"/>
    </row>
    <row r="102" spans="1:7" customFormat="1" ht="18" customHeight="1" x14ac:dyDescent="0.2">
      <c r="A102" s="200" t="s">
        <v>177</v>
      </c>
      <c r="B102" s="201" t="s">
        <v>178</v>
      </c>
      <c r="C102" s="207">
        <f>E30*1</f>
        <v>2</v>
      </c>
      <c r="D102" s="208">
        <v>10</v>
      </c>
      <c r="E102" s="209">
        <f>(D102*C102)/12</f>
        <v>1.6666666666666667</v>
      </c>
      <c r="F102" s="206"/>
      <c r="G102" s="1"/>
    </row>
    <row r="103" spans="1:7" customFormat="1" ht="18" customHeight="1" x14ac:dyDescent="0.2">
      <c r="A103" s="252" t="s">
        <v>182</v>
      </c>
      <c r="B103" s="201" t="s">
        <v>178</v>
      </c>
      <c r="C103" s="207">
        <v>1</v>
      </c>
      <c r="D103" s="208">
        <v>37</v>
      </c>
      <c r="E103" s="209">
        <f>(D103*C103)/12</f>
        <v>3.0833333333333335</v>
      </c>
      <c r="F103" s="206"/>
      <c r="G103" s="1"/>
    </row>
    <row r="104" spans="1:7" customFormat="1" ht="26.25" customHeight="1" thickBot="1" x14ac:dyDescent="0.25">
      <c r="A104" s="224" t="s">
        <v>143</v>
      </c>
      <c r="B104" s="201" t="s">
        <v>183</v>
      </c>
      <c r="C104" s="207">
        <f>5*30</f>
        <v>150</v>
      </c>
      <c r="D104" s="208">
        <v>2.1</v>
      </c>
      <c r="E104" s="209">
        <f>D104*C104</f>
        <v>315</v>
      </c>
      <c r="F104" s="206"/>
      <c r="G104" s="1"/>
    </row>
    <row r="105" spans="1:7" customFormat="1" ht="18" customHeight="1" thickBot="1" x14ac:dyDescent="0.25">
      <c r="A105" s="277"/>
      <c r="B105" s="277"/>
      <c r="C105" s="204"/>
      <c r="D105" s="210" t="s">
        <v>29</v>
      </c>
      <c r="E105" s="211">
        <v>1</v>
      </c>
      <c r="F105" s="113">
        <f>SUM(E100:E104)*E105</f>
        <v>354.58333333333331</v>
      </c>
      <c r="G105" s="1"/>
    </row>
    <row r="106" spans="1:7" customFormat="1" ht="11.25" customHeight="1" x14ac:dyDescent="0.2">
      <c r="A106" s="1"/>
      <c r="B106" s="1"/>
      <c r="C106" s="1"/>
      <c r="D106" s="2"/>
      <c r="E106" s="2"/>
      <c r="F106" s="2"/>
      <c r="G106" s="1"/>
    </row>
    <row r="107" spans="1:7" customFormat="1" ht="13.5" thickBot="1" x14ac:dyDescent="0.25">
      <c r="A107" s="19" t="s">
        <v>131</v>
      </c>
      <c r="B107" s="19"/>
      <c r="C107" s="19"/>
      <c r="D107" s="18"/>
      <c r="E107" s="18"/>
      <c r="F107" s="114"/>
      <c r="G107" s="2"/>
    </row>
    <row r="108" spans="1:7" customFormat="1" x14ac:dyDescent="0.2">
      <c r="A108" s="115" t="s">
        <v>16</v>
      </c>
      <c r="B108" s="116" t="s">
        <v>17</v>
      </c>
      <c r="C108" s="116" t="s">
        <v>8</v>
      </c>
      <c r="D108" s="117" t="s">
        <v>18</v>
      </c>
      <c r="E108" s="117" t="s">
        <v>19</v>
      </c>
      <c r="F108" s="118" t="s">
        <v>20</v>
      </c>
      <c r="G108" s="2"/>
    </row>
    <row r="109" spans="1:7" customFormat="1" x14ac:dyDescent="0.2">
      <c r="A109" s="119" t="s">
        <v>46</v>
      </c>
      <c r="B109" s="120" t="s">
        <v>4</v>
      </c>
      <c r="C109" s="121">
        <f>'6.BDI'!C18</f>
        <v>0.22639999999999999</v>
      </c>
      <c r="D109" s="122">
        <f>F83+F96+F105</f>
        <v>14361.81484110788</v>
      </c>
      <c r="E109" s="122">
        <f>D109*C109</f>
        <v>3251.5148800268239</v>
      </c>
      <c r="F109" s="123"/>
      <c r="G109" s="2"/>
    </row>
    <row r="110" spans="1:7" customFormat="1" ht="13.5" thickBot="1" x14ac:dyDescent="0.25">
      <c r="A110" s="124"/>
      <c r="B110" s="124"/>
      <c r="C110" s="124"/>
      <c r="D110" s="124"/>
      <c r="E110" s="124"/>
      <c r="F110" s="125"/>
      <c r="G110" s="2"/>
    </row>
    <row r="111" spans="1:7" customFormat="1" ht="13.5" thickBot="1" x14ac:dyDescent="0.25">
      <c r="A111" s="272" t="s">
        <v>132</v>
      </c>
      <c r="B111" s="272"/>
      <c r="C111" s="272"/>
      <c r="D111" s="272"/>
      <c r="E111" s="272"/>
      <c r="F111" s="113">
        <f>E109</f>
        <v>3251.5148800268239</v>
      </c>
      <c r="G111" s="2"/>
    </row>
    <row r="112" spans="1:7" customFormat="1" ht="11.25" customHeight="1" thickBot="1" x14ac:dyDescent="0.25">
      <c r="A112" s="1"/>
      <c r="B112" s="1"/>
      <c r="C112" s="1"/>
      <c r="D112" s="2"/>
      <c r="E112" s="2"/>
      <c r="F112" s="2"/>
      <c r="G112" s="2"/>
    </row>
    <row r="113" spans="1:7" customFormat="1" ht="24.75" customHeight="1" thickBot="1" x14ac:dyDescent="0.25">
      <c r="A113" s="126" t="s">
        <v>47</v>
      </c>
      <c r="B113" s="127"/>
      <c r="C113" s="127"/>
      <c r="D113" s="128"/>
      <c r="E113" s="129"/>
      <c r="F113" s="94">
        <f>F83+F96+F111+F105</f>
        <v>17613.329721134702</v>
      </c>
      <c r="G113" s="2"/>
    </row>
    <row r="114" spans="1:7" customFormat="1" ht="12.6" customHeight="1" thickBot="1" x14ac:dyDescent="0.25">
      <c r="A114" s="130"/>
      <c r="B114" s="130"/>
      <c r="C114" s="130"/>
      <c r="D114" s="131"/>
      <c r="E114" s="131"/>
      <c r="F114" s="131"/>
      <c r="G114" s="2"/>
    </row>
    <row r="115" spans="1:7" customFormat="1" ht="12.6" customHeight="1" thickBot="1" x14ac:dyDescent="0.25">
      <c r="A115" s="126" t="s">
        <v>154</v>
      </c>
      <c r="B115" s="127"/>
      <c r="C115" s="127"/>
      <c r="D115" s="243">
        <v>2</v>
      </c>
      <c r="E115" s="242" t="s">
        <v>153</v>
      </c>
      <c r="F115" s="94">
        <f>F113/D115</f>
        <v>8806.6648605673508</v>
      </c>
      <c r="G115" s="2"/>
    </row>
    <row r="116" spans="1:7" customFormat="1" ht="12.6" customHeight="1" thickBot="1" x14ac:dyDescent="0.25">
      <c r="A116" s="130"/>
      <c r="B116" s="130"/>
      <c r="C116" s="130"/>
      <c r="D116" s="131"/>
      <c r="E116" s="131"/>
      <c r="F116" s="131"/>
      <c r="G116" s="2"/>
    </row>
    <row r="117" spans="1:7" customFormat="1" ht="13.5" thickBot="1" x14ac:dyDescent="0.25">
      <c r="A117" s="126" t="s">
        <v>48</v>
      </c>
      <c r="B117" s="127"/>
      <c r="C117" s="127"/>
      <c r="D117" s="128"/>
      <c r="E117" s="129"/>
      <c r="F117" s="94">
        <f>F113/C93</f>
        <v>8806.6648605673508</v>
      </c>
      <c r="G117" s="2"/>
    </row>
    <row r="119" spans="1:7" customFormat="1" ht="13.5" thickBot="1" x14ac:dyDescent="0.25">
      <c r="A119" s="126" t="s">
        <v>49</v>
      </c>
      <c r="B119" s="29"/>
      <c r="C119" s="132"/>
      <c r="D119" s="128"/>
      <c r="E119" s="129"/>
      <c r="F119" s="94">
        <f>F117/188.32</f>
        <v>46.764363108365288</v>
      </c>
      <c r="G119" s="2"/>
    </row>
    <row r="121" spans="1:7" customFormat="1" x14ac:dyDescent="0.2">
      <c r="A121" s="19" t="s">
        <v>50</v>
      </c>
      <c r="B121" s="1"/>
      <c r="C121" s="1"/>
      <c r="D121" s="2"/>
      <c r="E121" s="2"/>
      <c r="F121" s="2"/>
      <c r="G121" s="2"/>
    </row>
    <row r="124" spans="1:7" customFormat="1" x14ac:dyDescent="0.2">
      <c r="F124" s="82"/>
    </row>
    <row r="125" spans="1:7" customFormat="1" x14ac:dyDescent="0.2">
      <c r="F125" s="133"/>
    </row>
    <row r="148" s="1" customFormat="1" ht="9" customHeight="1" x14ac:dyDescent="0.2"/>
  </sheetData>
  <mergeCells count="13">
    <mergeCell ref="A21:E21"/>
    <mergeCell ref="A1:F1"/>
    <mergeCell ref="A2:F3"/>
    <mergeCell ref="A4:F4"/>
    <mergeCell ref="A6:F6"/>
    <mergeCell ref="A14:C14"/>
    <mergeCell ref="A111:E111"/>
    <mergeCell ref="A22:D22"/>
    <mergeCell ref="A38:F38"/>
    <mergeCell ref="A58:C58"/>
    <mergeCell ref="A59:D59"/>
    <mergeCell ref="A93:B93"/>
    <mergeCell ref="A105:B105"/>
  </mergeCells>
  <printOptions horizontalCentered="1"/>
  <pageMargins left="0.70866141732283472" right="0.70866141732283472" top="0.74803149606299213" bottom="0.74803149606299213" header="0.70866141732283472" footer="0.70866141732283472"/>
  <pageSetup paperSize="9" scale="73" firstPageNumber="0" fitToHeight="2" orientation="portrait" r:id="rId1"/>
  <headerFooter>
    <oddFooter>&amp;R&amp;P de &amp;N</oddFooter>
  </headerFooter>
  <rowBreaks count="1" manualBreakCount="1">
    <brk id="35" max="16383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MK41"/>
  <sheetViews>
    <sheetView topLeftCell="A10" workbookViewId="0">
      <selection activeCell="A17" sqref="A17"/>
    </sheetView>
  </sheetViews>
  <sheetFormatPr defaultRowHeight="12.75" x14ac:dyDescent="0.2"/>
  <cols>
    <col min="1" max="1" width="13.7109375" style="134" customWidth="1"/>
    <col min="2" max="2" width="42.5703125" style="134" customWidth="1"/>
    <col min="3" max="3" width="14.5703125" style="134" customWidth="1"/>
    <col min="4" max="9" width="9.28515625" style="134" customWidth="1"/>
    <col min="10" max="10" width="11.140625" style="134" customWidth="1"/>
    <col min="11" max="1025" width="9.28515625" style="134" customWidth="1"/>
  </cols>
  <sheetData>
    <row r="1" spans="1:5" x14ac:dyDescent="0.2">
      <c r="A1" s="19" t="s">
        <v>51</v>
      </c>
    </row>
    <row r="2" spans="1:5" hidden="1" x14ac:dyDescent="0.2">
      <c r="A2" s="135" t="s">
        <v>52</v>
      </c>
    </row>
    <row r="4" spans="1:5" ht="18" x14ac:dyDescent="0.2">
      <c r="A4" s="282" t="s">
        <v>152</v>
      </c>
      <c r="B4" s="282"/>
      <c r="C4" s="282"/>
      <c r="D4" s="136"/>
      <c r="E4" s="136"/>
    </row>
    <row r="5" spans="1:5" ht="14.25" x14ac:dyDescent="0.2">
      <c r="A5" s="137" t="s">
        <v>53</v>
      </c>
      <c r="B5" s="138" t="s">
        <v>54</v>
      </c>
      <c r="C5" s="139" t="s">
        <v>55</v>
      </c>
    </row>
    <row r="6" spans="1:5" ht="14.25" x14ac:dyDescent="0.2">
      <c r="A6" s="137" t="s">
        <v>56</v>
      </c>
      <c r="B6" s="138" t="s">
        <v>57</v>
      </c>
      <c r="C6" s="140">
        <v>0.2</v>
      </c>
    </row>
    <row r="7" spans="1:5" ht="14.25" x14ac:dyDescent="0.2">
      <c r="A7" s="137" t="s">
        <v>58</v>
      </c>
      <c r="B7" s="138" t="s">
        <v>59</v>
      </c>
      <c r="C7" s="140">
        <v>1.4999999999999999E-2</v>
      </c>
    </row>
    <row r="8" spans="1:5" ht="14.25" x14ac:dyDescent="0.2">
      <c r="A8" s="137" t="s">
        <v>60</v>
      </c>
      <c r="B8" s="138" t="s">
        <v>61</v>
      </c>
      <c r="C8" s="140">
        <v>0.01</v>
      </c>
    </row>
    <row r="9" spans="1:5" ht="14.25" x14ac:dyDescent="0.2">
      <c r="A9" s="137" t="s">
        <v>62</v>
      </c>
      <c r="B9" s="138" t="s">
        <v>63</v>
      </c>
      <c r="C9" s="140">
        <v>2E-3</v>
      </c>
    </row>
    <row r="10" spans="1:5" ht="14.25" x14ac:dyDescent="0.2">
      <c r="A10" s="137" t="s">
        <v>64</v>
      </c>
      <c r="B10" s="138" t="s">
        <v>65</v>
      </c>
      <c r="C10" s="140">
        <v>6.0000000000000001E-3</v>
      </c>
    </row>
    <row r="11" spans="1:5" ht="14.25" x14ac:dyDescent="0.2">
      <c r="A11" s="137" t="s">
        <v>66</v>
      </c>
      <c r="B11" s="138" t="s">
        <v>67</v>
      </c>
      <c r="C11" s="140">
        <v>2.5000000000000001E-2</v>
      </c>
    </row>
    <row r="12" spans="1:5" ht="14.25" x14ac:dyDescent="0.2">
      <c r="A12" s="137" t="s">
        <v>68</v>
      </c>
      <c r="B12" s="138" t="s">
        <v>69</v>
      </c>
      <c r="C12" s="140">
        <v>0.03</v>
      </c>
    </row>
    <row r="13" spans="1:5" ht="14.25" x14ac:dyDescent="0.2">
      <c r="A13" s="137" t="s">
        <v>70</v>
      </c>
      <c r="B13" s="138" t="s">
        <v>71</v>
      </c>
      <c r="C13" s="140">
        <v>0.08</v>
      </c>
    </row>
    <row r="14" spans="1:5" ht="15" x14ac:dyDescent="0.2">
      <c r="A14" s="137" t="s">
        <v>72</v>
      </c>
      <c r="B14" s="141" t="s">
        <v>73</v>
      </c>
      <c r="C14" s="142">
        <f>SUM(C6:C13)</f>
        <v>0.36800000000000005</v>
      </c>
    </row>
    <row r="15" spans="1:5" ht="15" x14ac:dyDescent="0.2">
      <c r="A15" s="143"/>
      <c r="B15" s="144"/>
      <c r="C15" s="145"/>
    </row>
    <row r="16" spans="1:5" ht="14.25" x14ac:dyDescent="0.2">
      <c r="A16" s="137" t="s">
        <v>74</v>
      </c>
      <c r="B16" s="138" t="s">
        <v>75</v>
      </c>
      <c r="C16" s="140">
        <v>5.1799999999999999E-2</v>
      </c>
    </row>
    <row r="17" spans="1:7" ht="14.25" x14ac:dyDescent="0.2">
      <c r="A17" s="137" t="s">
        <v>76</v>
      </c>
      <c r="B17" s="138" t="s">
        <v>77</v>
      </c>
      <c r="C17" s="140">
        <v>8.3299999999999999E-2</v>
      </c>
    </row>
    <row r="18" spans="1:7" ht="14.25" x14ac:dyDescent="0.2">
      <c r="A18" s="137" t="s">
        <v>78</v>
      </c>
      <c r="B18" s="138" t="s">
        <v>79</v>
      </c>
      <c r="C18" s="140">
        <v>5.9999999999999995E-4</v>
      </c>
    </row>
    <row r="19" spans="1:7" ht="14.25" x14ac:dyDescent="0.2">
      <c r="A19" s="137" t="s">
        <v>80</v>
      </c>
      <c r="B19" s="138" t="s">
        <v>81</v>
      </c>
      <c r="C19" s="140">
        <v>8.2000000000000007E-3</v>
      </c>
    </row>
    <row r="20" spans="1:7" ht="15" customHeight="1" x14ac:dyDescent="0.2">
      <c r="A20" s="137" t="s">
        <v>134</v>
      </c>
      <c r="B20" s="138" t="s">
        <v>82</v>
      </c>
      <c r="C20" s="140">
        <v>3.0999999999999999E-3</v>
      </c>
    </row>
    <row r="21" spans="1:7" ht="14.25" x14ac:dyDescent="0.2">
      <c r="A21" s="137" t="s">
        <v>83</v>
      </c>
      <c r="B21" s="138" t="s">
        <v>84</v>
      </c>
      <c r="C21" s="140">
        <v>1.4E-2</v>
      </c>
    </row>
    <row r="22" spans="1:7" ht="15" x14ac:dyDescent="0.2">
      <c r="A22" s="137" t="s">
        <v>135</v>
      </c>
      <c r="B22" s="141" t="s">
        <v>85</v>
      </c>
      <c r="C22" s="142">
        <f>SUM(C16:C21)</f>
        <v>0.161</v>
      </c>
    </row>
    <row r="23" spans="1:7" ht="15" x14ac:dyDescent="0.2">
      <c r="A23" s="143"/>
      <c r="B23" s="144"/>
      <c r="C23" s="145"/>
    </row>
    <row r="24" spans="1:7" ht="14.25" x14ac:dyDescent="0.2">
      <c r="A24" s="137" t="s">
        <v>86</v>
      </c>
      <c r="B24" s="138" t="s">
        <v>87</v>
      </c>
      <c r="C24" s="140">
        <v>1.4999999999999999E-2</v>
      </c>
      <c r="D24" s="146"/>
    </row>
    <row r="25" spans="1:7" ht="14.25" x14ac:dyDescent="0.2">
      <c r="A25" s="137" t="s">
        <v>88</v>
      </c>
      <c r="B25" s="138" t="s">
        <v>89</v>
      </c>
      <c r="C25" s="140">
        <v>5.9299999999999999E-2</v>
      </c>
      <c r="G25" s="147"/>
    </row>
    <row r="26" spans="1:7" ht="14.25" x14ac:dyDescent="0.2">
      <c r="A26" s="137" t="s">
        <v>90</v>
      </c>
      <c r="B26" s="138" t="s">
        <v>91</v>
      </c>
      <c r="C26" s="140">
        <v>2.3E-3</v>
      </c>
    </row>
    <row r="27" spans="1:7" ht="14.25" x14ac:dyDescent="0.2">
      <c r="A27" s="137" t="s">
        <v>92</v>
      </c>
      <c r="B27" s="138" t="s">
        <v>93</v>
      </c>
      <c r="C27" s="140">
        <v>1.4999999999999999E-2</v>
      </c>
      <c r="F27" s="146"/>
    </row>
    <row r="28" spans="1:7" ht="14.25" x14ac:dyDescent="0.2">
      <c r="A28" s="137" t="s">
        <v>94</v>
      </c>
      <c r="B28" s="138" t="s">
        <v>95</v>
      </c>
      <c r="C28" s="140">
        <v>1.6000000000000001E-3</v>
      </c>
    </row>
    <row r="29" spans="1:7" ht="15" x14ac:dyDescent="0.2">
      <c r="A29" s="137" t="s">
        <v>96</v>
      </c>
      <c r="B29" s="141" t="s">
        <v>97</v>
      </c>
      <c r="C29" s="142">
        <f>SUM(C24:C28)</f>
        <v>9.3200000000000005E-2</v>
      </c>
    </row>
    <row r="30" spans="1:7" ht="15" x14ac:dyDescent="0.2">
      <c r="A30" s="143"/>
      <c r="B30" s="144"/>
      <c r="C30" s="145"/>
    </row>
    <row r="31" spans="1:7" ht="14.25" x14ac:dyDescent="0.2">
      <c r="A31" s="137" t="s">
        <v>98</v>
      </c>
      <c r="B31" s="138" t="s">
        <v>99</v>
      </c>
      <c r="C31" s="140">
        <f>ROUND(C14*C22,4)</f>
        <v>5.9200000000000003E-2</v>
      </c>
    </row>
    <row r="32" spans="1:7" ht="28.5" x14ac:dyDescent="0.2">
      <c r="A32" s="137" t="s">
        <v>100</v>
      </c>
      <c r="B32" s="148" t="s">
        <v>101</v>
      </c>
      <c r="C32" s="140">
        <f>ROUND((C24*C14),4)</f>
        <v>5.4999999999999997E-3</v>
      </c>
    </row>
    <row r="33" spans="1:3" ht="15" x14ac:dyDescent="0.2">
      <c r="A33" s="137" t="s">
        <v>102</v>
      </c>
      <c r="B33" s="141" t="s">
        <v>103</v>
      </c>
      <c r="C33" s="142">
        <f>SUM(C31:C32)</f>
        <v>6.4700000000000008E-2</v>
      </c>
    </row>
    <row r="34" spans="1:3" ht="15" x14ac:dyDescent="0.2">
      <c r="A34" s="149"/>
      <c r="B34" s="150" t="s">
        <v>104</v>
      </c>
      <c r="C34" s="151">
        <f>C33+C29+C22+C14</f>
        <v>0.68690000000000007</v>
      </c>
    </row>
    <row r="35" spans="1:3" ht="15" x14ac:dyDescent="0.2">
      <c r="A35" s="152"/>
      <c r="B35" s="153"/>
      <c r="C35" s="154"/>
    </row>
    <row r="36" spans="1:3" ht="14.25" x14ac:dyDescent="0.2">
      <c r="A36" s="152"/>
      <c r="B36" s="152"/>
      <c r="C36" s="155"/>
    </row>
    <row r="37" spans="1:3" ht="14.25" x14ac:dyDescent="0.2">
      <c r="A37" s="152"/>
      <c r="B37" s="152"/>
      <c r="C37" s="155"/>
    </row>
    <row r="38" spans="1:3" ht="14.25" x14ac:dyDescent="0.2">
      <c r="A38" s="152"/>
      <c r="B38" s="152"/>
      <c r="C38" s="155"/>
    </row>
    <row r="39" spans="1:3" ht="14.25" x14ac:dyDescent="0.2">
      <c r="A39" s="152"/>
      <c r="B39" s="152"/>
      <c r="C39" s="155"/>
    </row>
    <row r="40" spans="1:3" ht="15" x14ac:dyDescent="0.2">
      <c r="A40" s="152"/>
      <c r="B40" s="153"/>
      <c r="C40" s="154"/>
    </row>
    <row r="41" spans="1:3" ht="15" x14ac:dyDescent="0.2">
      <c r="A41" s="156"/>
      <c r="B41" s="153"/>
      <c r="C41" s="154"/>
    </row>
  </sheetData>
  <mergeCells count="1">
    <mergeCell ref="A4:C4"/>
  </mergeCells>
  <pageMargins left="0.905555555555556" right="0.51180555555555496" top="0.74791666666666701" bottom="0.74791666666666701" header="0.51180555555555496" footer="0.51180555555555496"/>
  <pageSetup paperSize="9" firstPageNumber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FF"/>
  </sheetPr>
  <dimension ref="A1:I25"/>
  <sheetViews>
    <sheetView workbookViewId="0">
      <selection activeCell="A17" sqref="A17"/>
    </sheetView>
  </sheetViews>
  <sheetFormatPr defaultRowHeight="12.75" x14ac:dyDescent="0.2"/>
  <cols>
    <col min="1" max="1" width="29.85546875" customWidth="1"/>
    <col min="2" max="2" width="5.5703125" customWidth="1"/>
    <col min="3" max="3" width="28.7109375" customWidth="1"/>
    <col min="4" max="4" width="9.7109375" hidden="1" customWidth="1"/>
    <col min="5" max="5" width="8" style="157" hidden="1" customWidth="1"/>
    <col min="6" max="6" width="9.7109375" hidden="1" customWidth="1"/>
    <col min="7" max="1025" width="8.7109375" customWidth="1"/>
  </cols>
  <sheetData>
    <row r="1" spans="1:9" s="158" customFormat="1" ht="14.25" x14ac:dyDescent="0.2">
      <c r="A1" s="19" t="s">
        <v>51</v>
      </c>
      <c r="B1" s="6"/>
      <c r="C1" s="6"/>
      <c r="E1" s="159"/>
    </row>
    <row r="2" spans="1:9" s="158" customFormat="1" ht="14.25" x14ac:dyDescent="0.2">
      <c r="A2" s="135" t="s">
        <v>105</v>
      </c>
      <c r="B2" s="6"/>
      <c r="C2" s="6"/>
      <c r="E2" s="159"/>
    </row>
    <row r="3" spans="1:9" s="158" customFormat="1" ht="14.25" x14ac:dyDescent="0.2">
      <c r="A3" s="1" t="s">
        <v>106</v>
      </c>
      <c r="B3" s="6"/>
      <c r="C3" s="6"/>
      <c r="E3" s="159"/>
    </row>
    <row r="4" spans="1:9" s="158" customFormat="1" ht="14.25" x14ac:dyDescent="0.2">
      <c r="A4" s="135"/>
      <c r="B4" s="6"/>
      <c r="C4" s="6"/>
      <c r="E4" s="159"/>
    </row>
    <row r="5" spans="1:9" s="158" customFormat="1" ht="14.25" x14ac:dyDescent="0.2">
      <c r="B5" s="6"/>
      <c r="C5" s="6"/>
      <c r="E5" s="159"/>
    </row>
    <row r="6" spans="1:9" ht="15.75" x14ac:dyDescent="0.2">
      <c r="A6" s="283" t="s">
        <v>126</v>
      </c>
      <c r="B6" s="283"/>
      <c r="C6" s="283"/>
      <c r="D6" s="283"/>
      <c r="E6" s="283"/>
      <c r="F6" s="283"/>
    </row>
    <row r="7" spans="1:9" ht="15.75" x14ac:dyDescent="0.2">
      <c r="A7" s="160"/>
      <c r="B7" s="161"/>
      <c r="C7" s="161"/>
      <c r="D7" s="161"/>
      <c r="E7" s="161"/>
      <c r="F7" s="162"/>
    </row>
    <row r="8" spans="1:9" ht="15" x14ac:dyDescent="0.25">
      <c r="A8" s="163"/>
      <c r="B8" s="6"/>
      <c r="C8" s="6"/>
      <c r="D8" s="284" t="s">
        <v>107</v>
      </c>
      <c r="E8" s="284"/>
      <c r="F8" s="284"/>
      <c r="G8" s="158"/>
      <c r="H8" s="158"/>
    </row>
    <row r="9" spans="1:9" ht="14.25" x14ac:dyDescent="0.2">
      <c r="A9" s="164"/>
      <c r="B9" s="158"/>
      <c r="C9" s="158"/>
      <c r="D9" s="165" t="s">
        <v>108</v>
      </c>
      <c r="E9" s="166" t="s">
        <v>109</v>
      </c>
      <c r="F9" s="167"/>
      <c r="G9" s="158"/>
      <c r="H9" s="158"/>
    </row>
    <row r="10" spans="1:9" ht="14.25" x14ac:dyDescent="0.2">
      <c r="A10" s="168" t="s">
        <v>110</v>
      </c>
      <c r="B10" s="169" t="s">
        <v>111</v>
      </c>
      <c r="C10" s="170">
        <v>0.04</v>
      </c>
      <c r="D10" s="171">
        <v>2.9700000000000001E-2</v>
      </c>
      <c r="E10" s="172">
        <v>5.0799999999999998E-2</v>
      </c>
      <c r="F10" s="173"/>
      <c r="G10" s="158"/>
      <c r="H10" s="158"/>
    </row>
    <row r="11" spans="1:9" ht="14.25" x14ac:dyDescent="0.2">
      <c r="A11" s="174" t="s">
        <v>112</v>
      </c>
      <c r="B11" s="175" t="s">
        <v>113</v>
      </c>
      <c r="C11" s="176">
        <v>8.6E-3</v>
      </c>
      <c r="D11" s="171">
        <v>8.6E-3</v>
      </c>
      <c r="E11" s="172">
        <f>0.48%+0.85%</f>
        <v>1.3299999999999999E-2</v>
      </c>
      <c r="F11" s="173"/>
      <c r="G11" s="158"/>
      <c r="H11" s="158"/>
    </row>
    <row r="12" spans="1:9" ht="14.25" x14ac:dyDescent="0.2">
      <c r="A12" s="174" t="s">
        <v>114</v>
      </c>
      <c r="B12" s="175" t="s">
        <v>115</v>
      </c>
      <c r="C12" s="176">
        <v>0.09</v>
      </c>
      <c r="D12" s="171">
        <v>0.05</v>
      </c>
      <c r="E12" s="172">
        <v>0.10580000000000001</v>
      </c>
      <c r="F12" s="173"/>
      <c r="G12" s="158"/>
      <c r="H12" s="158"/>
      <c r="I12" s="220"/>
    </row>
    <row r="13" spans="1:9" ht="14.25" x14ac:dyDescent="0.2">
      <c r="A13" s="174" t="s">
        <v>116</v>
      </c>
      <c r="B13" s="175" t="s">
        <v>117</v>
      </c>
      <c r="C13" s="176">
        <f>E13/72</f>
        <v>1.6666666666666666E-3</v>
      </c>
      <c r="D13" s="171" t="s">
        <v>118</v>
      </c>
      <c r="E13" s="177">
        <v>0.12</v>
      </c>
      <c r="F13" s="178"/>
      <c r="G13" s="158"/>
      <c r="H13" s="158"/>
    </row>
    <row r="14" spans="1:9" ht="14.25" x14ac:dyDescent="0.2">
      <c r="A14" s="174" t="s">
        <v>119</v>
      </c>
      <c r="B14" s="285" t="s">
        <v>120</v>
      </c>
      <c r="C14" s="176">
        <v>0.03</v>
      </c>
      <c r="D14" s="179" t="s">
        <v>121</v>
      </c>
      <c r="E14" s="180">
        <v>5</v>
      </c>
      <c r="F14" s="181"/>
      <c r="G14" s="158"/>
      <c r="H14" s="158"/>
    </row>
    <row r="15" spans="1:9" ht="14.25" x14ac:dyDescent="0.2">
      <c r="A15" s="182" t="s">
        <v>122</v>
      </c>
      <c r="B15" s="285"/>
      <c r="C15" s="183">
        <v>3.6499999999999998E-2</v>
      </c>
      <c r="D15" s="184"/>
      <c r="E15" s="185">
        <v>3.6499999999999998E-2</v>
      </c>
      <c r="F15" s="181"/>
      <c r="G15" s="158"/>
      <c r="H15" s="158"/>
    </row>
    <row r="16" spans="1:9" ht="14.25" x14ac:dyDescent="0.2">
      <c r="A16" s="186" t="s">
        <v>123</v>
      </c>
      <c r="B16" s="187"/>
      <c r="C16" s="188"/>
      <c r="D16" s="184"/>
      <c r="E16" s="180"/>
      <c r="F16" s="181"/>
      <c r="G16" s="158"/>
      <c r="H16" s="158"/>
    </row>
    <row r="17" spans="1:8" ht="14.25" x14ac:dyDescent="0.2">
      <c r="A17" s="189" t="s">
        <v>124</v>
      </c>
      <c r="B17" s="190"/>
      <c r="C17" s="191"/>
      <c r="D17" s="184"/>
      <c r="E17" s="180"/>
      <c r="F17" s="181"/>
      <c r="G17" s="158"/>
      <c r="H17" s="158"/>
    </row>
    <row r="18" spans="1:8" ht="30" x14ac:dyDescent="0.2">
      <c r="A18" s="192" t="s">
        <v>125</v>
      </c>
      <c r="B18" s="193"/>
      <c r="C18" s="194">
        <f>ROUND((((1+C10+C11)*(1+C12)*(1+C13))/(1-(C14+C15))-1),4)</f>
        <v>0.22639999999999999</v>
      </c>
      <c r="D18" s="195"/>
      <c r="E18" s="196"/>
      <c r="F18" s="197"/>
      <c r="G18" s="158"/>
      <c r="H18" s="158"/>
    </row>
    <row r="19" spans="1:8" ht="14.25" x14ac:dyDescent="0.2">
      <c r="A19" s="158"/>
      <c r="B19" s="158"/>
      <c r="C19" s="158"/>
      <c r="D19" s="158"/>
      <c r="E19" s="159"/>
      <c r="F19" s="158"/>
      <c r="G19" s="158"/>
      <c r="H19" s="158"/>
    </row>
    <row r="25" spans="1:8" x14ac:dyDescent="0.2">
      <c r="D25">
        <v>4.5999999999999996</v>
      </c>
    </row>
  </sheetData>
  <mergeCells count="3">
    <mergeCell ref="A6:F6"/>
    <mergeCell ref="D8:F8"/>
    <mergeCell ref="B14:B15"/>
  </mergeCells>
  <pageMargins left="0.905555555555556" right="0.51180555555555496" top="0.74791666666666701" bottom="0.74791666666666701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18</vt:i4>
      </vt:variant>
    </vt:vector>
  </HeadingPairs>
  <TitlesOfParts>
    <vt:vector size="25" baseType="lpstr">
      <vt:lpstr>Resumo </vt:lpstr>
      <vt:lpstr>1. Vigilante  Noturno</vt:lpstr>
      <vt:lpstr>2. Vigilante Diurno</vt:lpstr>
      <vt:lpstr>3. Vigilante Diurno </vt:lpstr>
      <vt:lpstr>4. Vigilante  Noturno </vt:lpstr>
      <vt:lpstr>5.Encargos Sociais</vt:lpstr>
      <vt:lpstr>6.BDI</vt:lpstr>
      <vt:lpstr>'1. Vigilante  Noturno'!Area_de_impressao</vt:lpstr>
      <vt:lpstr>'2. Vigilante Diurno'!Area_de_impressao</vt:lpstr>
      <vt:lpstr>'3. Vigilante Diurno '!Area_de_impressao</vt:lpstr>
      <vt:lpstr>'4. Vigilante  Noturno '!Area_de_impressao</vt:lpstr>
      <vt:lpstr>'5.Encargos Sociais'!Area_de_impressao</vt:lpstr>
      <vt:lpstr>'Resumo '!Area_de_impressao</vt:lpstr>
      <vt:lpstr>'1. Vigilante  Noturno'!Print_Titles_0</vt:lpstr>
      <vt:lpstr>'2. Vigilante Diurno'!Print_Titles_0</vt:lpstr>
      <vt:lpstr>'3. Vigilante Diurno '!Print_Titles_0</vt:lpstr>
      <vt:lpstr>'4. Vigilante  Noturno '!Print_Titles_0</vt:lpstr>
      <vt:lpstr>'1. Vigilante  Noturno'!Print_Titles_0_0</vt:lpstr>
      <vt:lpstr>'2. Vigilante Diurno'!Print_Titles_0_0</vt:lpstr>
      <vt:lpstr>'3. Vigilante Diurno '!Print_Titles_0_0</vt:lpstr>
      <vt:lpstr>'4. Vigilante  Noturno '!Print_Titles_0_0</vt:lpstr>
      <vt:lpstr>'1. Vigilante  Noturno'!Titulos_de_impressao</vt:lpstr>
      <vt:lpstr>'2. Vigilante Diurno'!Titulos_de_impressao</vt:lpstr>
      <vt:lpstr>'3. Vigilante Diurno '!Titulos_de_impressao</vt:lpstr>
      <vt:lpstr>'4. Vigilante  Noturno '!Titulos_de_impressao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Vigia</dc:title>
  <dc:creator>Edgar</dc:creator>
  <cp:lastModifiedBy>Licitações 01</cp:lastModifiedBy>
  <cp:revision>11</cp:revision>
  <cp:lastPrinted>2025-06-25T12:54:48Z</cp:lastPrinted>
  <dcterms:created xsi:type="dcterms:W3CDTF">2000-12-13T10:02:50Z</dcterms:created>
  <dcterms:modified xsi:type="dcterms:W3CDTF">2025-09-22T16:30:37Z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dmlu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